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2025\GBDS JAN FILES 2025\"/>
    </mc:Choice>
  </mc:AlternateContent>
  <xr:revisionPtr revIDLastSave="0" documentId="13_ncr:1_{83014F79-E77C-49A0-884B-BB6E0E10319B}" xr6:coauthVersionLast="45" xr6:coauthVersionMax="45" xr10:uidLastSave="{00000000-0000-0000-0000-000000000000}"/>
  <bookViews>
    <workbookView xWindow="-120" yWindow="-120" windowWidth="29040" windowHeight="15840" activeTab="1" xr2:uid="{1BECB66F-BB2E-4983-8F6C-4EC307945A01}"/>
  </bookViews>
  <sheets>
    <sheet name="MSIS JANUARY" sheetId="1" r:id="rId1"/>
    <sheet name="DSIS |" sheetId="2" r:id="rId2"/>
  </sheets>
  <definedNames>
    <definedName name="_xlnm.Print_Area" localSheetId="1">'DSIS |'!$W$742:$AF$798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440" i="2" l="1"/>
  <c r="Y1441" i="2"/>
  <c r="Y1442" i="2"/>
  <c r="Y1443" i="2"/>
  <c r="Y1444" i="2"/>
  <c r="Y1445" i="2"/>
  <c r="Y1447" i="2"/>
  <c r="Z1447" i="2"/>
  <c r="Z1446" i="2"/>
  <c r="AB1446" i="2"/>
  <c r="AF1446" i="2" s="1"/>
  <c r="Z1445" i="2"/>
  <c r="AB1445" i="2" s="1"/>
  <c r="AF1445" i="2" s="1"/>
  <c r="Z1444" i="2"/>
  <c r="Z1443" i="2"/>
  <c r="AB1443" i="2" s="1"/>
  <c r="AF1443" i="2" s="1"/>
  <c r="Z1442" i="2"/>
  <c r="AB1442" i="2" s="1"/>
  <c r="AF1442" i="2" s="1"/>
  <c r="Z1441" i="2"/>
  <c r="AB1441" i="2" s="1"/>
  <c r="AF1441" i="2" s="1"/>
  <c r="Z1440" i="2"/>
  <c r="Z1439" i="2"/>
  <c r="Z1438" i="2"/>
  <c r="Z1437" i="2"/>
  <c r="AB1437" i="2"/>
  <c r="AF1437" i="2"/>
  <c r="Y1438" i="2"/>
  <c r="Y1439" i="2" s="1"/>
  <c r="AB1438" i="2"/>
  <c r="AF1438" i="2" s="1"/>
  <c r="AB1439" i="2"/>
  <c r="AF1439" i="2" s="1"/>
  <c r="AB1440" i="2"/>
  <c r="AF1440" i="2" s="1"/>
  <c r="AB1444" i="2"/>
  <c r="AF1444" i="2" s="1"/>
  <c r="AB1447" i="2"/>
  <c r="AF1447" i="2"/>
  <c r="AB1448" i="2"/>
  <c r="AF1448" i="2"/>
  <c r="AB1449" i="2"/>
  <c r="AF1449" i="2"/>
  <c r="AB1450" i="2"/>
  <c r="AF1450" i="2"/>
  <c r="AB1451" i="2"/>
  <c r="AF1451" i="2" s="1"/>
  <c r="AB1452" i="2"/>
  <c r="AF1452" i="2"/>
  <c r="AB1453" i="2"/>
  <c r="AF1453" i="2" s="1"/>
  <c r="AB1454" i="2"/>
  <c r="AF1454" i="2"/>
  <c r="AB1455" i="2"/>
  <c r="AF1455" i="2" s="1"/>
  <c r="AB1456" i="2"/>
  <c r="AF1456" i="2"/>
  <c r="AB1457" i="2"/>
  <c r="AF1457" i="2"/>
  <c r="AB1458" i="2"/>
  <c r="AF1458" i="2"/>
  <c r="AB1459" i="2"/>
  <c r="AF1459" i="2" s="1"/>
  <c r="AB1460" i="2"/>
  <c r="AF1460" i="2"/>
  <c r="AB1461" i="2"/>
  <c r="AF1461" i="2"/>
  <c r="AB1462" i="2"/>
  <c r="AF1462" i="2"/>
  <c r="AB1463" i="2"/>
  <c r="AF1463" i="2" s="1"/>
  <c r="AB1464" i="2"/>
  <c r="AF1464" i="2"/>
  <c r="AB1465" i="2"/>
  <c r="AF1465" i="2"/>
  <c r="AB1466" i="2"/>
  <c r="AF1466" i="2"/>
  <c r="AB1467" i="2"/>
  <c r="AF1467" i="2" s="1"/>
  <c r="AB1468" i="2"/>
  <c r="AF1468" i="2"/>
  <c r="AB1469" i="2"/>
  <c r="AF1469" i="2"/>
  <c r="AB1470" i="2"/>
  <c r="AF1470" i="2"/>
  <c r="AB1471" i="2"/>
  <c r="AF1471" i="2" s="1"/>
  <c r="AB1472" i="2"/>
  <c r="AF1472" i="2"/>
  <c r="AB1473" i="2"/>
  <c r="AF1473" i="2"/>
  <c r="AB1474" i="2"/>
  <c r="AF1474" i="2"/>
  <c r="AB1475" i="2"/>
  <c r="AF1475" i="2" s="1"/>
  <c r="AF1476" i="2"/>
  <c r="AB1477" i="2"/>
  <c r="AF1477" i="2" s="1"/>
  <c r="AF1478" i="2"/>
  <c r="AA1480" i="2"/>
  <c r="AD1480" i="2"/>
  <c r="AE1480" i="2"/>
  <c r="N1473" i="2"/>
  <c r="O1473" i="2"/>
  <c r="Q1473" i="2" s="1"/>
  <c r="U1473" i="2" s="1"/>
  <c r="O1472" i="2"/>
  <c r="Q1472" i="2" s="1"/>
  <c r="U1472" i="2" s="1"/>
  <c r="O1471" i="2"/>
  <c r="Q1471" i="2" s="1"/>
  <c r="U1471" i="2" s="1"/>
  <c r="O1470" i="2"/>
  <c r="O1469" i="2"/>
  <c r="O1468" i="2"/>
  <c r="O1467" i="2"/>
  <c r="O1466" i="2"/>
  <c r="Q1466" i="2" s="1"/>
  <c r="U1466" i="2" s="1"/>
  <c r="N1457" i="2"/>
  <c r="N1458" i="2" s="1"/>
  <c r="N1459" i="2" s="1"/>
  <c r="N1460" i="2" s="1"/>
  <c r="N1461" i="2" s="1"/>
  <c r="N1462" i="2" s="1"/>
  <c r="N1463" i="2" s="1"/>
  <c r="N1464" i="2" s="1"/>
  <c r="N1465" i="2" s="1"/>
  <c r="N1466" i="2" s="1"/>
  <c r="N1467" i="2" s="1"/>
  <c r="N1468" i="2" s="1"/>
  <c r="N1469" i="2" s="1"/>
  <c r="N1470" i="2" s="1"/>
  <c r="N1471" i="2" s="1"/>
  <c r="N1472" i="2" s="1"/>
  <c r="O1465" i="2"/>
  <c r="Q1465" i="2" s="1"/>
  <c r="U1465" i="2" s="1"/>
  <c r="O1464" i="2"/>
  <c r="Q1464" i="2" s="1"/>
  <c r="U1464" i="2" s="1"/>
  <c r="O1463" i="2"/>
  <c r="O1462" i="2"/>
  <c r="O1461" i="2"/>
  <c r="Q1461" i="2" s="1"/>
  <c r="U1461" i="2" s="1"/>
  <c r="O1460" i="2"/>
  <c r="O1459" i="2"/>
  <c r="Q1459" i="2" s="1"/>
  <c r="U1459" i="2" s="1"/>
  <c r="T1458" i="2"/>
  <c r="T1480" i="2" s="1"/>
  <c r="O1458" i="2"/>
  <c r="O1457" i="2"/>
  <c r="Q1457" i="2" s="1"/>
  <c r="U1457" i="2" s="1"/>
  <c r="O1456" i="2"/>
  <c r="O1455" i="2"/>
  <c r="O1454" i="2"/>
  <c r="O1453" i="2"/>
  <c r="Q1453" i="2" s="1"/>
  <c r="U1453" i="2" s="1"/>
  <c r="O1452" i="2"/>
  <c r="Q1452" i="2" s="1"/>
  <c r="U1452" i="2" s="1"/>
  <c r="O1451" i="2"/>
  <c r="O1450" i="2"/>
  <c r="O1449" i="2"/>
  <c r="O1448" i="2"/>
  <c r="O1447" i="2"/>
  <c r="O1446" i="2"/>
  <c r="Q1446" i="2" s="1"/>
  <c r="U1446" i="2" s="1"/>
  <c r="O1445" i="2"/>
  <c r="Q1445" i="2" s="1"/>
  <c r="U1445" i="2" s="1"/>
  <c r="O1444" i="2"/>
  <c r="Q1444" i="2" s="1"/>
  <c r="U1444" i="2" s="1"/>
  <c r="O1443" i="2"/>
  <c r="Q1443" i="2" s="1"/>
  <c r="U1443" i="2" s="1"/>
  <c r="O1442" i="2"/>
  <c r="Q1442" i="2" s="1"/>
  <c r="U1442" i="2" s="1"/>
  <c r="O1441" i="2"/>
  <c r="Q1441" i="2" s="1"/>
  <c r="U1441" i="2" s="1"/>
  <c r="O1440" i="2"/>
  <c r="O1439" i="2"/>
  <c r="O1438" i="2"/>
  <c r="O1437" i="2"/>
  <c r="Q1437" i="2"/>
  <c r="U1437" i="2" s="1"/>
  <c r="N1438" i="2"/>
  <c r="N1439" i="2" s="1"/>
  <c r="N1440" i="2" s="1"/>
  <c r="N1441" i="2" s="1"/>
  <c r="N1442" i="2" s="1"/>
  <c r="N1443" i="2" s="1"/>
  <c r="N1444" i="2" s="1"/>
  <c r="N1445" i="2" s="1"/>
  <c r="N1446" i="2" s="1"/>
  <c r="N1447" i="2" s="1"/>
  <c r="N1448" i="2" s="1"/>
  <c r="N1449" i="2" s="1"/>
  <c r="N1450" i="2" s="1"/>
  <c r="N1451" i="2" s="1"/>
  <c r="N1452" i="2" s="1"/>
  <c r="N1453" i="2" s="1"/>
  <c r="N1454" i="2" s="1"/>
  <c r="N1455" i="2" s="1"/>
  <c r="N1456" i="2" s="1"/>
  <c r="Q1438" i="2"/>
  <c r="U1438" i="2" s="1"/>
  <c r="Q1439" i="2"/>
  <c r="U1439" i="2" s="1"/>
  <c r="Q1440" i="2"/>
  <c r="U1440" i="2"/>
  <c r="Q1447" i="2"/>
  <c r="U1447" i="2" s="1"/>
  <c r="Q1448" i="2"/>
  <c r="U1448" i="2" s="1"/>
  <c r="Q1449" i="2"/>
  <c r="U1449" i="2" s="1"/>
  <c r="Q1450" i="2"/>
  <c r="U1450" i="2" s="1"/>
  <c r="Q1451" i="2"/>
  <c r="U1451" i="2"/>
  <c r="Q1454" i="2"/>
  <c r="U1454" i="2" s="1"/>
  <c r="Q1455" i="2"/>
  <c r="U1455" i="2" s="1"/>
  <c r="Q1456" i="2"/>
  <c r="U1456" i="2" s="1"/>
  <c r="Q1458" i="2"/>
  <c r="U1458" i="2" s="1"/>
  <c r="Q1460" i="2"/>
  <c r="Q1462" i="2"/>
  <c r="U1462" i="2"/>
  <c r="Q1463" i="2"/>
  <c r="U1463" i="2" s="1"/>
  <c r="Q1467" i="2"/>
  <c r="U1467" i="2" s="1"/>
  <c r="Q1468" i="2"/>
  <c r="U1468" i="2" s="1"/>
  <c r="Q1469" i="2"/>
  <c r="U1469" i="2" s="1"/>
  <c r="Q1470" i="2"/>
  <c r="U1470" i="2" s="1"/>
  <c r="Q1474" i="2"/>
  <c r="U1474" i="2"/>
  <c r="Q1475" i="2"/>
  <c r="U1475" i="2"/>
  <c r="U1476" i="2"/>
  <c r="Q1477" i="2"/>
  <c r="U1477" i="2"/>
  <c r="U1478" i="2"/>
  <c r="P1480" i="2"/>
  <c r="S1480" i="2"/>
  <c r="D1446" i="2"/>
  <c r="F1446" i="2" s="1"/>
  <c r="J1446" i="2" s="1"/>
  <c r="D1445" i="2"/>
  <c r="F1445" i="2" s="1"/>
  <c r="J1445" i="2" s="1"/>
  <c r="D1444" i="2"/>
  <c r="F1444" i="2" s="1"/>
  <c r="J1444" i="2" s="1"/>
  <c r="I1443" i="2"/>
  <c r="D1443" i="2"/>
  <c r="F1443" i="2" s="1"/>
  <c r="J1443" i="2" s="1"/>
  <c r="D1442" i="2"/>
  <c r="F1442" i="2" s="1"/>
  <c r="J1442" i="2" s="1"/>
  <c r="D1441" i="2"/>
  <c r="F1441" i="2" s="1"/>
  <c r="J1441" i="2" s="1"/>
  <c r="D1440" i="2"/>
  <c r="D1439" i="2"/>
  <c r="D1438" i="2"/>
  <c r="D1437" i="2"/>
  <c r="C1438" i="2"/>
  <c r="C1439" i="2" s="1"/>
  <c r="C1440" i="2" s="1"/>
  <c r="C1441" i="2" s="1"/>
  <c r="C1442" i="2" s="1"/>
  <c r="C1443" i="2" s="1"/>
  <c r="C1444" i="2" s="1"/>
  <c r="C1445" i="2" s="1"/>
  <c r="C1446" i="2" s="1"/>
  <c r="F1438" i="2"/>
  <c r="J1438" i="2" s="1"/>
  <c r="F1439" i="2"/>
  <c r="J1439" i="2" s="1"/>
  <c r="F1440" i="2"/>
  <c r="J1440" i="2" s="1"/>
  <c r="F1447" i="2"/>
  <c r="J1447" i="2" s="1"/>
  <c r="F1448" i="2"/>
  <c r="J1448" i="2"/>
  <c r="F1449" i="2"/>
  <c r="J1449" i="2" s="1"/>
  <c r="F1450" i="2"/>
  <c r="J1450" i="2"/>
  <c r="F1451" i="2"/>
  <c r="J1451" i="2" s="1"/>
  <c r="F1452" i="2"/>
  <c r="J1452" i="2"/>
  <c r="F1453" i="2"/>
  <c r="J1453" i="2"/>
  <c r="F1454" i="2"/>
  <c r="J1454" i="2" s="1"/>
  <c r="F1455" i="2"/>
  <c r="J1455" i="2"/>
  <c r="F1456" i="2"/>
  <c r="J1456" i="2"/>
  <c r="F1457" i="2"/>
  <c r="J1457" i="2"/>
  <c r="F1458" i="2"/>
  <c r="J1458" i="2"/>
  <c r="F1459" i="2"/>
  <c r="J1459" i="2" s="1"/>
  <c r="F1460" i="2"/>
  <c r="J1460" i="2"/>
  <c r="F1461" i="2"/>
  <c r="J1461" i="2"/>
  <c r="F1462" i="2"/>
  <c r="J1462" i="2" s="1"/>
  <c r="F1463" i="2"/>
  <c r="J1463" i="2"/>
  <c r="F1464" i="2"/>
  <c r="J1464" i="2"/>
  <c r="F1465" i="2"/>
  <c r="J1465" i="2"/>
  <c r="F1466" i="2"/>
  <c r="J1466" i="2"/>
  <c r="F1467" i="2"/>
  <c r="J1467" i="2" s="1"/>
  <c r="F1468" i="2"/>
  <c r="J1468" i="2"/>
  <c r="F1469" i="2"/>
  <c r="J1469" i="2"/>
  <c r="F1470" i="2"/>
  <c r="J1470" i="2" s="1"/>
  <c r="F1471" i="2"/>
  <c r="J1471" i="2"/>
  <c r="F1472" i="2"/>
  <c r="J1472" i="2"/>
  <c r="F1473" i="2"/>
  <c r="J1473" i="2"/>
  <c r="F1474" i="2"/>
  <c r="J1474" i="2"/>
  <c r="F1475" i="2"/>
  <c r="J1475" i="2" s="1"/>
  <c r="J1476" i="2"/>
  <c r="F1477" i="2"/>
  <c r="J1477" i="2" s="1"/>
  <c r="J1478" i="2"/>
  <c r="E1480" i="2"/>
  <c r="H1480" i="2"/>
  <c r="I1480" i="2"/>
  <c r="Z1480" i="2" l="1"/>
  <c r="AF1480" i="2"/>
  <c r="AB1480" i="2"/>
  <c r="O1480" i="2"/>
  <c r="Q1480" i="2"/>
  <c r="U1460" i="2"/>
  <c r="U1480" i="2" s="1"/>
  <c r="D1480" i="2"/>
  <c r="F1437" i="2"/>
  <c r="J1437" i="2" s="1"/>
  <c r="J1480" i="2"/>
  <c r="F1480" i="2"/>
  <c r="Z1391" i="2"/>
  <c r="Z1390" i="2"/>
  <c r="Z1389" i="2"/>
  <c r="Z1388" i="2"/>
  <c r="AB1388" i="2" s="1"/>
  <c r="AF1388" i="2" s="1"/>
  <c r="Z1387" i="2"/>
  <c r="Z1386" i="2"/>
  <c r="AB1386" i="2" s="1"/>
  <c r="AF1386" i="2" s="1"/>
  <c r="Z1385" i="2"/>
  <c r="Z1384" i="2"/>
  <c r="AB1384" i="2" s="1"/>
  <c r="AF1384" i="2" s="1"/>
  <c r="Z1383" i="2"/>
  <c r="Z1423" i="2" s="1"/>
  <c r="Z1382" i="2"/>
  <c r="Z1381" i="2"/>
  <c r="Z1380" i="2"/>
  <c r="AB1380" i="2"/>
  <c r="AF1380" i="2" s="1"/>
  <c r="Y1381" i="2"/>
  <c r="AB1381" i="2"/>
  <c r="AF1381" i="2"/>
  <c r="Y1382" i="2"/>
  <c r="AB1382" i="2"/>
  <c r="AF1382" i="2" s="1"/>
  <c r="Y1384" i="2"/>
  <c r="Y1385" i="2" s="1"/>
  <c r="Y1386" i="2" s="1"/>
  <c r="Y1387" i="2" s="1"/>
  <c r="Y1388" i="2" s="1"/>
  <c r="Y1389" i="2" s="1"/>
  <c r="Y1390" i="2" s="1"/>
  <c r="Y1391" i="2" s="1"/>
  <c r="AB1385" i="2"/>
  <c r="AF1385" i="2" s="1"/>
  <c r="AB1387" i="2"/>
  <c r="AF1387" i="2" s="1"/>
  <c r="AB1389" i="2"/>
  <c r="AF1389" i="2" s="1"/>
  <c r="AB1390" i="2"/>
  <c r="AF1390" i="2" s="1"/>
  <c r="AB1391" i="2"/>
  <c r="AF1391" i="2" s="1"/>
  <c r="AB1392" i="2"/>
  <c r="AF1392" i="2"/>
  <c r="AB1393" i="2"/>
  <c r="AF1393" i="2"/>
  <c r="AB1394" i="2"/>
  <c r="AF1394" i="2" s="1"/>
  <c r="AB1395" i="2"/>
  <c r="AF1395" i="2"/>
  <c r="AB1396" i="2"/>
  <c r="AF1396" i="2"/>
  <c r="AB1397" i="2"/>
  <c r="AF1397" i="2"/>
  <c r="AB1398" i="2"/>
  <c r="AF1398" i="2"/>
  <c r="AB1399" i="2"/>
  <c r="AF1399" i="2"/>
  <c r="AB1400" i="2"/>
  <c r="AF1400" i="2" s="1"/>
  <c r="AB1401" i="2"/>
  <c r="AF1401" i="2"/>
  <c r="AB1402" i="2"/>
  <c r="AF1402" i="2" s="1"/>
  <c r="AB1403" i="2"/>
  <c r="AF1403" i="2"/>
  <c r="AB1404" i="2"/>
  <c r="AF1404" i="2"/>
  <c r="AB1405" i="2"/>
  <c r="AF1405" i="2"/>
  <c r="AB1406" i="2"/>
  <c r="AF1406" i="2"/>
  <c r="AB1407" i="2"/>
  <c r="AF1407" i="2"/>
  <c r="AB1408" i="2"/>
  <c r="AF1408" i="2" s="1"/>
  <c r="AB1409" i="2"/>
  <c r="AF1409" i="2"/>
  <c r="AB1410" i="2"/>
  <c r="AF1410" i="2" s="1"/>
  <c r="AB1411" i="2"/>
  <c r="AF1411" i="2"/>
  <c r="AB1412" i="2"/>
  <c r="AF1412" i="2"/>
  <c r="AB1413" i="2"/>
  <c r="AF1413" i="2"/>
  <c r="AB1414" i="2"/>
  <c r="AF1414" i="2"/>
  <c r="AB1415" i="2"/>
  <c r="AF1415" i="2"/>
  <c r="AB1416" i="2"/>
  <c r="AF1416" i="2" s="1"/>
  <c r="AB1417" i="2"/>
  <c r="AF1417" i="2"/>
  <c r="AB1418" i="2"/>
  <c r="AF1418" i="2" s="1"/>
  <c r="AF1419" i="2"/>
  <c r="AB1420" i="2"/>
  <c r="AF1420" i="2" s="1"/>
  <c r="AF1421" i="2"/>
  <c r="AA1423" i="2"/>
  <c r="AD1423" i="2"/>
  <c r="AE1423" i="2"/>
  <c r="N1401" i="2"/>
  <c r="N1402" i="2"/>
  <c r="N1403" i="2"/>
  <c r="O1403" i="2"/>
  <c r="Q1403" i="2" s="1"/>
  <c r="U1403" i="2" s="1"/>
  <c r="O1402" i="2"/>
  <c r="Q1402" i="2" s="1"/>
  <c r="U1402" i="2" s="1"/>
  <c r="O1401" i="2"/>
  <c r="N1386" i="2"/>
  <c r="N1387" i="2"/>
  <c r="N1388" i="2"/>
  <c r="N1389" i="2"/>
  <c r="N1390" i="2" s="1"/>
  <c r="N1391" i="2" s="1"/>
  <c r="N1392" i="2" s="1"/>
  <c r="N1393" i="2" s="1"/>
  <c r="N1394" i="2" s="1"/>
  <c r="N1395" i="2" s="1"/>
  <c r="N1396" i="2" s="1"/>
  <c r="N1397" i="2" s="1"/>
  <c r="N1398" i="2" s="1"/>
  <c r="N1399" i="2" s="1"/>
  <c r="O1400" i="2"/>
  <c r="O1399" i="2"/>
  <c r="O1398" i="2"/>
  <c r="Q1398" i="2" s="1"/>
  <c r="U1398" i="2" s="1"/>
  <c r="O1397" i="2"/>
  <c r="Q1397" i="2" s="1"/>
  <c r="U1397" i="2" s="1"/>
  <c r="O1396" i="2"/>
  <c r="Q1396" i="2" s="1"/>
  <c r="U1396" i="2" s="1"/>
  <c r="O1395" i="2"/>
  <c r="Q1395" i="2" s="1"/>
  <c r="U1395" i="2" s="1"/>
  <c r="O1394" i="2"/>
  <c r="O1393" i="2"/>
  <c r="O1392" i="2"/>
  <c r="O1391" i="2"/>
  <c r="O1390" i="2"/>
  <c r="O1389" i="2"/>
  <c r="O1388" i="2"/>
  <c r="O1387" i="2"/>
  <c r="Q1387" i="2" s="1"/>
  <c r="U1387" i="2" s="1"/>
  <c r="O1386" i="2"/>
  <c r="Q1386" i="2" s="1"/>
  <c r="U1386" i="2" s="1"/>
  <c r="O1385" i="2"/>
  <c r="O1384" i="2"/>
  <c r="Q1384" i="2" s="1"/>
  <c r="U1384" i="2" s="1"/>
  <c r="O1383" i="2"/>
  <c r="Q1383" i="2" s="1"/>
  <c r="U1383" i="2" s="1"/>
  <c r="O1382" i="2"/>
  <c r="O1381" i="2"/>
  <c r="O1380" i="2"/>
  <c r="Q1380" i="2"/>
  <c r="N1381" i="2"/>
  <c r="N1382" i="2" s="1"/>
  <c r="N1383" i="2" s="1"/>
  <c r="N1384" i="2" s="1"/>
  <c r="N1385" i="2" s="1"/>
  <c r="Q1381" i="2"/>
  <c r="U1381" i="2" s="1"/>
  <c r="Q1382" i="2"/>
  <c r="U1382" i="2" s="1"/>
  <c r="Q1385" i="2"/>
  <c r="U1385" i="2" s="1"/>
  <c r="Q1388" i="2"/>
  <c r="U1388" i="2" s="1"/>
  <c r="Q1389" i="2"/>
  <c r="U1389" i="2" s="1"/>
  <c r="Q1390" i="2"/>
  <c r="U1390" i="2" s="1"/>
  <c r="Q1391" i="2"/>
  <c r="U1391" i="2" s="1"/>
  <c r="Q1392" i="2"/>
  <c r="U1392" i="2" s="1"/>
  <c r="Q1393" i="2"/>
  <c r="U1393" i="2" s="1"/>
  <c r="Q1394" i="2"/>
  <c r="U1394" i="2" s="1"/>
  <c r="Q1399" i="2"/>
  <c r="U1399" i="2" s="1"/>
  <c r="Q1400" i="2"/>
  <c r="U1400" i="2" s="1"/>
  <c r="Q1401" i="2"/>
  <c r="U1401" i="2" s="1"/>
  <c r="Q1404" i="2"/>
  <c r="U1404" i="2" s="1"/>
  <c r="Q1405" i="2"/>
  <c r="U1405" i="2"/>
  <c r="Q1406" i="2"/>
  <c r="U1406" i="2"/>
  <c r="Q1407" i="2"/>
  <c r="U1407" i="2"/>
  <c r="Q1408" i="2"/>
  <c r="U1408" i="2" s="1"/>
  <c r="Q1409" i="2"/>
  <c r="U1409" i="2"/>
  <c r="Q1410" i="2"/>
  <c r="U1410" i="2"/>
  <c r="Q1411" i="2"/>
  <c r="U1411" i="2"/>
  <c r="Q1412" i="2"/>
  <c r="U1412" i="2" s="1"/>
  <c r="Q1413" i="2"/>
  <c r="U1413" i="2"/>
  <c r="Q1414" i="2"/>
  <c r="U1414" i="2"/>
  <c r="Q1415" i="2"/>
  <c r="U1415" i="2"/>
  <c r="Q1416" i="2"/>
  <c r="U1416" i="2" s="1"/>
  <c r="Q1417" i="2"/>
  <c r="U1417" i="2"/>
  <c r="Q1418" i="2"/>
  <c r="U1418" i="2"/>
  <c r="U1419" i="2"/>
  <c r="Q1420" i="2"/>
  <c r="U1420" i="2"/>
  <c r="U1421" i="2"/>
  <c r="P1423" i="2"/>
  <c r="S1423" i="2"/>
  <c r="T1423" i="2"/>
  <c r="D1392" i="2"/>
  <c r="D1391" i="2"/>
  <c r="D1390" i="2"/>
  <c r="F1390" i="2" s="1"/>
  <c r="J1390" i="2" s="1"/>
  <c r="D1389" i="2"/>
  <c r="F1389" i="2" s="1"/>
  <c r="J1389" i="2" s="1"/>
  <c r="D1388" i="2"/>
  <c r="F1388" i="2" s="1"/>
  <c r="J1388" i="2" s="1"/>
  <c r="D1387" i="2"/>
  <c r="F1387" i="2" s="1"/>
  <c r="J1387" i="2" s="1"/>
  <c r="D1386" i="2"/>
  <c r="F1386" i="2" s="1"/>
  <c r="J1386" i="2" s="1"/>
  <c r="D1385" i="2"/>
  <c r="F1385" i="2" s="1"/>
  <c r="J1385" i="2" s="1"/>
  <c r="D1384" i="2"/>
  <c r="I1383" i="2"/>
  <c r="D1383" i="2"/>
  <c r="F1383" i="2" s="1"/>
  <c r="J1383" i="2" s="1"/>
  <c r="D1382" i="2"/>
  <c r="D1381" i="2"/>
  <c r="D1380" i="2"/>
  <c r="F1380" i="2" s="1"/>
  <c r="C1381" i="2"/>
  <c r="C1382" i="2" s="1"/>
  <c r="C1383" i="2" s="1"/>
  <c r="C1384" i="2" s="1"/>
  <c r="C1385" i="2" s="1"/>
  <c r="C1386" i="2" s="1"/>
  <c r="C1387" i="2" s="1"/>
  <c r="C1388" i="2" s="1"/>
  <c r="C1389" i="2" s="1"/>
  <c r="C1390" i="2" s="1"/>
  <c r="C1391" i="2" s="1"/>
  <c r="C1392" i="2" s="1"/>
  <c r="F1381" i="2"/>
  <c r="J1381" i="2" s="1"/>
  <c r="F1382" i="2"/>
  <c r="J1382" i="2" s="1"/>
  <c r="F1384" i="2"/>
  <c r="J1384" i="2" s="1"/>
  <c r="F1391" i="2"/>
  <c r="J1391" i="2" s="1"/>
  <c r="F1392" i="2"/>
  <c r="J1392" i="2" s="1"/>
  <c r="F1393" i="2"/>
  <c r="J1393" i="2" s="1"/>
  <c r="F1394" i="2"/>
  <c r="J1394" i="2" s="1"/>
  <c r="F1395" i="2"/>
  <c r="J1395" i="2" s="1"/>
  <c r="F1396" i="2"/>
  <c r="J1396" i="2" s="1"/>
  <c r="F1397" i="2"/>
  <c r="J1397" i="2" s="1"/>
  <c r="H1423" i="2"/>
  <c r="F1398" i="2"/>
  <c r="J1398" i="2" s="1"/>
  <c r="F1399" i="2"/>
  <c r="J1399" i="2" s="1"/>
  <c r="F1400" i="2"/>
  <c r="J1400" i="2" s="1"/>
  <c r="F1401" i="2"/>
  <c r="J1401" i="2"/>
  <c r="F1402" i="2"/>
  <c r="J1402" i="2" s="1"/>
  <c r="F1403" i="2"/>
  <c r="J1403" i="2"/>
  <c r="F1404" i="2"/>
  <c r="J1404" i="2"/>
  <c r="F1405" i="2"/>
  <c r="J1405" i="2" s="1"/>
  <c r="F1406" i="2"/>
  <c r="J1406" i="2" s="1"/>
  <c r="F1407" i="2"/>
  <c r="J1407" i="2" s="1"/>
  <c r="F1408" i="2"/>
  <c r="J1408" i="2" s="1"/>
  <c r="F1409" i="2"/>
  <c r="J1409" i="2"/>
  <c r="F1410" i="2"/>
  <c r="J1410" i="2" s="1"/>
  <c r="F1411" i="2"/>
  <c r="J1411" i="2"/>
  <c r="F1412" i="2"/>
  <c r="J1412" i="2"/>
  <c r="F1413" i="2"/>
  <c r="J1413" i="2" s="1"/>
  <c r="F1414" i="2"/>
  <c r="J1414" i="2" s="1"/>
  <c r="F1415" i="2"/>
  <c r="J1415" i="2" s="1"/>
  <c r="F1416" i="2"/>
  <c r="J1416" i="2" s="1"/>
  <c r="F1417" i="2"/>
  <c r="J1417" i="2"/>
  <c r="F1418" i="2"/>
  <c r="J1418" i="2" s="1"/>
  <c r="J1419" i="2"/>
  <c r="F1420" i="2"/>
  <c r="J1420" i="2"/>
  <c r="J1421" i="2"/>
  <c r="E1423" i="2"/>
  <c r="I1423" i="2"/>
  <c r="AB1383" i="2" l="1"/>
  <c r="AF1383" i="2" s="1"/>
  <c r="AF1423" i="2" s="1"/>
  <c r="AB1423" i="2"/>
  <c r="Q1423" i="2"/>
  <c r="U1380" i="2"/>
  <c r="U1423" i="2" s="1"/>
  <c r="O1423" i="2"/>
  <c r="J1380" i="2"/>
  <c r="J1423" i="2" s="1"/>
  <c r="F1423" i="2"/>
  <c r="D1423" i="2"/>
  <c r="Z1336" i="2"/>
  <c r="Z1335" i="2"/>
  <c r="Z1334" i="2"/>
  <c r="Z1333" i="2"/>
  <c r="AB1333" i="2" s="1"/>
  <c r="AF1333" i="2" s="1"/>
  <c r="Z1332" i="2"/>
  <c r="Z1331" i="2"/>
  <c r="Z1330" i="2"/>
  <c r="AB1330" i="2" s="1"/>
  <c r="AF1330" i="2" s="1"/>
  <c r="Z1329" i="2"/>
  <c r="Z1328" i="2"/>
  <c r="Z1327" i="2"/>
  <c r="Z1326" i="2"/>
  <c r="Z1325" i="2"/>
  <c r="Z1324" i="2"/>
  <c r="Z1323" i="2"/>
  <c r="Y1334" i="2"/>
  <c r="Y1335" i="2" s="1"/>
  <c r="Y1336" i="2" s="1"/>
  <c r="Y1329" i="2"/>
  <c r="Y1330" i="2"/>
  <c r="Y1331" i="2"/>
  <c r="Y1332" i="2" s="1"/>
  <c r="Y1333" i="2" s="1"/>
  <c r="AB1323" i="2"/>
  <c r="AF1323" i="2" s="1"/>
  <c r="Y1324" i="2"/>
  <c r="Y1325" i="2" s="1"/>
  <c r="AB1324" i="2"/>
  <c r="AB1325" i="2"/>
  <c r="AF1325" i="2" s="1"/>
  <c r="AB1326" i="2"/>
  <c r="AF1326" i="2" s="1"/>
  <c r="Y1327" i="2"/>
  <c r="Y1328" i="2" s="1"/>
  <c r="AB1327" i="2"/>
  <c r="AF1327" i="2" s="1"/>
  <c r="AB1328" i="2"/>
  <c r="AF1328" i="2" s="1"/>
  <c r="AB1329" i="2"/>
  <c r="AF1329" i="2" s="1"/>
  <c r="AB1331" i="2"/>
  <c r="AF1331" i="2" s="1"/>
  <c r="AB1332" i="2"/>
  <c r="AF1332" i="2" s="1"/>
  <c r="AB1334" i="2"/>
  <c r="AF1334" i="2" s="1"/>
  <c r="AB1335" i="2"/>
  <c r="AF1335" i="2" s="1"/>
  <c r="AB1336" i="2"/>
  <c r="AF1336" i="2" s="1"/>
  <c r="AB1337" i="2"/>
  <c r="AF1337" i="2" s="1"/>
  <c r="AB1338" i="2"/>
  <c r="AF1338" i="2" s="1"/>
  <c r="AB1339" i="2"/>
  <c r="AF1339" i="2"/>
  <c r="AB1340" i="2"/>
  <c r="AF1340" i="2"/>
  <c r="AB1341" i="2"/>
  <c r="AF1341" i="2" s="1"/>
  <c r="AB1342" i="2"/>
  <c r="AF1342" i="2"/>
  <c r="AB1343" i="2"/>
  <c r="AF1343" i="2"/>
  <c r="AB1344" i="2"/>
  <c r="AF1344" i="2" s="1"/>
  <c r="AB1345" i="2"/>
  <c r="AF1345" i="2" s="1"/>
  <c r="AB1346" i="2"/>
  <c r="AF1346" i="2" s="1"/>
  <c r="AB1347" i="2"/>
  <c r="AF1347" i="2"/>
  <c r="AB1348" i="2"/>
  <c r="AF1348" i="2"/>
  <c r="AB1349" i="2"/>
  <c r="AF1349" i="2" s="1"/>
  <c r="AB1350" i="2"/>
  <c r="AF1350" i="2"/>
  <c r="AB1351" i="2"/>
  <c r="AF1351" i="2"/>
  <c r="AB1352" i="2"/>
  <c r="AF1352" i="2" s="1"/>
  <c r="AB1353" i="2"/>
  <c r="AF1353" i="2" s="1"/>
  <c r="AB1354" i="2"/>
  <c r="AF1354" i="2"/>
  <c r="AB1355" i="2"/>
  <c r="AF1355" i="2"/>
  <c r="AB1356" i="2"/>
  <c r="AF1356" i="2"/>
  <c r="AB1357" i="2"/>
  <c r="AF1357" i="2" s="1"/>
  <c r="AB1358" i="2"/>
  <c r="AF1358" i="2"/>
  <c r="AB1359" i="2"/>
  <c r="AF1359" i="2"/>
  <c r="AB1360" i="2"/>
  <c r="AF1360" i="2" s="1"/>
  <c r="AB1361" i="2"/>
  <c r="AF1361" i="2" s="1"/>
  <c r="AF1362" i="2"/>
  <c r="AB1363" i="2"/>
  <c r="AF1363" i="2"/>
  <c r="AF1364" i="2"/>
  <c r="AA1366" i="2"/>
  <c r="AD1366" i="2"/>
  <c r="AE1366" i="2"/>
  <c r="O1328" i="2"/>
  <c r="Q1328" i="2" s="1"/>
  <c r="U1328" i="2" s="1"/>
  <c r="O1327" i="2"/>
  <c r="Q1327" i="2" s="1"/>
  <c r="U1327" i="2" s="1"/>
  <c r="O1326" i="2"/>
  <c r="T1325" i="2"/>
  <c r="O1325" i="2"/>
  <c r="O1324" i="2"/>
  <c r="Q1324" i="2" s="1"/>
  <c r="U1324" i="2" s="1"/>
  <c r="S1323" i="2"/>
  <c r="O1323" i="2"/>
  <c r="Q1323" i="2"/>
  <c r="N1324" i="2"/>
  <c r="N1325" i="2" s="1"/>
  <c r="N1326" i="2" s="1"/>
  <c r="N1327" i="2" s="1"/>
  <c r="N1328" i="2" s="1"/>
  <c r="Q1325" i="2"/>
  <c r="U1325" i="2" s="1"/>
  <c r="Q1326" i="2"/>
  <c r="U1326" i="2" s="1"/>
  <c r="Q1329" i="2"/>
  <c r="U1329" i="2"/>
  <c r="Q1330" i="2"/>
  <c r="U1330" i="2" s="1"/>
  <c r="Q1331" i="2"/>
  <c r="U1331" i="2" s="1"/>
  <c r="Q1332" i="2"/>
  <c r="U1332" i="2" s="1"/>
  <c r="Q1333" i="2"/>
  <c r="U1333" i="2"/>
  <c r="Q1334" i="2"/>
  <c r="U1334" i="2" s="1"/>
  <c r="Q1335" i="2"/>
  <c r="U1335" i="2" s="1"/>
  <c r="Q1336" i="2"/>
  <c r="U1336" i="2" s="1"/>
  <c r="Q1337" i="2"/>
  <c r="U1337" i="2"/>
  <c r="Q1338" i="2"/>
  <c r="U1338" i="2" s="1"/>
  <c r="Q1339" i="2"/>
  <c r="U1339" i="2" s="1"/>
  <c r="Q1340" i="2"/>
  <c r="U1340" i="2" s="1"/>
  <c r="Q1341" i="2"/>
  <c r="U1341" i="2"/>
  <c r="Q1342" i="2"/>
  <c r="U1342" i="2" s="1"/>
  <c r="Q1343" i="2"/>
  <c r="U1343" i="2" s="1"/>
  <c r="Q1344" i="2"/>
  <c r="U1344" i="2" s="1"/>
  <c r="Q1345" i="2"/>
  <c r="U1345" i="2"/>
  <c r="Q1346" i="2"/>
  <c r="U1346" i="2" s="1"/>
  <c r="Q1347" i="2"/>
  <c r="U1347" i="2"/>
  <c r="Q1348" i="2"/>
  <c r="U1348" i="2"/>
  <c r="Q1349" i="2"/>
  <c r="U1349" i="2"/>
  <c r="Q1350" i="2"/>
  <c r="U1350" i="2"/>
  <c r="Q1351" i="2"/>
  <c r="U1351" i="2" s="1"/>
  <c r="Q1352" i="2"/>
  <c r="U1352" i="2"/>
  <c r="Q1353" i="2"/>
  <c r="U1353" i="2" s="1"/>
  <c r="Q1354" i="2"/>
  <c r="U1354" i="2" s="1"/>
  <c r="Q1355" i="2"/>
  <c r="U1355" i="2"/>
  <c r="Q1356" i="2"/>
  <c r="U1356" i="2"/>
  <c r="Q1357" i="2"/>
  <c r="U1357" i="2"/>
  <c r="Q1358" i="2"/>
  <c r="U1358" i="2"/>
  <c r="Q1359" i="2"/>
  <c r="U1359" i="2" s="1"/>
  <c r="Q1360" i="2"/>
  <c r="U1360" i="2"/>
  <c r="Q1361" i="2"/>
  <c r="U1361" i="2" s="1"/>
  <c r="U1362" i="2"/>
  <c r="Q1363" i="2"/>
  <c r="U1363" i="2"/>
  <c r="U1364" i="2"/>
  <c r="P1366" i="2"/>
  <c r="S1366" i="2"/>
  <c r="T1366" i="2"/>
  <c r="I1340" i="2"/>
  <c r="H1340" i="2"/>
  <c r="D1340" i="2"/>
  <c r="F1340" i="2" s="1"/>
  <c r="J1340" i="2" s="1"/>
  <c r="D1339" i="2"/>
  <c r="F1339" i="2" s="1"/>
  <c r="J1339" i="2" s="1"/>
  <c r="D1338" i="2"/>
  <c r="F1338" i="2" s="1"/>
  <c r="J1338" i="2" s="1"/>
  <c r="D1337" i="2"/>
  <c r="D1336" i="2"/>
  <c r="D1335" i="2"/>
  <c r="D1334" i="2"/>
  <c r="F1334" i="2" s="1"/>
  <c r="J1334" i="2" s="1"/>
  <c r="D1333" i="2"/>
  <c r="D1332" i="2"/>
  <c r="D1331" i="2"/>
  <c r="F1331" i="2" s="1"/>
  <c r="J1331" i="2" s="1"/>
  <c r="D1330" i="2"/>
  <c r="F1330" i="2" s="1"/>
  <c r="J1330" i="2" s="1"/>
  <c r="D1329" i="2"/>
  <c r="F1329" i="2" s="1"/>
  <c r="J1329" i="2" s="1"/>
  <c r="D1328" i="2"/>
  <c r="F1328" i="2" s="1"/>
  <c r="J1328" i="2" s="1"/>
  <c r="D1327" i="2"/>
  <c r="D1326" i="2"/>
  <c r="D1325" i="2"/>
  <c r="D1324" i="2"/>
  <c r="D1323" i="2"/>
  <c r="F1323" i="2" s="1"/>
  <c r="H1366" i="2"/>
  <c r="C1324" i="2"/>
  <c r="C1325" i="2" s="1"/>
  <c r="C1326" i="2" s="1"/>
  <c r="C1327" i="2" s="1"/>
  <c r="C1328" i="2" s="1"/>
  <c r="C1329" i="2" s="1"/>
  <c r="C1330" i="2" s="1"/>
  <c r="C1331" i="2" s="1"/>
  <c r="C1332" i="2" s="1"/>
  <c r="C1333" i="2" s="1"/>
  <c r="C1334" i="2" s="1"/>
  <c r="C1335" i="2" s="1"/>
  <c r="C1336" i="2" s="1"/>
  <c r="C1337" i="2" s="1"/>
  <c r="C1338" i="2" s="1"/>
  <c r="F1324" i="2"/>
  <c r="J1324" i="2" s="1"/>
  <c r="F1325" i="2"/>
  <c r="J1325" i="2" s="1"/>
  <c r="F1326" i="2"/>
  <c r="J1326" i="2" s="1"/>
  <c r="F1327" i="2"/>
  <c r="J1327" i="2" s="1"/>
  <c r="F1332" i="2"/>
  <c r="J1332" i="2" s="1"/>
  <c r="F1333" i="2"/>
  <c r="J1333" i="2" s="1"/>
  <c r="F1335" i="2"/>
  <c r="J1335" i="2" s="1"/>
  <c r="F1336" i="2"/>
  <c r="J1336" i="2" s="1"/>
  <c r="F1337" i="2"/>
  <c r="J1337" i="2" s="1"/>
  <c r="C1340" i="2"/>
  <c r="F1341" i="2"/>
  <c r="J1341" i="2"/>
  <c r="F1342" i="2"/>
  <c r="J1342" i="2"/>
  <c r="F1343" i="2"/>
  <c r="J1343" i="2" s="1"/>
  <c r="F1344" i="2"/>
  <c r="J1344" i="2" s="1"/>
  <c r="F1345" i="2"/>
  <c r="J1345" i="2"/>
  <c r="F1346" i="2"/>
  <c r="J1346" i="2"/>
  <c r="F1347" i="2"/>
  <c r="J1347" i="2" s="1"/>
  <c r="F1348" i="2"/>
  <c r="J1348" i="2"/>
  <c r="F1349" i="2"/>
  <c r="J1349" i="2"/>
  <c r="F1350" i="2"/>
  <c r="J1350" i="2" s="1"/>
  <c r="F1351" i="2"/>
  <c r="J1351" i="2"/>
  <c r="F1352" i="2"/>
  <c r="J1352" i="2"/>
  <c r="F1353" i="2"/>
  <c r="J1353" i="2"/>
  <c r="F1354" i="2"/>
  <c r="J1354" i="2"/>
  <c r="F1355" i="2"/>
  <c r="J1355" i="2" s="1"/>
  <c r="F1356" i="2"/>
  <c r="J1356" i="2"/>
  <c r="F1357" i="2"/>
  <c r="J1357" i="2"/>
  <c r="F1358" i="2"/>
  <c r="J1358" i="2" s="1"/>
  <c r="F1359" i="2"/>
  <c r="J1359" i="2"/>
  <c r="F1360" i="2"/>
  <c r="J1360" i="2"/>
  <c r="F1361" i="2"/>
  <c r="J1361" i="2"/>
  <c r="J1362" i="2"/>
  <c r="F1363" i="2"/>
  <c r="J1363" i="2" s="1"/>
  <c r="J1364" i="2"/>
  <c r="E1366" i="2"/>
  <c r="I1366" i="2"/>
  <c r="AF1324" i="2" l="1"/>
  <c r="AB1366" i="2"/>
  <c r="AF1366" i="2"/>
  <c r="Z1366" i="2"/>
  <c r="U1323" i="2"/>
  <c r="U1366" i="2" s="1"/>
  <c r="Q1366" i="2"/>
  <c r="O1366" i="2"/>
  <c r="F1366" i="2"/>
  <c r="D1366" i="2"/>
  <c r="J1323" i="2"/>
  <c r="J1366" i="2" s="1"/>
  <c r="Z1271" i="2"/>
  <c r="Z1270" i="2"/>
  <c r="AD1269" i="2"/>
  <c r="AD1309" i="2" s="1"/>
  <c r="Z1269" i="2"/>
  <c r="Z1268" i="2"/>
  <c r="Z1267" i="2"/>
  <c r="Z1266" i="2"/>
  <c r="Y1268" i="2"/>
  <c r="Y1270" i="2" s="1"/>
  <c r="Y1271" i="2" s="1"/>
  <c r="AB1266" i="2"/>
  <c r="AF1266" i="2" s="1"/>
  <c r="Y1267" i="2"/>
  <c r="AB1267" i="2"/>
  <c r="AB1268" i="2"/>
  <c r="AF1268" i="2" s="1"/>
  <c r="AB1269" i="2"/>
  <c r="AB1270" i="2"/>
  <c r="AF1270" i="2" s="1"/>
  <c r="AB1271" i="2"/>
  <c r="AF1271" i="2" s="1"/>
  <c r="AB1272" i="2"/>
  <c r="AF1272" i="2" s="1"/>
  <c r="AB1273" i="2"/>
  <c r="AF1273" i="2" s="1"/>
  <c r="AB1274" i="2"/>
  <c r="AF1274" i="2"/>
  <c r="AB1275" i="2"/>
  <c r="AF1275" i="2"/>
  <c r="AB1276" i="2"/>
  <c r="AF1276" i="2" s="1"/>
  <c r="AB1277" i="2"/>
  <c r="AF1277" i="2" s="1"/>
  <c r="AB1278" i="2"/>
  <c r="AF1278" i="2"/>
  <c r="AB1279" i="2"/>
  <c r="AF1279" i="2" s="1"/>
  <c r="AB1280" i="2"/>
  <c r="AF1280" i="2" s="1"/>
  <c r="AB1281" i="2"/>
  <c r="AF1281" i="2" s="1"/>
  <c r="AB1282" i="2"/>
  <c r="AF1282" i="2"/>
  <c r="AB1283" i="2"/>
  <c r="AF1283" i="2"/>
  <c r="AB1284" i="2"/>
  <c r="AF1284" i="2" s="1"/>
  <c r="AB1285" i="2"/>
  <c r="AF1285" i="2" s="1"/>
  <c r="AB1286" i="2"/>
  <c r="AF1286" i="2"/>
  <c r="AB1287" i="2"/>
  <c r="AF1287" i="2" s="1"/>
  <c r="AB1288" i="2"/>
  <c r="AF1288" i="2" s="1"/>
  <c r="AB1289" i="2"/>
  <c r="AF1289" i="2" s="1"/>
  <c r="AB1290" i="2"/>
  <c r="AF1290" i="2"/>
  <c r="AB1291" i="2"/>
  <c r="AF1291" i="2"/>
  <c r="AB1292" i="2"/>
  <c r="AF1292" i="2" s="1"/>
  <c r="AB1293" i="2"/>
  <c r="AF1293" i="2" s="1"/>
  <c r="AB1294" i="2"/>
  <c r="AF1294" i="2"/>
  <c r="AB1295" i="2"/>
  <c r="AF1295" i="2" s="1"/>
  <c r="AB1296" i="2"/>
  <c r="AF1296" i="2" s="1"/>
  <c r="AB1297" i="2"/>
  <c r="AF1297" i="2" s="1"/>
  <c r="AB1298" i="2"/>
  <c r="AF1298" i="2"/>
  <c r="AB1299" i="2"/>
  <c r="AF1299" i="2"/>
  <c r="AB1300" i="2"/>
  <c r="AF1300" i="2" s="1"/>
  <c r="AB1301" i="2"/>
  <c r="AF1301" i="2" s="1"/>
  <c r="AB1302" i="2"/>
  <c r="AF1302" i="2"/>
  <c r="AB1303" i="2"/>
  <c r="AF1303" i="2" s="1"/>
  <c r="AB1304" i="2"/>
  <c r="AF1304" i="2" s="1"/>
  <c r="AF1305" i="2"/>
  <c r="AB1306" i="2"/>
  <c r="AF1306" i="2"/>
  <c r="AF1307" i="2"/>
  <c r="AA1309" i="2"/>
  <c r="AE1309" i="2"/>
  <c r="O1289" i="2"/>
  <c r="Q1289" i="2" s="1"/>
  <c r="U1289" i="2" s="1"/>
  <c r="O1288" i="2"/>
  <c r="Q1288" i="2" s="1"/>
  <c r="U1288" i="2" s="1"/>
  <c r="O1287" i="2"/>
  <c r="Q1287" i="2" s="1"/>
  <c r="U1287" i="2" s="1"/>
  <c r="O1286" i="2"/>
  <c r="O1285" i="2"/>
  <c r="O1284" i="2"/>
  <c r="O1283" i="2"/>
  <c r="O1282" i="2"/>
  <c r="O1281" i="2"/>
  <c r="Q1281" i="2" s="1"/>
  <c r="U1281" i="2" s="1"/>
  <c r="O1280" i="2"/>
  <c r="Q1280" i="2" s="1"/>
  <c r="U1280" i="2" s="1"/>
  <c r="O1279" i="2"/>
  <c r="O1278" i="2"/>
  <c r="Q1278" i="2" s="1"/>
  <c r="U1278" i="2" s="1"/>
  <c r="O1277" i="2"/>
  <c r="O1276" i="2"/>
  <c r="O1275" i="2"/>
  <c r="Q1275" i="2"/>
  <c r="U1275" i="2" s="1"/>
  <c r="O1274" i="2"/>
  <c r="Q1274" i="2"/>
  <c r="U1274" i="2" s="1"/>
  <c r="O1273" i="2"/>
  <c r="O1272" i="2"/>
  <c r="Q1272" i="2" s="1"/>
  <c r="U1272" i="2" s="1"/>
  <c r="O1271" i="2"/>
  <c r="Q1271" i="2" s="1"/>
  <c r="U1271" i="2" s="1"/>
  <c r="O1270" i="2"/>
  <c r="O1269" i="2"/>
  <c r="O1268" i="2"/>
  <c r="O1267" i="2"/>
  <c r="O1266" i="2"/>
  <c r="Q1266" i="2"/>
  <c r="N1267" i="2"/>
  <c r="N1268" i="2" s="1"/>
  <c r="N1269" i="2" s="1"/>
  <c r="N1270" i="2" s="1"/>
  <c r="N1271" i="2" s="1"/>
  <c r="N1272" i="2" s="1"/>
  <c r="N1273" i="2" s="1"/>
  <c r="N1274" i="2" s="1"/>
  <c r="N1275" i="2" s="1"/>
  <c r="N1276" i="2" s="1"/>
  <c r="N1277" i="2" s="1"/>
  <c r="N1278" i="2" s="1"/>
  <c r="N1279" i="2" s="1"/>
  <c r="N1280" i="2" s="1"/>
  <c r="N1281" i="2" s="1"/>
  <c r="N1282" i="2" s="1"/>
  <c r="N1283" i="2" s="1"/>
  <c r="N1284" i="2" s="1"/>
  <c r="N1285" i="2" s="1"/>
  <c r="N1286" i="2" s="1"/>
  <c r="N1287" i="2" s="1"/>
  <c r="N1288" i="2" s="1"/>
  <c r="N1289" i="2" s="1"/>
  <c r="Q1267" i="2"/>
  <c r="U1267" i="2" s="1"/>
  <c r="Q1269" i="2"/>
  <c r="U1269" i="2" s="1"/>
  <c r="Q1270" i="2"/>
  <c r="U1270" i="2" s="1"/>
  <c r="Q1273" i="2"/>
  <c r="U1273" i="2" s="1"/>
  <c r="Q1276" i="2"/>
  <c r="U1276" i="2" s="1"/>
  <c r="Q1277" i="2"/>
  <c r="U1277" i="2" s="1"/>
  <c r="Q1279" i="2"/>
  <c r="U1279" i="2" s="1"/>
  <c r="Q1282" i="2"/>
  <c r="U1282" i="2" s="1"/>
  <c r="Q1283" i="2"/>
  <c r="U1283" i="2" s="1"/>
  <c r="Q1284" i="2"/>
  <c r="U1284" i="2" s="1"/>
  <c r="Q1285" i="2"/>
  <c r="U1285" i="2" s="1"/>
  <c r="Q1286" i="2"/>
  <c r="U1286" i="2" s="1"/>
  <c r="Q1290" i="2"/>
  <c r="U1290" i="2" s="1"/>
  <c r="Q1291" i="2"/>
  <c r="U1291" i="2"/>
  <c r="Q1292" i="2"/>
  <c r="U1292" i="2" s="1"/>
  <c r="Q1293" i="2"/>
  <c r="U1293" i="2" s="1"/>
  <c r="Q1294" i="2"/>
  <c r="U1294" i="2" s="1"/>
  <c r="Q1295" i="2"/>
  <c r="U1295" i="2" s="1"/>
  <c r="Q1296" i="2"/>
  <c r="U1296" i="2" s="1"/>
  <c r="Q1297" i="2"/>
  <c r="U1297" i="2"/>
  <c r="Q1298" i="2"/>
  <c r="U1298" i="2" s="1"/>
  <c r="Q1299" i="2"/>
  <c r="U1299" i="2"/>
  <c r="Q1300" i="2"/>
  <c r="U1300" i="2" s="1"/>
  <c r="Q1301" i="2"/>
  <c r="U1301" i="2" s="1"/>
  <c r="Q1302" i="2"/>
  <c r="U1302" i="2"/>
  <c r="Q1303" i="2"/>
  <c r="U1303" i="2" s="1"/>
  <c r="Q1304" i="2"/>
  <c r="U1304" i="2" s="1"/>
  <c r="U1305" i="2"/>
  <c r="Q1306" i="2"/>
  <c r="U1306" i="2"/>
  <c r="U1307" i="2"/>
  <c r="P1309" i="2"/>
  <c r="S1309" i="2"/>
  <c r="T1309" i="2"/>
  <c r="D40" i="1"/>
  <c r="D1287" i="2"/>
  <c r="D1286" i="2"/>
  <c r="D1285" i="2"/>
  <c r="D1284" i="2"/>
  <c r="F1284" i="2" s="1"/>
  <c r="J1284" i="2" s="1"/>
  <c r="D1283" i="2"/>
  <c r="F1283" i="2" s="1"/>
  <c r="J1283" i="2" s="1"/>
  <c r="D1282" i="2"/>
  <c r="F1282" i="2" s="1"/>
  <c r="J1282" i="2" s="1"/>
  <c r="C1283" i="2"/>
  <c r="C1284" i="2" s="1"/>
  <c r="C1285" i="2" s="1"/>
  <c r="C1286" i="2" s="1"/>
  <c r="C1287" i="2" s="1"/>
  <c r="D1281" i="2"/>
  <c r="F1281" i="2" s="1"/>
  <c r="J1281" i="2" s="1"/>
  <c r="D1280" i="2"/>
  <c r="D1279" i="2"/>
  <c r="D1278" i="2"/>
  <c r="D1277" i="2"/>
  <c r="F1277" i="2" s="1"/>
  <c r="J1277" i="2" s="1"/>
  <c r="D1276" i="2"/>
  <c r="D1275" i="2"/>
  <c r="D1274" i="2"/>
  <c r="F1274" i="2"/>
  <c r="J1274" i="2" s="1"/>
  <c r="D1273" i="2"/>
  <c r="F1273" i="2" s="1"/>
  <c r="J1273" i="2" s="1"/>
  <c r="D1272" i="2"/>
  <c r="F1272" i="2" s="1"/>
  <c r="J1272" i="2" s="1"/>
  <c r="D1271" i="2"/>
  <c r="F1271" i="2" s="1"/>
  <c r="J1271" i="2" s="1"/>
  <c r="D1270" i="2"/>
  <c r="D1269" i="2"/>
  <c r="F1269" i="2" s="1"/>
  <c r="J1269" i="2" s="1"/>
  <c r="D1268" i="2"/>
  <c r="D1267" i="2"/>
  <c r="F1267" i="2" s="1"/>
  <c r="J1267" i="2" s="1"/>
  <c r="I1266" i="2"/>
  <c r="I1309" i="2" s="1"/>
  <c r="H1266" i="2"/>
  <c r="D1266" i="2"/>
  <c r="F1266" i="2"/>
  <c r="C1267" i="2"/>
  <c r="C1268" i="2" s="1"/>
  <c r="C1269" i="2" s="1"/>
  <c r="C1270" i="2" s="1"/>
  <c r="C1271" i="2" s="1"/>
  <c r="C1272" i="2" s="1"/>
  <c r="C1273" i="2" s="1"/>
  <c r="C1274" i="2" s="1"/>
  <c r="C1275" i="2" s="1"/>
  <c r="C1276" i="2" s="1"/>
  <c r="C1277" i="2" s="1"/>
  <c r="C1278" i="2" s="1"/>
  <c r="C1279" i="2" s="1"/>
  <c r="C1280" i="2" s="1"/>
  <c r="C1281" i="2" s="1"/>
  <c r="F1268" i="2"/>
  <c r="J1268" i="2" s="1"/>
  <c r="F1270" i="2"/>
  <c r="J1270" i="2" s="1"/>
  <c r="F1275" i="2"/>
  <c r="J1275" i="2" s="1"/>
  <c r="F1276" i="2"/>
  <c r="J1276" i="2" s="1"/>
  <c r="F1278" i="2"/>
  <c r="J1278" i="2" s="1"/>
  <c r="F1279" i="2"/>
  <c r="J1279" i="2" s="1"/>
  <c r="F1280" i="2"/>
  <c r="J1280" i="2" s="1"/>
  <c r="F1285" i="2"/>
  <c r="J1285" i="2" s="1"/>
  <c r="F1286" i="2"/>
  <c r="J1286" i="2" s="1"/>
  <c r="F1287" i="2"/>
  <c r="J1287" i="2" s="1"/>
  <c r="F1288" i="2"/>
  <c r="J1288" i="2"/>
  <c r="F1289" i="2"/>
  <c r="J1289" i="2"/>
  <c r="F1290" i="2"/>
  <c r="J1290" i="2"/>
  <c r="F1291" i="2"/>
  <c r="J1291" i="2"/>
  <c r="F1292" i="2"/>
  <c r="J1292" i="2"/>
  <c r="F1293" i="2"/>
  <c r="J1293" i="2" s="1"/>
  <c r="F1294" i="2"/>
  <c r="J1294" i="2"/>
  <c r="F1295" i="2"/>
  <c r="J1295" i="2" s="1"/>
  <c r="F1296" i="2"/>
  <c r="J1296" i="2"/>
  <c r="F1297" i="2"/>
  <c r="J1297" i="2"/>
  <c r="F1298" i="2"/>
  <c r="J1298" i="2"/>
  <c r="F1299" i="2"/>
  <c r="J1299" i="2"/>
  <c r="F1300" i="2"/>
  <c r="J1300" i="2"/>
  <c r="F1301" i="2"/>
  <c r="J1301" i="2" s="1"/>
  <c r="F1302" i="2"/>
  <c r="J1302" i="2"/>
  <c r="F1303" i="2"/>
  <c r="J1303" i="2" s="1"/>
  <c r="F1304" i="2"/>
  <c r="J1304" i="2"/>
  <c r="J1305" i="2"/>
  <c r="F1306" i="2"/>
  <c r="J1306" i="2"/>
  <c r="J1307" i="2"/>
  <c r="E1309" i="2"/>
  <c r="H1309" i="2"/>
  <c r="AF1269" i="2" l="1"/>
  <c r="AF1267" i="2"/>
  <c r="AB1309" i="2"/>
  <c r="Z1309" i="2"/>
  <c r="O1309" i="2"/>
  <c r="Q1268" i="2"/>
  <c r="U1268" i="2" s="1"/>
  <c r="U1266" i="2"/>
  <c r="J1266" i="2"/>
  <c r="J1309" i="2" s="1"/>
  <c r="F1309" i="2"/>
  <c r="D1309" i="2"/>
  <c r="Z1214" i="2"/>
  <c r="Z1213" i="2"/>
  <c r="Z1212" i="2"/>
  <c r="Z1211" i="2"/>
  <c r="Z1210" i="2"/>
  <c r="Z1209" i="2"/>
  <c r="AB1209" i="2" s="1"/>
  <c r="AF1209" i="2" s="1"/>
  <c r="Y1211" i="2"/>
  <c r="Y1212" i="2" s="1"/>
  <c r="Y1213" i="2" s="1"/>
  <c r="Y1214" i="2" s="1"/>
  <c r="Y1210" i="2"/>
  <c r="AB1210" i="2"/>
  <c r="AF1210" i="2" s="1"/>
  <c r="AB1211" i="2"/>
  <c r="AF1211" i="2" s="1"/>
  <c r="AB1212" i="2"/>
  <c r="AF1212" i="2" s="1"/>
  <c r="AB1213" i="2"/>
  <c r="AF1213" i="2" s="1"/>
  <c r="AB1214" i="2"/>
  <c r="AF1214" i="2" s="1"/>
  <c r="AB1215" i="2"/>
  <c r="AF1215" i="2" s="1"/>
  <c r="AB1216" i="2"/>
  <c r="AF1216" i="2"/>
  <c r="AB1217" i="2"/>
  <c r="AF1217" i="2" s="1"/>
  <c r="AB1218" i="2"/>
  <c r="AF1218" i="2"/>
  <c r="AB1219" i="2"/>
  <c r="AF1219" i="2" s="1"/>
  <c r="AB1220" i="2"/>
  <c r="AF1220" i="2"/>
  <c r="AB1221" i="2"/>
  <c r="AF1221" i="2" s="1"/>
  <c r="AB1222" i="2"/>
  <c r="AF1222" i="2"/>
  <c r="AB1223" i="2"/>
  <c r="AF1223" i="2" s="1"/>
  <c r="AB1224" i="2"/>
  <c r="AF1224" i="2" s="1"/>
  <c r="AB1225" i="2"/>
  <c r="AF1225" i="2" s="1"/>
  <c r="AB1226" i="2"/>
  <c r="AF1226" i="2" s="1"/>
  <c r="AB1227" i="2"/>
  <c r="AF1227" i="2" s="1"/>
  <c r="AB1228" i="2"/>
  <c r="AF1228" i="2"/>
  <c r="AB1229" i="2"/>
  <c r="AF1229" i="2" s="1"/>
  <c r="AB1230" i="2"/>
  <c r="AF1230" i="2" s="1"/>
  <c r="AB1231" i="2"/>
  <c r="AF1231" i="2"/>
  <c r="AB1232" i="2"/>
  <c r="AF1232" i="2" s="1"/>
  <c r="AB1233" i="2"/>
  <c r="AF1233" i="2" s="1"/>
  <c r="AB1234" i="2"/>
  <c r="AF1234" i="2"/>
  <c r="AB1235" i="2"/>
  <c r="AF1235" i="2"/>
  <c r="AB1236" i="2"/>
  <c r="AF1236" i="2"/>
  <c r="AB1237" i="2"/>
  <c r="AF1237" i="2"/>
  <c r="AB1238" i="2"/>
  <c r="AF1238" i="2" s="1"/>
  <c r="AB1239" i="2"/>
  <c r="AF1239" i="2"/>
  <c r="AB1240" i="2"/>
  <c r="AF1240" i="2" s="1"/>
  <c r="AB1241" i="2"/>
  <c r="AF1241" i="2" s="1"/>
  <c r="AB1242" i="2"/>
  <c r="AF1242" i="2"/>
  <c r="AB1243" i="2"/>
  <c r="AF1243" i="2"/>
  <c r="AB1244" i="2"/>
  <c r="AF1244" i="2"/>
  <c r="AB1245" i="2"/>
  <c r="AF1245" i="2"/>
  <c r="AB1246" i="2"/>
  <c r="AF1246" i="2" s="1"/>
  <c r="AB1247" i="2"/>
  <c r="AF1247" i="2"/>
  <c r="AF1248" i="2"/>
  <c r="AB1249" i="2"/>
  <c r="AF1249" i="2" s="1"/>
  <c r="AF1250" i="2"/>
  <c r="AA1252" i="2"/>
  <c r="AD1252" i="2"/>
  <c r="AE1252" i="2"/>
  <c r="O1221" i="2"/>
  <c r="O1220" i="2"/>
  <c r="O1219" i="2"/>
  <c r="O1218" i="2"/>
  <c r="O1217" i="2"/>
  <c r="O1216" i="2"/>
  <c r="Q1216" i="2" s="1"/>
  <c r="U1216" i="2" s="1"/>
  <c r="O1215" i="2"/>
  <c r="O1214" i="2"/>
  <c r="O1213" i="2"/>
  <c r="Q1213" i="2"/>
  <c r="U1213" i="2" s="1"/>
  <c r="O1212" i="2"/>
  <c r="O1211" i="2"/>
  <c r="O1210" i="2"/>
  <c r="O1209" i="2"/>
  <c r="N1211" i="2"/>
  <c r="N1212" i="2" s="1"/>
  <c r="N1213" i="2" s="1"/>
  <c r="N1214" i="2" s="1"/>
  <c r="N1215" i="2" s="1"/>
  <c r="N1216" i="2" s="1"/>
  <c r="N1217" i="2" s="1"/>
  <c r="N1218" i="2" s="1"/>
  <c r="N1219" i="2" s="1"/>
  <c r="N1220" i="2" s="1"/>
  <c r="N1221" i="2" s="1"/>
  <c r="Q1209" i="2"/>
  <c r="N1210" i="2"/>
  <c r="Q1211" i="2"/>
  <c r="U1211" i="2" s="1"/>
  <c r="Q1212" i="2"/>
  <c r="U1212" i="2" s="1"/>
  <c r="Q1214" i="2"/>
  <c r="U1214" i="2" s="1"/>
  <c r="Q1217" i="2"/>
  <c r="U1217" i="2" s="1"/>
  <c r="Q1218" i="2"/>
  <c r="U1218" i="2" s="1"/>
  <c r="Q1219" i="2"/>
  <c r="U1219" i="2" s="1"/>
  <c r="Q1220" i="2"/>
  <c r="U1220" i="2" s="1"/>
  <c r="Q1221" i="2"/>
  <c r="U1221" i="2"/>
  <c r="Q1222" i="2"/>
  <c r="U1222" i="2" s="1"/>
  <c r="Q1223" i="2"/>
  <c r="U1223" i="2" s="1"/>
  <c r="Q1224" i="2"/>
  <c r="U1224" i="2" s="1"/>
  <c r="Q1225" i="2"/>
  <c r="U1225" i="2"/>
  <c r="Q1226" i="2"/>
  <c r="U1226" i="2" s="1"/>
  <c r="Q1227" i="2"/>
  <c r="U1227" i="2"/>
  <c r="Q1228" i="2"/>
  <c r="U1228" i="2" s="1"/>
  <c r="Q1229" i="2"/>
  <c r="U1229" i="2" s="1"/>
  <c r="Q1230" i="2"/>
  <c r="U1230" i="2" s="1"/>
  <c r="Q1231" i="2"/>
  <c r="U1231" i="2"/>
  <c r="Q1232" i="2"/>
  <c r="U1232" i="2" s="1"/>
  <c r="Q1233" i="2"/>
  <c r="U1233" i="2" s="1"/>
  <c r="Q1234" i="2"/>
  <c r="U1234" i="2"/>
  <c r="Q1235" i="2"/>
  <c r="U1235" i="2"/>
  <c r="Q1236" i="2"/>
  <c r="U1236" i="2"/>
  <c r="Q1237" i="2"/>
  <c r="U1237" i="2" s="1"/>
  <c r="Q1238" i="2"/>
  <c r="U1238" i="2"/>
  <c r="Q1239" i="2"/>
  <c r="U1239" i="2"/>
  <c r="Q1240" i="2"/>
  <c r="U1240" i="2"/>
  <c r="Q1241" i="2"/>
  <c r="U1241" i="2" s="1"/>
  <c r="Q1242" i="2"/>
  <c r="U1242" i="2"/>
  <c r="Q1243" i="2"/>
  <c r="U1243" i="2"/>
  <c r="Q1244" i="2"/>
  <c r="U1244" i="2"/>
  <c r="Q1245" i="2"/>
  <c r="U1245" i="2" s="1"/>
  <c r="Q1246" i="2"/>
  <c r="U1246" i="2"/>
  <c r="Q1247" i="2"/>
  <c r="U1247" i="2"/>
  <c r="U1248" i="2"/>
  <c r="Q1249" i="2"/>
  <c r="U1249" i="2"/>
  <c r="U1250" i="2"/>
  <c r="P1252" i="2"/>
  <c r="S1252" i="2"/>
  <c r="T1252" i="2"/>
  <c r="D1224" i="2"/>
  <c r="D1223" i="2"/>
  <c r="F1223" i="2" s="1"/>
  <c r="J1223" i="2" s="1"/>
  <c r="D1222" i="2"/>
  <c r="D1221" i="2"/>
  <c r="D1220" i="2"/>
  <c r="D1219" i="2"/>
  <c r="F1219" i="2" s="1"/>
  <c r="J1219" i="2" s="1"/>
  <c r="D1218" i="2"/>
  <c r="F1218" i="2" s="1"/>
  <c r="J1218" i="2" s="1"/>
  <c r="D1217" i="2"/>
  <c r="F1217" i="2" s="1"/>
  <c r="J1217" i="2" s="1"/>
  <c r="D1216" i="2"/>
  <c r="F1216" i="2" s="1"/>
  <c r="J1216" i="2" s="1"/>
  <c r="D1215" i="2"/>
  <c r="F1215" i="2" s="1"/>
  <c r="J1215" i="2" s="1"/>
  <c r="D1214" i="2"/>
  <c r="F1214" i="2" s="1"/>
  <c r="J1214" i="2" s="1"/>
  <c r="D1213" i="2"/>
  <c r="D1212" i="2"/>
  <c r="I1211" i="2"/>
  <c r="I1252" i="2" s="1"/>
  <c r="D1211" i="2"/>
  <c r="D1210" i="2"/>
  <c r="F1210" i="2" s="1"/>
  <c r="J1210" i="2" s="1"/>
  <c r="D1209" i="2"/>
  <c r="F1209" i="2" s="1"/>
  <c r="J1209" i="2" s="1"/>
  <c r="C1210" i="2"/>
  <c r="C1211" i="2" s="1"/>
  <c r="C1212" i="2" s="1"/>
  <c r="C1213" i="2" s="1"/>
  <c r="C1214" i="2" s="1"/>
  <c r="C1215" i="2" s="1"/>
  <c r="C1216" i="2" s="1"/>
  <c r="C1217" i="2" s="1"/>
  <c r="C1218" i="2" s="1"/>
  <c r="C1219" i="2" s="1"/>
  <c r="C1220" i="2" s="1"/>
  <c r="C1221" i="2" s="1"/>
  <c r="C1222" i="2" s="1"/>
  <c r="C1223" i="2" s="1"/>
  <c r="C1224" i="2" s="1"/>
  <c r="F1211" i="2"/>
  <c r="J1211" i="2" s="1"/>
  <c r="F1212" i="2"/>
  <c r="J1212" i="2" s="1"/>
  <c r="F1213" i="2"/>
  <c r="J1213" i="2" s="1"/>
  <c r="F1220" i="2"/>
  <c r="J1220" i="2" s="1"/>
  <c r="F1221" i="2"/>
  <c r="J1221" i="2" s="1"/>
  <c r="F1222" i="2"/>
  <c r="J1222" i="2" s="1"/>
  <c r="F1224" i="2"/>
  <c r="J1224" i="2" s="1"/>
  <c r="F1225" i="2"/>
  <c r="J1225" i="2" s="1"/>
  <c r="F1226" i="2"/>
  <c r="J1226" i="2" s="1"/>
  <c r="F1227" i="2"/>
  <c r="J1227" i="2"/>
  <c r="F1228" i="2"/>
  <c r="J1228" i="2" s="1"/>
  <c r="F1229" i="2"/>
  <c r="J1229" i="2"/>
  <c r="F1230" i="2"/>
  <c r="J1230" i="2" s="1"/>
  <c r="F1231" i="2"/>
  <c r="J1231" i="2"/>
  <c r="F1232" i="2"/>
  <c r="J1232" i="2"/>
  <c r="F1233" i="2"/>
  <c r="J1233" i="2"/>
  <c r="F1234" i="2"/>
  <c r="J1234" i="2" s="1"/>
  <c r="F1235" i="2"/>
  <c r="J1235" i="2"/>
  <c r="F1236" i="2"/>
  <c r="J1236" i="2" s="1"/>
  <c r="F1237" i="2"/>
  <c r="J1237" i="2"/>
  <c r="F1238" i="2"/>
  <c r="J1238" i="2" s="1"/>
  <c r="F1239" i="2"/>
  <c r="J1239" i="2"/>
  <c r="F1240" i="2"/>
  <c r="J1240" i="2"/>
  <c r="F1241" i="2"/>
  <c r="J1241" i="2"/>
  <c r="F1242" i="2"/>
  <c r="J1242" i="2" s="1"/>
  <c r="F1243" i="2"/>
  <c r="J1243" i="2"/>
  <c r="F1244" i="2"/>
  <c r="J1244" i="2" s="1"/>
  <c r="F1245" i="2"/>
  <c r="J1245" i="2"/>
  <c r="F1246" i="2"/>
  <c r="J1246" i="2" s="1"/>
  <c r="F1247" i="2"/>
  <c r="J1247" i="2"/>
  <c r="J1248" i="2"/>
  <c r="F1249" i="2"/>
  <c r="J1249" i="2"/>
  <c r="J1250" i="2"/>
  <c r="E1252" i="2"/>
  <c r="H1252" i="2"/>
  <c r="AF1309" i="2" l="1"/>
  <c r="Q1309" i="2"/>
  <c r="U1309" i="2"/>
  <c r="Z1252" i="2"/>
  <c r="AB1252" i="2"/>
  <c r="AF1252" i="2"/>
  <c r="O1252" i="2"/>
  <c r="Q1215" i="2"/>
  <c r="U1215" i="2" s="1"/>
  <c r="U1209" i="2"/>
  <c r="Q1210" i="2"/>
  <c r="U1210" i="2" s="1"/>
  <c r="J1252" i="2"/>
  <c r="D1252" i="2"/>
  <c r="F1252" i="2"/>
  <c r="Z1172" i="2"/>
  <c r="Z1171" i="2"/>
  <c r="Z1170" i="2"/>
  <c r="AB1170" i="2" s="1"/>
  <c r="AF1170" i="2" s="1"/>
  <c r="Z1169" i="2"/>
  <c r="AB1169" i="2" s="1"/>
  <c r="AF1169" i="2" s="1"/>
  <c r="Z1168" i="2"/>
  <c r="AB1168" i="2" s="1"/>
  <c r="AF1168" i="2" s="1"/>
  <c r="Z1167" i="2"/>
  <c r="AB1167" i="2"/>
  <c r="AF1167" i="2" s="1"/>
  <c r="Z1166" i="2"/>
  <c r="AB1166" i="2" s="1"/>
  <c r="AF1166" i="2" s="1"/>
  <c r="Z1165" i="2"/>
  <c r="Z1164" i="2"/>
  <c r="Z1163" i="2"/>
  <c r="Z1162" i="2"/>
  <c r="Z1161" i="2"/>
  <c r="Z1160" i="2"/>
  <c r="AB1160" i="2" s="1"/>
  <c r="AF1160" i="2" s="1"/>
  <c r="Z1159" i="2"/>
  <c r="AB1159" i="2" s="1"/>
  <c r="AF1159" i="2" s="1"/>
  <c r="Z1158" i="2"/>
  <c r="Z1157" i="2"/>
  <c r="AB1157" i="2" s="1"/>
  <c r="AF1157" i="2" s="1"/>
  <c r="Z1156" i="2"/>
  <c r="Z1155" i="2"/>
  <c r="AB1155" i="2" s="1"/>
  <c r="AF1155" i="2" s="1"/>
  <c r="Z1154" i="2"/>
  <c r="Z1153" i="2"/>
  <c r="AB1153" i="2" s="1"/>
  <c r="AF1153" i="2" s="1"/>
  <c r="Z1152" i="2"/>
  <c r="AB1152" i="2"/>
  <c r="Y1153" i="2"/>
  <c r="Y1154" i="2"/>
  <c r="Y1155" i="2" s="1"/>
  <c r="Y1156" i="2" s="1"/>
  <c r="Y1157" i="2" s="1"/>
  <c r="Y1159" i="2" s="1"/>
  <c r="Y1160" i="2" s="1"/>
  <c r="Y1161" i="2" s="1"/>
  <c r="Y1162" i="2" s="1"/>
  <c r="Y1163" i="2" s="1"/>
  <c r="Y1164" i="2" s="1"/>
  <c r="Y1165" i="2" s="1"/>
  <c r="Y1166" i="2" s="1"/>
  <c r="Y1167" i="2" s="1"/>
  <c r="Y1168" i="2" s="1"/>
  <c r="Y1169" i="2" s="1"/>
  <c r="Y1170" i="2" s="1"/>
  <c r="Y1171" i="2" s="1"/>
  <c r="Y1172" i="2" s="1"/>
  <c r="AB1154" i="2"/>
  <c r="AF1154" i="2" s="1"/>
  <c r="AB1156" i="2"/>
  <c r="AF1156" i="2" s="1"/>
  <c r="AB1158" i="2"/>
  <c r="AF1158" i="2" s="1"/>
  <c r="AB1161" i="2"/>
  <c r="AF1161" i="2" s="1"/>
  <c r="AB1162" i="2"/>
  <c r="AF1162" i="2" s="1"/>
  <c r="AB1163" i="2"/>
  <c r="AF1163" i="2" s="1"/>
  <c r="AB1164" i="2"/>
  <c r="AF1164" i="2"/>
  <c r="AB1165" i="2"/>
  <c r="AF1165" i="2" s="1"/>
  <c r="AB1171" i="2"/>
  <c r="AF1171" i="2" s="1"/>
  <c r="AB1172" i="2"/>
  <c r="AF1172" i="2"/>
  <c r="AB1173" i="2"/>
  <c r="AF1173" i="2" s="1"/>
  <c r="AB1174" i="2"/>
  <c r="AF1174" i="2"/>
  <c r="AB1175" i="2"/>
  <c r="AF1175" i="2"/>
  <c r="AB1176" i="2"/>
  <c r="AF1176" i="2"/>
  <c r="AB1177" i="2"/>
  <c r="AF1177" i="2" s="1"/>
  <c r="AB1178" i="2"/>
  <c r="AF1178" i="2" s="1"/>
  <c r="AB1179" i="2"/>
  <c r="AF1179" i="2" s="1"/>
  <c r="AB1180" i="2"/>
  <c r="AF1180" i="2"/>
  <c r="AB1181" i="2"/>
  <c r="AF1181" i="2" s="1"/>
  <c r="AB1182" i="2"/>
  <c r="AF1182" i="2"/>
  <c r="AB1183" i="2"/>
  <c r="AF1183" i="2"/>
  <c r="AB1184" i="2"/>
  <c r="AF1184" i="2"/>
  <c r="AB1185" i="2"/>
  <c r="AF1185" i="2" s="1"/>
  <c r="AB1186" i="2"/>
  <c r="AF1186" i="2" s="1"/>
  <c r="AB1187" i="2"/>
  <c r="AF1187" i="2" s="1"/>
  <c r="AB1188" i="2"/>
  <c r="AF1188" i="2"/>
  <c r="AB1189" i="2"/>
  <c r="AF1189" i="2" s="1"/>
  <c r="AB1190" i="2"/>
  <c r="AF1190" i="2"/>
  <c r="AF1191" i="2"/>
  <c r="AB1192" i="2"/>
  <c r="AF1192" i="2"/>
  <c r="AF1193" i="2"/>
  <c r="AA1195" i="2"/>
  <c r="AD1195" i="2"/>
  <c r="AE1195" i="2"/>
  <c r="O1175" i="2"/>
  <c r="O1174" i="2"/>
  <c r="O1173" i="2"/>
  <c r="O1172" i="2"/>
  <c r="O1171" i="2"/>
  <c r="O1170" i="2"/>
  <c r="O1169" i="2"/>
  <c r="Q1169" i="2" s="1"/>
  <c r="U1169" i="2" s="1"/>
  <c r="O1168" i="2"/>
  <c r="O1167" i="2"/>
  <c r="O1166" i="2"/>
  <c r="Q1166" i="2" s="1"/>
  <c r="U1166" i="2" s="1"/>
  <c r="O1165" i="2"/>
  <c r="O1164" i="2"/>
  <c r="O1163" i="2"/>
  <c r="O1162" i="2"/>
  <c r="O1161" i="2"/>
  <c r="O1160" i="2"/>
  <c r="Q1160" i="2" s="1"/>
  <c r="U1160" i="2" s="1"/>
  <c r="O1159" i="2"/>
  <c r="Q1159" i="2" s="1"/>
  <c r="U1159" i="2" s="1"/>
  <c r="O1158" i="2"/>
  <c r="Q1158" i="2" s="1"/>
  <c r="U1158" i="2" s="1"/>
  <c r="O1157" i="2"/>
  <c r="O1156" i="2"/>
  <c r="O1155" i="2"/>
  <c r="O1154" i="2"/>
  <c r="O1153" i="2"/>
  <c r="O1152" i="2"/>
  <c r="Q1152" i="2" s="1"/>
  <c r="N1153" i="2"/>
  <c r="N1154" i="2" s="1"/>
  <c r="N1155" i="2" s="1"/>
  <c r="N1156" i="2" s="1"/>
  <c r="N1157" i="2" s="1"/>
  <c r="N1158" i="2" s="1"/>
  <c r="N1159" i="2" s="1"/>
  <c r="N1160" i="2" s="1"/>
  <c r="N1161" i="2" s="1"/>
  <c r="N1162" i="2" s="1"/>
  <c r="N1163" i="2" s="1"/>
  <c r="N1164" i="2" s="1"/>
  <c r="N1165" i="2" s="1"/>
  <c r="N1166" i="2" s="1"/>
  <c r="N1167" i="2" s="1"/>
  <c r="N1168" i="2" s="1"/>
  <c r="N1169" i="2" s="1"/>
  <c r="N1170" i="2" s="1"/>
  <c r="N1171" i="2" s="1"/>
  <c r="N1172" i="2" s="1"/>
  <c r="N1173" i="2" s="1"/>
  <c r="N1174" i="2" s="1"/>
  <c r="N1175" i="2" s="1"/>
  <c r="Q1153" i="2"/>
  <c r="U1153" i="2" s="1"/>
  <c r="Q1154" i="2"/>
  <c r="U1154" i="2" s="1"/>
  <c r="Q1155" i="2"/>
  <c r="U1155" i="2" s="1"/>
  <c r="Q1156" i="2"/>
  <c r="U1156" i="2" s="1"/>
  <c r="Q1157" i="2"/>
  <c r="U1157" i="2" s="1"/>
  <c r="Q1161" i="2"/>
  <c r="U1161" i="2" s="1"/>
  <c r="Q1162" i="2"/>
  <c r="U1162" i="2" s="1"/>
  <c r="Q1163" i="2"/>
  <c r="U1163" i="2" s="1"/>
  <c r="Q1164" i="2"/>
  <c r="U1164" i="2" s="1"/>
  <c r="Q1165" i="2"/>
  <c r="U1165" i="2" s="1"/>
  <c r="Q1167" i="2"/>
  <c r="U1167" i="2" s="1"/>
  <c r="Q1168" i="2"/>
  <c r="U1168" i="2" s="1"/>
  <c r="Q1170" i="2"/>
  <c r="U1170" i="2" s="1"/>
  <c r="Q1171" i="2"/>
  <c r="U1171" i="2" s="1"/>
  <c r="Q1172" i="2"/>
  <c r="U1172" i="2" s="1"/>
  <c r="Q1173" i="2"/>
  <c r="U1173" i="2" s="1"/>
  <c r="Q1174" i="2"/>
  <c r="U1174" i="2" s="1"/>
  <c r="Q1175" i="2"/>
  <c r="U1175" i="2" s="1"/>
  <c r="Q1176" i="2"/>
  <c r="U1176" i="2" s="1"/>
  <c r="Q1177" i="2"/>
  <c r="U1177" i="2" s="1"/>
  <c r="Q1178" i="2"/>
  <c r="U1178" i="2" s="1"/>
  <c r="Q1179" i="2"/>
  <c r="U1179" i="2" s="1"/>
  <c r="Q1180" i="2"/>
  <c r="U1180" i="2" s="1"/>
  <c r="Q1181" i="2"/>
  <c r="U1181" i="2"/>
  <c r="Q1182" i="2"/>
  <c r="U1182" i="2"/>
  <c r="Q1183" i="2"/>
  <c r="U1183" i="2"/>
  <c r="Q1184" i="2"/>
  <c r="U1184" i="2"/>
  <c r="Q1185" i="2"/>
  <c r="U1185" i="2"/>
  <c r="Q1186" i="2"/>
  <c r="U1186" i="2" s="1"/>
  <c r="Q1187" i="2"/>
  <c r="U1187" i="2" s="1"/>
  <c r="Q1188" i="2"/>
  <c r="U1188" i="2" s="1"/>
  <c r="Q1189" i="2"/>
  <c r="U1189" i="2"/>
  <c r="Q1190" i="2"/>
  <c r="U1190" i="2"/>
  <c r="U1191" i="2"/>
  <c r="Q1192" i="2"/>
  <c r="U1192" i="2" s="1"/>
  <c r="U1193" i="2"/>
  <c r="P1195" i="2"/>
  <c r="S1195" i="2"/>
  <c r="T1195" i="2"/>
  <c r="C1167" i="2"/>
  <c r="C1168" i="2" s="1"/>
  <c r="C1169" i="2" s="1"/>
  <c r="D1169" i="2"/>
  <c r="D1168" i="2"/>
  <c r="F1168" i="2" s="1"/>
  <c r="J1168" i="2" s="1"/>
  <c r="D1167" i="2"/>
  <c r="D1166" i="2"/>
  <c r="F1166" i="2" s="1"/>
  <c r="J1166" i="2" s="1"/>
  <c r="D1165" i="2"/>
  <c r="F1165" i="2" s="1"/>
  <c r="J1165" i="2" s="1"/>
  <c r="D1164" i="2"/>
  <c r="F1164" i="2" s="1"/>
  <c r="J1164" i="2" s="1"/>
  <c r="D1163" i="2"/>
  <c r="D1162" i="2"/>
  <c r="D1161" i="2"/>
  <c r="D1160" i="2"/>
  <c r="D1159" i="2"/>
  <c r="D1158" i="2"/>
  <c r="D1157" i="2"/>
  <c r="F1157" i="2" s="1"/>
  <c r="J1157" i="2" s="1"/>
  <c r="D1156" i="2"/>
  <c r="D1155" i="2"/>
  <c r="D1154" i="2"/>
  <c r="D1153" i="2"/>
  <c r="D1152" i="2"/>
  <c r="F1152" i="2"/>
  <c r="J1152" i="2" s="1"/>
  <c r="C1153" i="2"/>
  <c r="F1153" i="2"/>
  <c r="J1153" i="2"/>
  <c r="C1154" i="2"/>
  <c r="C1155" i="2" s="1"/>
  <c r="C1156" i="2" s="1"/>
  <c r="C1157" i="2" s="1"/>
  <c r="C1158" i="2" s="1"/>
  <c r="C1159" i="2" s="1"/>
  <c r="C1160" i="2" s="1"/>
  <c r="C1161" i="2" s="1"/>
  <c r="C1162" i="2" s="1"/>
  <c r="C1163" i="2" s="1"/>
  <c r="C1164" i="2" s="1"/>
  <c r="C1165" i="2" s="1"/>
  <c r="C1166" i="2" s="1"/>
  <c r="F1154" i="2"/>
  <c r="J1154" i="2" s="1"/>
  <c r="F1155" i="2"/>
  <c r="J1155" i="2" s="1"/>
  <c r="F1156" i="2"/>
  <c r="J1156" i="2"/>
  <c r="F1158" i="2"/>
  <c r="J1158" i="2"/>
  <c r="F1159" i="2"/>
  <c r="J1159" i="2" s="1"/>
  <c r="F1160" i="2"/>
  <c r="J1160" i="2" s="1"/>
  <c r="F1161" i="2"/>
  <c r="J1161" i="2" s="1"/>
  <c r="F1162" i="2"/>
  <c r="J1162" i="2" s="1"/>
  <c r="F1163" i="2"/>
  <c r="J1163" i="2" s="1"/>
  <c r="F1167" i="2"/>
  <c r="J1167" i="2" s="1"/>
  <c r="F1169" i="2"/>
  <c r="J1169" i="2" s="1"/>
  <c r="F1170" i="2"/>
  <c r="J1170" i="2" s="1"/>
  <c r="F1171" i="2"/>
  <c r="J1171" i="2"/>
  <c r="F1172" i="2"/>
  <c r="J1172" i="2"/>
  <c r="F1173" i="2"/>
  <c r="J1173" i="2"/>
  <c r="F1174" i="2"/>
  <c r="J1174" i="2"/>
  <c r="F1175" i="2"/>
  <c r="J1175" i="2"/>
  <c r="F1176" i="2"/>
  <c r="J1176" i="2" s="1"/>
  <c r="F1177" i="2"/>
  <c r="J1177" i="2"/>
  <c r="F1178" i="2"/>
  <c r="J1178" i="2"/>
  <c r="F1179" i="2"/>
  <c r="J1179" i="2"/>
  <c r="F1180" i="2"/>
  <c r="J1180" i="2"/>
  <c r="F1181" i="2"/>
  <c r="J1181" i="2"/>
  <c r="F1182" i="2"/>
  <c r="J1182" i="2"/>
  <c r="F1183" i="2"/>
  <c r="J1183" i="2"/>
  <c r="F1184" i="2"/>
  <c r="J1184" i="2" s="1"/>
  <c r="F1185" i="2"/>
  <c r="J1185" i="2"/>
  <c r="F1186" i="2"/>
  <c r="J1186" i="2"/>
  <c r="F1187" i="2"/>
  <c r="J1187" i="2"/>
  <c r="F1188" i="2"/>
  <c r="J1188" i="2"/>
  <c r="F1189" i="2"/>
  <c r="J1189" i="2" s="1"/>
  <c r="F1190" i="2"/>
  <c r="J1190" i="2"/>
  <c r="J1191" i="2"/>
  <c r="F1192" i="2"/>
  <c r="J1192" i="2" s="1"/>
  <c r="J1193" i="2"/>
  <c r="E1195" i="2"/>
  <c r="H1195" i="2"/>
  <c r="I1195" i="2"/>
  <c r="Q1252" i="2" l="1"/>
  <c r="U1252" i="2"/>
  <c r="Z1195" i="2"/>
  <c r="AF1152" i="2"/>
  <c r="AF1195" i="2" s="1"/>
  <c r="AB1195" i="2"/>
  <c r="U1152" i="2"/>
  <c r="U1195" i="2" s="1"/>
  <c r="Q1195" i="2"/>
  <c r="O1195" i="2"/>
  <c r="D1195" i="2"/>
  <c r="F1195" i="2"/>
  <c r="J1195" i="2"/>
  <c r="Y1097" i="2"/>
  <c r="Y1098" i="2"/>
  <c r="Y1099" i="2"/>
  <c r="Y1100" i="2"/>
  <c r="Z1100" i="2"/>
  <c r="AB1100" i="2" s="1"/>
  <c r="AF1100" i="2" s="1"/>
  <c r="Z1099" i="2"/>
  <c r="AB1099" i="2" s="1"/>
  <c r="AF1099" i="2" s="1"/>
  <c r="Z1098" i="2"/>
  <c r="Z1097" i="2"/>
  <c r="Z1096" i="2"/>
  <c r="Z1095" i="2"/>
  <c r="AB1095" i="2"/>
  <c r="AD1138" i="2"/>
  <c r="Y1096" i="2"/>
  <c r="AB1096" i="2"/>
  <c r="AF1096" i="2" s="1"/>
  <c r="AB1097" i="2"/>
  <c r="AF1097" i="2" s="1"/>
  <c r="AB1098" i="2"/>
  <c r="AF1098" i="2" s="1"/>
  <c r="AB1101" i="2"/>
  <c r="AF1101" i="2" s="1"/>
  <c r="AB1102" i="2"/>
  <c r="AF1102" i="2"/>
  <c r="AB1103" i="2"/>
  <c r="AF1103" i="2"/>
  <c r="AB1104" i="2"/>
  <c r="AF1104" i="2" s="1"/>
  <c r="AB1105" i="2"/>
  <c r="AF1105" i="2"/>
  <c r="AB1106" i="2"/>
  <c r="AF1106" i="2"/>
  <c r="AB1107" i="2"/>
  <c r="AF1107" i="2"/>
  <c r="AB1108" i="2"/>
  <c r="AF1108" i="2" s="1"/>
  <c r="AB1109" i="2"/>
  <c r="AF1109" i="2"/>
  <c r="AB1110" i="2"/>
  <c r="AF1110" i="2" s="1"/>
  <c r="AB1111" i="2"/>
  <c r="AF1111" i="2"/>
  <c r="AB1112" i="2"/>
  <c r="AF1112" i="2" s="1"/>
  <c r="AB1113" i="2"/>
  <c r="AF1113" i="2"/>
  <c r="AB1114" i="2"/>
  <c r="AF1114" i="2"/>
  <c r="AB1115" i="2"/>
  <c r="AF1115" i="2"/>
  <c r="AB1116" i="2"/>
  <c r="AF1116" i="2" s="1"/>
  <c r="AB1117" i="2"/>
  <c r="AF1117" i="2"/>
  <c r="AB1118" i="2"/>
  <c r="AF1118" i="2" s="1"/>
  <c r="AB1119" i="2"/>
  <c r="AF1119" i="2"/>
  <c r="AB1120" i="2"/>
  <c r="AF1120" i="2" s="1"/>
  <c r="AB1121" i="2"/>
  <c r="AF1121" i="2"/>
  <c r="AB1122" i="2"/>
  <c r="AF1122" i="2"/>
  <c r="AB1123" i="2"/>
  <c r="AF1123" i="2"/>
  <c r="AB1124" i="2"/>
  <c r="AF1124" i="2" s="1"/>
  <c r="AB1125" i="2"/>
  <c r="AF1125" i="2"/>
  <c r="AB1126" i="2"/>
  <c r="AF1126" i="2" s="1"/>
  <c r="AB1127" i="2"/>
  <c r="AF1127" i="2"/>
  <c r="AB1128" i="2"/>
  <c r="AF1128" i="2" s="1"/>
  <c r="AB1129" i="2"/>
  <c r="AF1129" i="2"/>
  <c r="AB1130" i="2"/>
  <c r="AF1130" i="2" s="1"/>
  <c r="AB1131" i="2"/>
  <c r="AF1131" i="2"/>
  <c r="AB1132" i="2"/>
  <c r="AF1132" i="2" s="1"/>
  <c r="AB1133" i="2"/>
  <c r="AF1133" i="2"/>
  <c r="AF1134" i="2"/>
  <c r="AB1135" i="2"/>
  <c r="AF1135" i="2"/>
  <c r="AF1136" i="2"/>
  <c r="Z1138" i="2"/>
  <c r="AA1138" i="2"/>
  <c r="AE1138" i="2"/>
  <c r="N1097" i="2"/>
  <c r="N1098" i="2"/>
  <c r="N1099" i="2"/>
  <c r="N1100" i="2"/>
  <c r="N1101" i="2"/>
  <c r="N1102" i="2"/>
  <c r="N1103" i="2"/>
  <c r="N1104" i="2" s="1"/>
  <c r="N1105" i="2" s="1"/>
  <c r="N1106" i="2" s="1"/>
  <c r="N1107" i="2" s="1"/>
  <c r="N1108" i="2" s="1"/>
  <c r="N1109" i="2" s="1"/>
  <c r="N1110" i="2" s="1"/>
  <c r="N1111" i="2" s="1"/>
  <c r="N1112" i="2" s="1"/>
  <c r="N1113" i="2" s="1"/>
  <c r="N1114" i="2" s="1"/>
  <c r="N1115" i="2" s="1"/>
  <c r="N1116" i="2" s="1"/>
  <c r="N1117" i="2" s="1"/>
  <c r="N1118" i="2" s="1"/>
  <c r="N1119" i="2" s="1"/>
  <c r="N1120" i="2" s="1"/>
  <c r="O1120" i="2"/>
  <c r="O1119" i="2"/>
  <c r="Q1119" i="2" s="1"/>
  <c r="U1119" i="2" s="1"/>
  <c r="O1118" i="2"/>
  <c r="Q1118" i="2" s="1"/>
  <c r="U1118" i="2" s="1"/>
  <c r="O1117" i="2"/>
  <c r="O1116" i="2"/>
  <c r="O1115" i="2"/>
  <c r="Q1115" i="2" s="1"/>
  <c r="U1115" i="2" s="1"/>
  <c r="O1114" i="2"/>
  <c r="O1113" i="2"/>
  <c r="O1112" i="2"/>
  <c r="O1111" i="2"/>
  <c r="Q1111" i="2" s="1"/>
  <c r="U1111" i="2" s="1"/>
  <c r="O1110" i="2"/>
  <c r="O1109" i="2"/>
  <c r="Q1109" i="2" s="1"/>
  <c r="U1109" i="2" s="1"/>
  <c r="O1108" i="2"/>
  <c r="Q1108" i="2" s="1"/>
  <c r="U1108" i="2" s="1"/>
  <c r="O1107" i="2"/>
  <c r="O1106" i="2"/>
  <c r="O1105" i="2"/>
  <c r="O1104" i="2"/>
  <c r="O1103" i="2"/>
  <c r="O1102" i="2"/>
  <c r="O1101" i="2"/>
  <c r="O1100" i="2"/>
  <c r="Q1100" i="2" s="1"/>
  <c r="U1100" i="2" s="1"/>
  <c r="O1099" i="2"/>
  <c r="O1098" i="2"/>
  <c r="Q1098" i="2" s="1"/>
  <c r="U1098" i="2" s="1"/>
  <c r="O1097" i="2"/>
  <c r="O1096" i="2"/>
  <c r="O1095" i="2"/>
  <c r="Q1095" i="2"/>
  <c r="U1095" i="2"/>
  <c r="N1096" i="2"/>
  <c r="Q1096" i="2"/>
  <c r="U1096" i="2" s="1"/>
  <c r="Q1099" i="2"/>
  <c r="U1099" i="2" s="1"/>
  <c r="Q1101" i="2"/>
  <c r="U1101" i="2"/>
  <c r="Q1102" i="2"/>
  <c r="U1102" i="2" s="1"/>
  <c r="Q1103" i="2"/>
  <c r="U1103" i="2"/>
  <c r="Q1104" i="2"/>
  <c r="U1104" i="2" s="1"/>
  <c r="Q1105" i="2"/>
  <c r="U1105" i="2" s="1"/>
  <c r="Q1106" i="2"/>
  <c r="U1106" i="2" s="1"/>
  <c r="Q1110" i="2"/>
  <c r="U1110" i="2" s="1"/>
  <c r="Q1112" i="2"/>
  <c r="U1112" i="2" s="1"/>
  <c r="Q1113" i="2"/>
  <c r="U1113" i="2" s="1"/>
  <c r="Q1114" i="2"/>
  <c r="U1114" i="2" s="1"/>
  <c r="Q1116" i="2"/>
  <c r="U1116" i="2" s="1"/>
  <c r="Q1117" i="2"/>
  <c r="U1117" i="2"/>
  <c r="Q1120" i="2"/>
  <c r="U1120" i="2"/>
  <c r="Q1121" i="2"/>
  <c r="U1121" i="2"/>
  <c r="Q1122" i="2"/>
  <c r="U1122" i="2" s="1"/>
  <c r="Q1123" i="2"/>
  <c r="U1123" i="2"/>
  <c r="Q1124" i="2"/>
  <c r="U1124" i="2"/>
  <c r="Q1125" i="2"/>
  <c r="U1125" i="2"/>
  <c r="Q1126" i="2"/>
  <c r="U1126" i="2" s="1"/>
  <c r="Q1127" i="2"/>
  <c r="U1127" i="2"/>
  <c r="Q1128" i="2"/>
  <c r="U1128" i="2"/>
  <c r="Q1129" i="2"/>
  <c r="U1129" i="2"/>
  <c r="Q1130" i="2"/>
  <c r="U1130" i="2" s="1"/>
  <c r="Q1131" i="2"/>
  <c r="U1131" i="2"/>
  <c r="Q1132" i="2"/>
  <c r="U1132" i="2"/>
  <c r="Q1133" i="2"/>
  <c r="U1133" i="2"/>
  <c r="U1134" i="2"/>
  <c r="Q1135" i="2"/>
  <c r="U1135" i="2"/>
  <c r="U1136" i="2"/>
  <c r="P1138" i="2"/>
  <c r="S1138" i="2"/>
  <c r="T1138" i="2"/>
  <c r="C1097" i="2"/>
  <c r="C1098" i="2" s="1"/>
  <c r="C1099" i="2" s="1"/>
  <c r="C1100" i="2" s="1"/>
  <c r="C1101" i="2" s="1"/>
  <c r="C1102" i="2" s="1"/>
  <c r="C1103" i="2" s="1"/>
  <c r="C1104" i="2" s="1"/>
  <c r="C1105" i="2" s="1"/>
  <c r="C1106" i="2" s="1"/>
  <c r="C1107" i="2" s="1"/>
  <c r="C1108" i="2" s="1"/>
  <c r="C1109" i="2" s="1"/>
  <c r="D1109" i="2"/>
  <c r="D1108" i="2"/>
  <c r="D1107" i="2"/>
  <c r="F1107" i="2" s="1"/>
  <c r="J1107" i="2" s="1"/>
  <c r="D1106" i="2"/>
  <c r="D1105" i="2"/>
  <c r="D1104" i="2"/>
  <c r="D1103" i="2"/>
  <c r="F1103" i="2" s="1"/>
  <c r="J1103" i="2" s="1"/>
  <c r="D1102" i="2"/>
  <c r="D1101" i="2"/>
  <c r="D1100" i="2"/>
  <c r="D1099" i="2"/>
  <c r="D1098" i="2"/>
  <c r="D1097" i="2"/>
  <c r="D1096" i="2"/>
  <c r="D1095" i="2"/>
  <c r="F1095" i="2"/>
  <c r="J1095" i="2" s="1"/>
  <c r="C1096" i="2"/>
  <c r="F1096" i="2"/>
  <c r="J1096" i="2"/>
  <c r="F1097" i="2"/>
  <c r="J1097" i="2" s="1"/>
  <c r="F1098" i="2"/>
  <c r="F1099" i="2"/>
  <c r="J1099" i="2"/>
  <c r="F1100" i="2"/>
  <c r="J1100" i="2" s="1"/>
  <c r="F1101" i="2"/>
  <c r="J1101" i="2" s="1"/>
  <c r="F1102" i="2"/>
  <c r="J1102" i="2" s="1"/>
  <c r="I1138" i="2"/>
  <c r="F1104" i="2"/>
  <c r="J1104" i="2" s="1"/>
  <c r="F1105" i="2"/>
  <c r="J1105" i="2" s="1"/>
  <c r="F1106" i="2"/>
  <c r="J1106" i="2" s="1"/>
  <c r="F1108" i="2"/>
  <c r="J1108" i="2"/>
  <c r="F1109" i="2"/>
  <c r="J1109" i="2" s="1"/>
  <c r="F1110" i="2"/>
  <c r="J1110" i="2"/>
  <c r="F1111" i="2"/>
  <c r="J1111" i="2" s="1"/>
  <c r="F1112" i="2"/>
  <c r="J1112" i="2"/>
  <c r="F1113" i="2"/>
  <c r="J1113" i="2"/>
  <c r="F1114" i="2"/>
  <c r="J1114" i="2" s="1"/>
  <c r="F1115" i="2"/>
  <c r="J1115" i="2"/>
  <c r="F1116" i="2"/>
  <c r="J1116" i="2"/>
  <c r="F1117" i="2"/>
  <c r="J1117" i="2"/>
  <c r="F1118" i="2"/>
  <c r="J1118" i="2"/>
  <c r="F1119" i="2"/>
  <c r="J1119" i="2" s="1"/>
  <c r="F1120" i="2"/>
  <c r="J1120" i="2"/>
  <c r="F1121" i="2"/>
  <c r="J1121" i="2"/>
  <c r="F1122" i="2"/>
  <c r="J1122" i="2" s="1"/>
  <c r="F1123" i="2"/>
  <c r="J1123" i="2"/>
  <c r="F1124" i="2"/>
  <c r="J1124" i="2"/>
  <c r="F1125" i="2"/>
  <c r="J1125" i="2"/>
  <c r="F1126" i="2"/>
  <c r="J1126" i="2"/>
  <c r="F1127" i="2"/>
  <c r="J1127" i="2" s="1"/>
  <c r="F1128" i="2"/>
  <c r="J1128" i="2"/>
  <c r="F1129" i="2"/>
  <c r="J1129" i="2"/>
  <c r="F1130" i="2"/>
  <c r="J1130" i="2" s="1"/>
  <c r="F1131" i="2"/>
  <c r="J1131" i="2"/>
  <c r="F1132" i="2"/>
  <c r="J1132" i="2"/>
  <c r="F1133" i="2"/>
  <c r="J1133" i="2"/>
  <c r="J1134" i="2"/>
  <c r="F1135" i="2"/>
  <c r="J1135" i="2" s="1"/>
  <c r="J1136" i="2"/>
  <c r="E1138" i="2"/>
  <c r="H1138" i="2"/>
  <c r="Y1040" i="2"/>
  <c r="Y1041" i="2" s="1"/>
  <c r="Y1042" i="2" s="1"/>
  <c r="Y1043" i="2" s="1"/>
  <c r="Y1044" i="2" s="1"/>
  <c r="Y1045" i="2" s="1"/>
  <c r="Y1046" i="2" s="1"/>
  <c r="Z1046" i="2"/>
  <c r="AB1046" i="2" s="1"/>
  <c r="AF1046" i="2" s="1"/>
  <c r="Z1045" i="2"/>
  <c r="AB1045" i="2" s="1"/>
  <c r="AF1045" i="2" s="1"/>
  <c r="Z1044" i="2"/>
  <c r="AB1044" i="2" s="1"/>
  <c r="AF1044" i="2" s="1"/>
  <c r="Z1043" i="2"/>
  <c r="AB1043" i="2" s="1"/>
  <c r="AF1043" i="2" s="1"/>
  <c r="Z1042" i="2"/>
  <c r="Z1041" i="2"/>
  <c r="AB1041" i="2" s="1"/>
  <c r="AF1041" i="2" s="1"/>
  <c r="Z1040" i="2"/>
  <c r="AB1040" i="2" s="1"/>
  <c r="AF1040" i="2" s="1"/>
  <c r="Z1039" i="2"/>
  <c r="AD1038" i="2"/>
  <c r="AD1081" i="2" s="1"/>
  <c r="Z1038" i="2"/>
  <c r="AB1038" i="2"/>
  <c r="AF1038" i="2" s="1"/>
  <c r="Y1039" i="2"/>
  <c r="AB1039" i="2"/>
  <c r="AF1039" i="2" s="1"/>
  <c r="AB1042" i="2"/>
  <c r="AF1042" i="2" s="1"/>
  <c r="AB1047" i="2"/>
  <c r="AF1047" i="2" s="1"/>
  <c r="AB1048" i="2"/>
  <c r="AF1048" i="2"/>
  <c r="AB1049" i="2"/>
  <c r="AF1049" i="2"/>
  <c r="AB1050" i="2"/>
  <c r="AF1050" i="2"/>
  <c r="AB1051" i="2"/>
  <c r="AF1051" i="2"/>
  <c r="AB1052" i="2"/>
  <c r="AF1052" i="2"/>
  <c r="AB1053" i="2"/>
  <c r="AF1053" i="2"/>
  <c r="AB1054" i="2"/>
  <c r="AF1054" i="2"/>
  <c r="AB1055" i="2"/>
  <c r="AF1055" i="2" s="1"/>
  <c r="AB1056" i="2"/>
  <c r="AF1056" i="2"/>
  <c r="AB1057" i="2"/>
  <c r="AF1057" i="2"/>
  <c r="AB1058" i="2"/>
  <c r="AF1058" i="2"/>
  <c r="AB1059" i="2"/>
  <c r="AF1059" i="2"/>
  <c r="AB1060" i="2"/>
  <c r="AF1060" i="2"/>
  <c r="AB1061" i="2"/>
  <c r="AF1061" i="2"/>
  <c r="AB1062" i="2"/>
  <c r="AF1062" i="2"/>
  <c r="AB1063" i="2"/>
  <c r="AF1063" i="2" s="1"/>
  <c r="AB1064" i="2"/>
  <c r="AF1064" i="2"/>
  <c r="AB1065" i="2"/>
  <c r="AF1065" i="2"/>
  <c r="AB1066" i="2"/>
  <c r="AF1066" i="2"/>
  <c r="AB1067" i="2"/>
  <c r="AF1067" i="2"/>
  <c r="AB1068" i="2"/>
  <c r="AF1068" i="2"/>
  <c r="AB1069" i="2"/>
  <c r="AF1069" i="2"/>
  <c r="AB1070" i="2"/>
  <c r="AF1070" i="2"/>
  <c r="AB1071" i="2"/>
  <c r="AF1071" i="2" s="1"/>
  <c r="AB1072" i="2"/>
  <c r="AF1072" i="2"/>
  <c r="AB1073" i="2"/>
  <c r="AF1073" i="2"/>
  <c r="AB1074" i="2"/>
  <c r="AF1074" i="2"/>
  <c r="AB1075" i="2"/>
  <c r="AF1075" i="2"/>
  <c r="AB1076" i="2"/>
  <c r="AF1076" i="2"/>
  <c r="AF1077" i="2"/>
  <c r="AB1078" i="2"/>
  <c r="AF1078" i="2" s="1"/>
  <c r="AF1079" i="2"/>
  <c r="AA1081" i="2"/>
  <c r="AE1081" i="2"/>
  <c r="AB1138" i="2" l="1"/>
  <c r="AF1095" i="2"/>
  <c r="AF1138" i="2" s="1"/>
  <c r="O1138" i="2"/>
  <c r="Q1107" i="2"/>
  <c r="U1107" i="2" s="1"/>
  <c r="Q1097" i="2"/>
  <c r="U1097" i="2" s="1"/>
  <c r="D1138" i="2"/>
  <c r="F1138" i="2"/>
  <c r="J1098" i="2"/>
  <c r="J1138" i="2" s="1"/>
  <c r="Z1081" i="2"/>
  <c r="AB1081" i="2"/>
  <c r="AF1081" i="2"/>
  <c r="N1040" i="2"/>
  <c r="N1041" i="2"/>
  <c r="N1042" i="2"/>
  <c r="N1043" i="2"/>
  <c r="N1044" i="2"/>
  <c r="N1045" i="2"/>
  <c r="N1046" i="2"/>
  <c r="N1047" i="2" s="1"/>
  <c r="N1048" i="2" s="1"/>
  <c r="N1049" i="2" s="1"/>
  <c r="N1050" i="2" s="1"/>
  <c r="N1051" i="2" s="1"/>
  <c r="N1052" i="2" s="1"/>
  <c r="N1053" i="2" s="1"/>
  <c r="N1054" i="2" s="1"/>
  <c r="N1055" i="2" s="1"/>
  <c r="N1056" i="2" s="1"/>
  <c r="N1057" i="2" s="1"/>
  <c r="N1058" i="2" s="1"/>
  <c r="N1059" i="2" s="1"/>
  <c r="N1060" i="2" s="1"/>
  <c r="N1061" i="2" s="1"/>
  <c r="O1061" i="2"/>
  <c r="O1060" i="2"/>
  <c r="O1059" i="2"/>
  <c r="O1058" i="2"/>
  <c r="O1057" i="2"/>
  <c r="O1056" i="2"/>
  <c r="O1055" i="2"/>
  <c r="O1054" i="2"/>
  <c r="Q1054" i="2" s="1"/>
  <c r="U1054" i="2" s="1"/>
  <c r="O1053" i="2"/>
  <c r="O1052" i="2"/>
  <c r="Q1052" i="2" s="1"/>
  <c r="U1052" i="2" s="1"/>
  <c r="O1051" i="2"/>
  <c r="O1050" i="2"/>
  <c r="O1049" i="2"/>
  <c r="O1048" i="2"/>
  <c r="O1047" i="2"/>
  <c r="Q1047" i="2" s="1"/>
  <c r="U1047" i="2" s="1"/>
  <c r="O1046" i="2"/>
  <c r="Q1046" i="2" s="1"/>
  <c r="U1046" i="2" s="1"/>
  <c r="O1045" i="2"/>
  <c r="O1044" i="2"/>
  <c r="O1043" i="2"/>
  <c r="O1042" i="2"/>
  <c r="Q1042" i="2"/>
  <c r="U1042" i="2" s="1"/>
  <c r="O1041" i="2"/>
  <c r="O1040" i="2"/>
  <c r="O1039" i="2"/>
  <c r="O1038" i="2"/>
  <c r="Q1038" i="2"/>
  <c r="U1038" i="2" s="1"/>
  <c r="N1039" i="2"/>
  <c r="Q1039" i="2"/>
  <c r="U1039" i="2" s="1"/>
  <c r="Q1040" i="2"/>
  <c r="U1040" i="2" s="1"/>
  <c r="Q1041" i="2"/>
  <c r="U1041" i="2" s="1"/>
  <c r="Q1043" i="2"/>
  <c r="U1043" i="2" s="1"/>
  <c r="Q1044" i="2"/>
  <c r="U1044" i="2" s="1"/>
  <c r="Q1045" i="2"/>
  <c r="U1045" i="2" s="1"/>
  <c r="Q1048" i="2"/>
  <c r="U1048" i="2" s="1"/>
  <c r="Q1049" i="2"/>
  <c r="U1049" i="2" s="1"/>
  <c r="Q1050" i="2"/>
  <c r="U1050" i="2" s="1"/>
  <c r="Q1051" i="2"/>
  <c r="U1051" i="2" s="1"/>
  <c r="Q1053" i="2"/>
  <c r="U1053" i="2" s="1"/>
  <c r="Q1055" i="2"/>
  <c r="U1055" i="2" s="1"/>
  <c r="Q1056" i="2"/>
  <c r="U1056" i="2" s="1"/>
  <c r="Q1057" i="2"/>
  <c r="U1057" i="2" s="1"/>
  <c r="Q1058" i="2"/>
  <c r="U1058" i="2" s="1"/>
  <c r="Q1059" i="2"/>
  <c r="U1059" i="2" s="1"/>
  <c r="Q1060" i="2"/>
  <c r="U1060" i="2" s="1"/>
  <c r="Q1061" i="2"/>
  <c r="U1061" i="2" s="1"/>
  <c r="Q1062" i="2"/>
  <c r="U1062" i="2"/>
  <c r="Q1063" i="2"/>
  <c r="U1063" i="2" s="1"/>
  <c r="Q1064" i="2"/>
  <c r="U1064" i="2" s="1"/>
  <c r="Q1065" i="2"/>
  <c r="U1065" i="2" s="1"/>
  <c r="Q1066" i="2"/>
  <c r="U1066" i="2"/>
  <c r="Q1067" i="2"/>
  <c r="U1067" i="2"/>
  <c r="Q1068" i="2"/>
  <c r="U1068" i="2"/>
  <c r="Q1069" i="2"/>
  <c r="U1069" i="2" s="1"/>
  <c r="Q1070" i="2"/>
  <c r="U1070" i="2"/>
  <c r="Q1071" i="2"/>
  <c r="U1071" i="2"/>
  <c r="Q1072" i="2"/>
  <c r="U1072" i="2"/>
  <c r="Q1073" i="2"/>
  <c r="U1073" i="2"/>
  <c r="Q1074" i="2"/>
  <c r="U1074" i="2"/>
  <c r="Q1075" i="2"/>
  <c r="U1075" i="2"/>
  <c r="Q1076" i="2"/>
  <c r="U1076" i="2"/>
  <c r="U1077" i="2"/>
  <c r="Q1078" i="2"/>
  <c r="U1078" i="2"/>
  <c r="U1079" i="2"/>
  <c r="P1081" i="2"/>
  <c r="S1081" i="2"/>
  <c r="T1081" i="2"/>
  <c r="C1040" i="2"/>
  <c r="C1041" i="2"/>
  <c r="C1042" i="2" s="1"/>
  <c r="C1043" i="2" s="1"/>
  <c r="C1044" i="2" s="1"/>
  <c r="C1045" i="2" s="1"/>
  <c r="C1046" i="2" s="1"/>
  <c r="C1047" i="2" s="1"/>
  <c r="D1047" i="2"/>
  <c r="I1046" i="2"/>
  <c r="H1046" i="2"/>
  <c r="D1046" i="2"/>
  <c r="I1045" i="2"/>
  <c r="H1045" i="2"/>
  <c r="D1045" i="2"/>
  <c r="D1044" i="2"/>
  <c r="D1043" i="2"/>
  <c r="D1042" i="2"/>
  <c r="F1042" i="2" s="1"/>
  <c r="J1042" i="2" s="1"/>
  <c r="D1041" i="2"/>
  <c r="D1040" i="2"/>
  <c r="D1039" i="2"/>
  <c r="D1038" i="2"/>
  <c r="D1081" i="2"/>
  <c r="F1038" i="2"/>
  <c r="J1038" i="2"/>
  <c r="C1039" i="2"/>
  <c r="F1039" i="2"/>
  <c r="J1039" i="2" s="1"/>
  <c r="F1040" i="2"/>
  <c r="J1040" i="2" s="1"/>
  <c r="F1041" i="2"/>
  <c r="J1041" i="2" s="1"/>
  <c r="F1043" i="2"/>
  <c r="J1043" i="2" s="1"/>
  <c r="F1044" i="2"/>
  <c r="J1044" i="2" s="1"/>
  <c r="F1045" i="2"/>
  <c r="J1045" i="2" s="1"/>
  <c r="F1046" i="2"/>
  <c r="J1046" i="2" s="1"/>
  <c r="F1047" i="2"/>
  <c r="J1047" i="2" s="1"/>
  <c r="F1048" i="2"/>
  <c r="J1048" i="2"/>
  <c r="F1049" i="2"/>
  <c r="J1049" i="2" s="1"/>
  <c r="F1050" i="2"/>
  <c r="J1050" i="2" s="1"/>
  <c r="F1051" i="2"/>
  <c r="J1051" i="2" s="1"/>
  <c r="F1052" i="2"/>
  <c r="J1052" i="2"/>
  <c r="F1053" i="2"/>
  <c r="J1053" i="2" s="1"/>
  <c r="F1054" i="2"/>
  <c r="J1054" i="2"/>
  <c r="F1055" i="2"/>
  <c r="J1055" i="2" s="1"/>
  <c r="F1056" i="2"/>
  <c r="J1056" i="2"/>
  <c r="F1057" i="2"/>
  <c r="J1057" i="2"/>
  <c r="F1058" i="2"/>
  <c r="J1058" i="2" s="1"/>
  <c r="F1059" i="2"/>
  <c r="J1059" i="2" s="1"/>
  <c r="F1060" i="2"/>
  <c r="J1060" i="2"/>
  <c r="F1061" i="2"/>
  <c r="J1061" i="2"/>
  <c r="F1062" i="2"/>
  <c r="J1062" i="2" s="1"/>
  <c r="F1063" i="2"/>
  <c r="J1063" i="2" s="1"/>
  <c r="F1064" i="2"/>
  <c r="J1064" i="2" s="1"/>
  <c r="F1065" i="2"/>
  <c r="J1065" i="2" s="1"/>
  <c r="F1066" i="2"/>
  <c r="J1066" i="2"/>
  <c r="F1067" i="2"/>
  <c r="J1067" i="2"/>
  <c r="F1068" i="2"/>
  <c r="J1068" i="2"/>
  <c r="F1069" i="2"/>
  <c r="J1069" i="2"/>
  <c r="F1070" i="2"/>
  <c r="J1070" i="2" s="1"/>
  <c r="F1071" i="2"/>
  <c r="J1071" i="2" s="1"/>
  <c r="F1072" i="2"/>
  <c r="J1072" i="2"/>
  <c r="F1073" i="2"/>
  <c r="J1073" i="2"/>
  <c r="F1074" i="2"/>
  <c r="J1074" i="2"/>
  <c r="F1075" i="2"/>
  <c r="J1075" i="2"/>
  <c r="F1076" i="2"/>
  <c r="J1076" i="2"/>
  <c r="J1077" i="2"/>
  <c r="F1078" i="2"/>
  <c r="J1078" i="2"/>
  <c r="J1079" i="2"/>
  <c r="E1081" i="2"/>
  <c r="H1081" i="2"/>
  <c r="I1081" i="2"/>
  <c r="Z990" i="2"/>
  <c r="AB990" i="2" s="1"/>
  <c r="AF990" i="2" s="1"/>
  <c r="Z989" i="2"/>
  <c r="AB989" i="2" s="1"/>
  <c r="AF989" i="2" s="1"/>
  <c r="Z988" i="2"/>
  <c r="Z987" i="2"/>
  <c r="Z986" i="2"/>
  <c r="AB986" i="2" s="1"/>
  <c r="AF986" i="2" s="1"/>
  <c r="Z985" i="2"/>
  <c r="Z984" i="2"/>
  <c r="Z983" i="2"/>
  <c r="Z982" i="2"/>
  <c r="Z981" i="2"/>
  <c r="AB981" i="2" s="1"/>
  <c r="Y983" i="2"/>
  <c r="Y984" i="2" s="1"/>
  <c r="Y985" i="2" s="1"/>
  <c r="Y986" i="2" s="1"/>
  <c r="Y987" i="2" s="1"/>
  <c r="Y988" i="2" s="1"/>
  <c r="Y989" i="2" s="1"/>
  <c r="Y990" i="2" s="1"/>
  <c r="Y982" i="2"/>
  <c r="AB982" i="2"/>
  <c r="AF982" i="2" s="1"/>
  <c r="AB983" i="2"/>
  <c r="AF983" i="2" s="1"/>
  <c r="AB985" i="2"/>
  <c r="AF985" i="2" s="1"/>
  <c r="AB987" i="2"/>
  <c r="AF987" i="2" s="1"/>
  <c r="AB991" i="2"/>
  <c r="AF991" i="2" s="1"/>
  <c r="AB992" i="2"/>
  <c r="AF992" i="2" s="1"/>
  <c r="AB993" i="2"/>
  <c r="AF993" i="2" s="1"/>
  <c r="AB994" i="2"/>
  <c r="AF994" i="2"/>
  <c r="AB995" i="2"/>
  <c r="AF995" i="2" s="1"/>
  <c r="AB996" i="2"/>
  <c r="AF996" i="2" s="1"/>
  <c r="AB997" i="2"/>
  <c r="AF997" i="2" s="1"/>
  <c r="AB998" i="2"/>
  <c r="AF998" i="2"/>
  <c r="AB999" i="2"/>
  <c r="AF999" i="2"/>
  <c r="AB1000" i="2"/>
  <c r="AF1000" i="2" s="1"/>
  <c r="AB1001" i="2"/>
  <c r="AF1001" i="2"/>
  <c r="AB1002" i="2"/>
  <c r="AF1002" i="2" s="1"/>
  <c r="AB1003" i="2"/>
  <c r="AF1003" i="2"/>
  <c r="AB1004" i="2"/>
  <c r="AF1004" i="2" s="1"/>
  <c r="AB1005" i="2"/>
  <c r="AF1005" i="2" s="1"/>
  <c r="AB1006" i="2"/>
  <c r="AF1006" i="2"/>
  <c r="AB1007" i="2"/>
  <c r="AF1007" i="2" s="1"/>
  <c r="AB1008" i="2"/>
  <c r="AF1008" i="2"/>
  <c r="AB1009" i="2"/>
  <c r="AF1009" i="2" s="1"/>
  <c r="AB1010" i="2"/>
  <c r="AF1010" i="2"/>
  <c r="AB1011" i="2"/>
  <c r="AF1011" i="2"/>
  <c r="AB1012" i="2"/>
  <c r="AF1012" i="2" s="1"/>
  <c r="AB1013" i="2"/>
  <c r="AF1013" i="2" s="1"/>
  <c r="AB1014" i="2"/>
  <c r="AF1014" i="2" s="1"/>
  <c r="AB1015" i="2"/>
  <c r="AF1015" i="2" s="1"/>
  <c r="AB1016" i="2"/>
  <c r="AF1016" i="2"/>
  <c r="AB1017" i="2"/>
  <c r="AF1017" i="2" s="1"/>
  <c r="AB1018" i="2"/>
  <c r="AF1018" i="2"/>
  <c r="AB1019" i="2"/>
  <c r="AF1019" i="2"/>
  <c r="AF1020" i="2"/>
  <c r="AB1021" i="2"/>
  <c r="AF1021" i="2"/>
  <c r="AF1022" i="2"/>
  <c r="AA1024" i="2"/>
  <c r="AD1024" i="2"/>
  <c r="AE1024" i="2"/>
  <c r="N997" i="2"/>
  <c r="N998" i="2" s="1"/>
  <c r="N999" i="2" s="1"/>
  <c r="N1000" i="2" s="1"/>
  <c r="N1001" i="2" s="1"/>
  <c r="N1002" i="2" s="1"/>
  <c r="N1003" i="2" s="1"/>
  <c r="N1004" i="2" s="1"/>
  <c r="N1005" i="2" s="1"/>
  <c r="N1006" i="2" s="1"/>
  <c r="N1007" i="2" s="1"/>
  <c r="N1008" i="2" s="1"/>
  <c r="N983" i="2"/>
  <c r="N984" i="2"/>
  <c r="N985" i="2" s="1"/>
  <c r="N986" i="2" s="1"/>
  <c r="N987" i="2" s="1"/>
  <c r="N988" i="2" s="1"/>
  <c r="N989" i="2" s="1"/>
  <c r="N990" i="2" s="1"/>
  <c r="N991" i="2" s="1"/>
  <c r="N992" i="2" s="1"/>
  <c r="N993" i="2" s="1"/>
  <c r="N994" i="2" s="1"/>
  <c r="N995" i="2" s="1"/>
  <c r="N996" i="2" s="1"/>
  <c r="O1008" i="2"/>
  <c r="O1007" i="2"/>
  <c r="O1006" i="2"/>
  <c r="Q1006" i="2" s="1"/>
  <c r="U1006" i="2" s="1"/>
  <c r="O1005" i="2"/>
  <c r="Q1005" i="2" s="1"/>
  <c r="U1005" i="2" s="1"/>
  <c r="O1004" i="2"/>
  <c r="Q1004" i="2"/>
  <c r="U1004" i="2" s="1"/>
  <c r="O1003" i="2"/>
  <c r="O1002" i="2"/>
  <c r="O1001" i="2"/>
  <c r="O1000" i="2"/>
  <c r="O999" i="2"/>
  <c r="O998" i="2"/>
  <c r="O997" i="2"/>
  <c r="Q997" i="2" s="1"/>
  <c r="U997" i="2" s="1"/>
  <c r="O996" i="2"/>
  <c r="Q996" i="2" s="1"/>
  <c r="U996" i="2" s="1"/>
  <c r="O995" i="2"/>
  <c r="O994" i="2"/>
  <c r="Q994" i="2" s="1"/>
  <c r="U994" i="2" s="1"/>
  <c r="O993" i="2"/>
  <c r="O992" i="2"/>
  <c r="O991" i="2"/>
  <c r="O990" i="2"/>
  <c r="O989" i="2"/>
  <c r="O988" i="2"/>
  <c r="O987" i="2"/>
  <c r="Q987" i="2" s="1"/>
  <c r="U987" i="2" s="1"/>
  <c r="O986" i="2"/>
  <c r="O985" i="2"/>
  <c r="Q985" i="2" s="1"/>
  <c r="U985" i="2" s="1"/>
  <c r="O984" i="2"/>
  <c r="O983" i="2"/>
  <c r="O982" i="2"/>
  <c r="O981" i="2"/>
  <c r="Q981" i="2"/>
  <c r="U981" i="2"/>
  <c r="N982" i="2"/>
  <c r="Q982" i="2"/>
  <c r="U982" i="2" s="1"/>
  <c r="Q983" i="2"/>
  <c r="U983" i="2" s="1"/>
  <c r="Q984" i="2"/>
  <c r="U984" i="2" s="1"/>
  <c r="Q986" i="2"/>
  <c r="U986" i="2" s="1"/>
  <c r="Q988" i="2"/>
  <c r="U988" i="2" s="1"/>
  <c r="Q989" i="2"/>
  <c r="U989" i="2" s="1"/>
  <c r="Q990" i="2"/>
  <c r="U990" i="2" s="1"/>
  <c r="Q991" i="2"/>
  <c r="U991" i="2" s="1"/>
  <c r="Q992" i="2"/>
  <c r="U992" i="2" s="1"/>
  <c r="Q993" i="2"/>
  <c r="U993" i="2" s="1"/>
  <c r="Q995" i="2"/>
  <c r="U995" i="2" s="1"/>
  <c r="Q998" i="2"/>
  <c r="U998" i="2" s="1"/>
  <c r="Q999" i="2"/>
  <c r="U999" i="2" s="1"/>
  <c r="Q1000" i="2"/>
  <c r="U1000" i="2" s="1"/>
  <c r="Q1001" i="2"/>
  <c r="U1001" i="2" s="1"/>
  <c r="Q1002" i="2"/>
  <c r="U1002" i="2" s="1"/>
  <c r="Q1003" i="2"/>
  <c r="U1003" i="2" s="1"/>
  <c r="Q1007" i="2"/>
  <c r="U1007" i="2" s="1"/>
  <c r="Q1008" i="2"/>
  <c r="U1008" i="2" s="1"/>
  <c r="Q1009" i="2"/>
  <c r="U1009" i="2"/>
  <c r="Q1010" i="2"/>
  <c r="U1010" i="2"/>
  <c r="Q1011" i="2"/>
  <c r="U1011" i="2"/>
  <c r="Q1012" i="2"/>
  <c r="U1012" i="2" s="1"/>
  <c r="Q1013" i="2"/>
  <c r="U1013" i="2"/>
  <c r="Q1014" i="2"/>
  <c r="U1014" i="2"/>
  <c r="Q1015" i="2"/>
  <c r="U1015" i="2"/>
  <c r="Q1016" i="2"/>
  <c r="U1016" i="2" s="1"/>
  <c r="Q1017" i="2"/>
  <c r="U1017" i="2"/>
  <c r="Q1018" i="2"/>
  <c r="U1018" i="2"/>
  <c r="Q1019" i="2"/>
  <c r="U1019" i="2"/>
  <c r="U1020" i="2"/>
  <c r="Q1021" i="2"/>
  <c r="U1021" i="2"/>
  <c r="U1022" i="2"/>
  <c r="P1024" i="2"/>
  <c r="S1024" i="2"/>
  <c r="T1024" i="2"/>
  <c r="C983" i="2"/>
  <c r="C984" i="2" s="1"/>
  <c r="C985" i="2" s="1"/>
  <c r="C986" i="2" s="1"/>
  <c r="C987" i="2" s="1"/>
  <c r="C988" i="2" s="1"/>
  <c r="C989" i="2" s="1"/>
  <c r="C990" i="2" s="1"/>
  <c r="C991" i="2" s="1"/>
  <c r="C992" i="2" s="1"/>
  <c r="C993" i="2" s="1"/>
  <c r="C994" i="2" s="1"/>
  <c r="C995" i="2" s="1"/>
  <c r="C996" i="2" s="1"/>
  <c r="C997" i="2" s="1"/>
  <c r="C998" i="2" s="1"/>
  <c r="C999" i="2" s="1"/>
  <c r="C1000" i="2" s="1"/>
  <c r="C1001" i="2" s="1"/>
  <c r="C1002" i="2" s="1"/>
  <c r="C1003" i="2" s="1"/>
  <c r="C1004" i="2" s="1"/>
  <c r="C1005" i="2" s="1"/>
  <c r="C1006" i="2" s="1"/>
  <c r="C1007" i="2" s="1"/>
  <c r="D1007" i="2"/>
  <c r="F1007" i="2" s="1"/>
  <c r="J1007" i="2" s="1"/>
  <c r="D1006" i="2"/>
  <c r="D1005" i="2"/>
  <c r="F1005" i="2" s="1"/>
  <c r="J1005" i="2" s="1"/>
  <c r="D1004" i="2"/>
  <c r="D1003" i="2"/>
  <c r="D1002" i="2"/>
  <c r="F1002" i="2" s="1"/>
  <c r="J1002" i="2" s="1"/>
  <c r="D1001" i="2"/>
  <c r="D1000" i="2"/>
  <c r="F1000" i="2" s="1"/>
  <c r="J1000" i="2" s="1"/>
  <c r="D999" i="2"/>
  <c r="F999" i="2" s="1"/>
  <c r="J999" i="2" s="1"/>
  <c r="D998" i="2"/>
  <c r="F998" i="2" s="1"/>
  <c r="J998" i="2" s="1"/>
  <c r="D997" i="2"/>
  <c r="F997" i="2" s="1"/>
  <c r="J997" i="2" s="1"/>
  <c r="D996" i="2"/>
  <c r="F996" i="2" s="1"/>
  <c r="J996" i="2" s="1"/>
  <c r="D995" i="2"/>
  <c r="F995" i="2" s="1"/>
  <c r="J995" i="2" s="1"/>
  <c r="D994" i="2"/>
  <c r="D993" i="2"/>
  <c r="D992" i="2"/>
  <c r="D991" i="2"/>
  <c r="D990" i="2"/>
  <c r="F990" i="2" s="1"/>
  <c r="J990" i="2" s="1"/>
  <c r="D989" i="2"/>
  <c r="F989" i="2" s="1"/>
  <c r="J989" i="2" s="1"/>
  <c r="D988" i="2"/>
  <c r="D987" i="2"/>
  <c r="F987" i="2" s="1"/>
  <c r="J987" i="2" s="1"/>
  <c r="D986" i="2"/>
  <c r="F986" i="2" s="1"/>
  <c r="J986" i="2" s="1"/>
  <c r="D985" i="2"/>
  <c r="D984" i="2"/>
  <c r="F984" i="2" s="1"/>
  <c r="J984" i="2" s="1"/>
  <c r="D983" i="2"/>
  <c r="D982" i="2"/>
  <c r="D981" i="2"/>
  <c r="F981" i="2"/>
  <c r="J981" i="2" s="1"/>
  <c r="C982" i="2"/>
  <c r="F982" i="2"/>
  <c r="J982" i="2" s="1"/>
  <c r="F983" i="2"/>
  <c r="J983" i="2" s="1"/>
  <c r="F985" i="2"/>
  <c r="J985" i="2" s="1"/>
  <c r="F988" i="2"/>
  <c r="J988" i="2" s="1"/>
  <c r="F991" i="2"/>
  <c r="J991" i="2" s="1"/>
  <c r="F992" i="2"/>
  <c r="J992" i="2" s="1"/>
  <c r="F993" i="2"/>
  <c r="J993" i="2"/>
  <c r="F994" i="2"/>
  <c r="J994" i="2"/>
  <c r="F1001" i="2"/>
  <c r="J1001" i="2" s="1"/>
  <c r="F1003" i="2"/>
  <c r="J1003" i="2" s="1"/>
  <c r="F1004" i="2"/>
  <c r="J1004" i="2" s="1"/>
  <c r="F1006" i="2"/>
  <c r="J1006" i="2" s="1"/>
  <c r="F1008" i="2"/>
  <c r="J1008" i="2"/>
  <c r="F1009" i="2"/>
  <c r="J1009" i="2"/>
  <c r="F1010" i="2"/>
  <c r="J1010" i="2"/>
  <c r="F1011" i="2"/>
  <c r="J1011" i="2"/>
  <c r="F1012" i="2"/>
  <c r="J1012" i="2" s="1"/>
  <c r="F1013" i="2"/>
  <c r="J1013" i="2"/>
  <c r="F1014" i="2"/>
  <c r="J1014" i="2"/>
  <c r="F1015" i="2"/>
  <c r="J1015" i="2"/>
  <c r="F1016" i="2"/>
  <c r="J1016" i="2"/>
  <c r="F1017" i="2"/>
  <c r="J1017" i="2"/>
  <c r="F1018" i="2"/>
  <c r="J1018" i="2"/>
  <c r="F1019" i="2"/>
  <c r="J1019" i="2"/>
  <c r="J1020" i="2"/>
  <c r="F1021" i="2"/>
  <c r="J1021" i="2" s="1"/>
  <c r="J1022" i="2"/>
  <c r="E1024" i="2"/>
  <c r="H1024" i="2"/>
  <c r="I1024" i="2"/>
  <c r="U1138" i="2" l="1"/>
  <c r="Q1138" i="2"/>
  <c r="O1081" i="2"/>
  <c r="Q1081" i="2"/>
  <c r="U1081" i="2"/>
  <c r="F1081" i="2"/>
  <c r="J1081" i="2"/>
  <c r="Z1024" i="2"/>
  <c r="AB988" i="2"/>
  <c r="AF988" i="2" s="1"/>
  <c r="AF981" i="2"/>
  <c r="AB984" i="2"/>
  <c r="AF984" i="2" s="1"/>
  <c r="O1024" i="2"/>
  <c r="Q1024" i="2"/>
  <c r="U1024" i="2"/>
  <c r="D1024" i="2"/>
  <c r="F1024" i="2"/>
  <c r="J1024" i="2"/>
  <c r="Y926" i="2"/>
  <c r="Y927" i="2" s="1"/>
  <c r="Y928" i="2" s="1"/>
  <c r="Y929" i="2" s="1"/>
  <c r="Y930" i="2" s="1"/>
  <c r="Y931" i="2" s="1"/>
  <c r="Y932" i="2" s="1"/>
  <c r="Y933" i="2" s="1"/>
  <c r="Y934" i="2" s="1"/>
  <c r="Y935" i="2" s="1"/>
  <c r="Y936" i="2" s="1"/>
  <c r="Y937" i="2" s="1"/>
  <c r="Y938" i="2" s="1"/>
  <c r="Y939" i="2" s="1"/>
  <c r="Y940" i="2" s="1"/>
  <c r="Y941" i="2" s="1"/>
  <c r="Y942" i="2" s="1"/>
  <c r="Y943" i="2" s="1"/>
  <c r="Y944" i="2" s="1"/>
  <c r="Y945" i="2" s="1"/>
  <c r="Y946" i="2" s="1"/>
  <c r="Y947" i="2" s="1"/>
  <c r="Z947" i="2"/>
  <c r="AB947" i="2" s="1"/>
  <c r="AF947" i="2" s="1"/>
  <c r="Z946" i="2"/>
  <c r="AB946" i="2" s="1"/>
  <c r="AF946" i="2" s="1"/>
  <c r="Z945" i="2"/>
  <c r="AB945" i="2" s="1"/>
  <c r="AF945" i="2" s="1"/>
  <c r="Z944" i="2"/>
  <c r="AB944" i="2" s="1"/>
  <c r="AF944" i="2" s="1"/>
  <c r="Z943" i="2"/>
  <c r="AB943" i="2" s="1"/>
  <c r="AF943" i="2" s="1"/>
  <c r="Z942" i="2"/>
  <c r="AB942" i="2" s="1"/>
  <c r="AF942" i="2" s="1"/>
  <c r="Z941" i="2"/>
  <c r="AB941" i="2" s="1"/>
  <c r="AF941" i="2" s="1"/>
  <c r="Z940" i="2"/>
  <c r="Z939" i="2"/>
  <c r="Z938" i="2"/>
  <c r="Z937" i="2"/>
  <c r="AB937" i="2" s="1"/>
  <c r="AF937" i="2" s="1"/>
  <c r="Z936" i="2"/>
  <c r="Z935" i="2"/>
  <c r="Z934" i="2"/>
  <c r="AB934" i="2" s="1"/>
  <c r="AF934" i="2" s="1"/>
  <c r="Z933" i="2"/>
  <c r="AB933" i="2" s="1"/>
  <c r="AF933" i="2" s="1"/>
  <c r="Z932" i="2"/>
  <c r="AB932" i="2" s="1"/>
  <c r="AF932" i="2" s="1"/>
  <c r="Z931" i="2"/>
  <c r="AB931" i="2" s="1"/>
  <c r="AF931" i="2" s="1"/>
  <c r="Z930" i="2"/>
  <c r="AB930" i="2" s="1"/>
  <c r="AF930" i="2" s="1"/>
  <c r="Z929" i="2"/>
  <c r="Z928" i="2"/>
  <c r="Z927" i="2"/>
  <c r="Z926" i="2"/>
  <c r="AB926" i="2" s="1"/>
  <c r="AF926" i="2" s="1"/>
  <c r="Z925" i="2"/>
  <c r="Z924" i="2"/>
  <c r="AB924" i="2" s="1"/>
  <c r="AF924" i="2" s="1"/>
  <c r="Y925" i="2"/>
  <c r="AB925" i="2"/>
  <c r="AF925" i="2" s="1"/>
  <c r="AB927" i="2"/>
  <c r="AF927" i="2" s="1"/>
  <c r="AB928" i="2"/>
  <c r="AF928" i="2" s="1"/>
  <c r="AB929" i="2"/>
  <c r="AF929" i="2" s="1"/>
  <c r="AB935" i="2"/>
  <c r="AF935" i="2" s="1"/>
  <c r="AB936" i="2"/>
  <c r="AF936" i="2" s="1"/>
  <c r="AB938" i="2"/>
  <c r="AF938" i="2" s="1"/>
  <c r="AB939" i="2"/>
  <c r="AF939" i="2" s="1"/>
  <c r="AB940" i="2"/>
  <c r="AF940" i="2" s="1"/>
  <c r="AB948" i="2"/>
  <c r="AF948" i="2" s="1"/>
  <c r="AB949" i="2"/>
  <c r="AF949" i="2" s="1"/>
  <c r="AB950" i="2"/>
  <c r="AF950" i="2"/>
  <c r="AB951" i="2"/>
  <c r="AF951" i="2"/>
  <c r="AB952" i="2"/>
  <c r="AF952" i="2" s="1"/>
  <c r="AB953" i="2"/>
  <c r="AF953" i="2"/>
  <c r="AB954" i="2"/>
  <c r="AF954" i="2"/>
  <c r="AB955" i="2"/>
  <c r="AF955" i="2"/>
  <c r="AB956" i="2"/>
  <c r="AF956" i="2" s="1"/>
  <c r="AB957" i="2"/>
  <c r="AF957" i="2" s="1"/>
  <c r="AB958" i="2"/>
  <c r="AF958" i="2"/>
  <c r="AB959" i="2"/>
  <c r="AF959" i="2"/>
  <c r="AB960" i="2"/>
  <c r="AF960" i="2" s="1"/>
  <c r="AB961" i="2"/>
  <c r="AF961" i="2"/>
  <c r="AB962" i="2"/>
  <c r="AF962" i="2"/>
  <c r="AF963" i="2"/>
  <c r="AB964" i="2"/>
  <c r="AF964" i="2"/>
  <c r="AF965" i="2"/>
  <c r="AA967" i="2"/>
  <c r="AD967" i="2"/>
  <c r="AE967" i="2"/>
  <c r="AF1024" i="2" l="1"/>
  <c r="AB1024" i="2"/>
  <c r="Z967" i="2"/>
  <c r="AF967" i="2"/>
  <c r="AB967" i="2"/>
  <c r="O943" i="2"/>
  <c r="Q943" i="2" s="1"/>
  <c r="U943" i="2" s="1"/>
  <c r="O942" i="2"/>
  <c r="Q942" i="2" s="1"/>
  <c r="U942" i="2" s="1"/>
  <c r="N942" i="2"/>
  <c r="N943" i="2" s="1"/>
  <c r="N926" i="2"/>
  <c r="N927" i="2" s="1"/>
  <c r="N928" i="2" s="1"/>
  <c r="N929" i="2" s="1"/>
  <c r="N930" i="2" s="1"/>
  <c r="N931" i="2" s="1"/>
  <c r="N932" i="2" s="1"/>
  <c r="N933" i="2" s="1"/>
  <c r="N934" i="2" s="1"/>
  <c r="N935" i="2" s="1"/>
  <c r="N936" i="2" s="1"/>
  <c r="N937" i="2" s="1"/>
  <c r="N938" i="2" s="1"/>
  <c r="N939" i="2" s="1"/>
  <c r="N940" i="2" s="1"/>
  <c r="N941" i="2" s="1"/>
  <c r="O941" i="2"/>
  <c r="Q941" i="2" s="1"/>
  <c r="U941" i="2" s="1"/>
  <c r="O940" i="2"/>
  <c r="Q940" i="2" s="1"/>
  <c r="U940" i="2" s="1"/>
  <c r="O939" i="2"/>
  <c r="Q939" i="2" s="1"/>
  <c r="U939" i="2" s="1"/>
  <c r="O938" i="2"/>
  <c r="O937" i="2"/>
  <c r="O936" i="2"/>
  <c r="Q936" i="2" s="1"/>
  <c r="U936" i="2" s="1"/>
  <c r="O935" i="2"/>
  <c r="O934" i="2"/>
  <c r="O933" i="2"/>
  <c r="O932" i="2"/>
  <c r="Q932" i="2" s="1"/>
  <c r="U932" i="2" s="1"/>
  <c r="O931" i="2"/>
  <c r="O930" i="2"/>
  <c r="Q930" i="2" s="1"/>
  <c r="U930" i="2" s="1"/>
  <c r="O929" i="2"/>
  <c r="O928" i="2"/>
  <c r="Q928" i="2" s="1"/>
  <c r="U928" i="2" s="1"/>
  <c r="O927" i="2"/>
  <c r="O926" i="2"/>
  <c r="O925" i="2"/>
  <c r="O924" i="2"/>
  <c r="Q924" i="2" s="1"/>
  <c r="N925" i="2"/>
  <c r="Q925" i="2"/>
  <c r="U925" i="2" s="1"/>
  <c r="Q926" i="2"/>
  <c r="U926" i="2" s="1"/>
  <c r="Q927" i="2"/>
  <c r="U927" i="2" s="1"/>
  <c r="Q929" i="2"/>
  <c r="U929" i="2" s="1"/>
  <c r="Q931" i="2"/>
  <c r="U931" i="2" s="1"/>
  <c r="Q933" i="2"/>
  <c r="U933" i="2" s="1"/>
  <c r="Q934" i="2"/>
  <c r="U934" i="2" s="1"/>
  <c r="Q935" i="2"/>
  <c r="U935" i="2" s="1"/>
  <c r="Q937" i="2"/>
  <c r="U937" i="2"/>
  <c r="Q938" i="2"/>
  <c r="U938" i="2" s="1"/>
  <c r="Q944" i="2"/>
  <c r="U944" i="2" s="1"/>
  <c r="Q945" i="2"/>
  <c r="U945" i="2"/>
  <c r="Q946" i="2"/>
  <c r="U946" i="2" s="1"/>
  <c r="Q947" i="2"/>
  <c r="U947" i="2"/>
  <c r="Q948" i="2"/>
  <c r="U948" i="2"/>
  <c r="Q949" i="2"/>
  <c r="U949" i="2"/>
  <c r="Q950" i="2"/>
  <c r="U950" i="2"/>
  <c r="Q951" i="2"/>
  <c r="U951" i="2"/>
  <c r="Q952" i="2"/>
  <c r="U952" i="2" s="1"/>
  <c r="Q953" i="2"/>
  <c r="U953" i="2"/>
  <c r="Q954" i="2"/>
  <c r="U954" i="2" s="1"/>
  <c r="Q955" i="2"/>
  <c r="U955" i="2"/>
  <c r="Q956" i="2"/>
  <c r="U956" i="2"/>
  <c r="Q957" i="2"/>
  <c r="U957" i="2"/>
  <c r="Q958" i="2"/>
  <c r="U958" i="2"/>
  <c r="Q959" i="2"/>
  <c r="U959" i="2"/>
  <c r="Q960" i="2"/>
  <c r="U960" i="2" s="1"/>
  <c r="Q961" i="2"/>
  <c r="U961" i="2"/>
  <c r="Q962" i="2"/>
  <c r="U962" i="2" s="1"/>
  <c r="U963" i="2"/>
  <c r="Q964" i="2"/>
  <c r="U964" i="2" s="1"/>
  <c r="U965" i="2"/>
  <c r="P967" i="2"/>
  <c r="S967" i="2"/>
  <c r="T967" i="2"/>
  <c r="D939" i="2"/>
  <c r="F939" i="2" s="1"/>
  <c r="J939" i="2" s="1"/>
  <c r="D938" i="2"/>
  <c r="F938" i="2" s="1"/>
  <c r="J938" i="2" s="1"/>
  <c r="D937" i="2"/>
  <c r="F937" i="2" s="1"/>
  <c r="J937" i="2" s="1"/>
  <c r="D936" i="2"/>
  <c r="D935" i="2"/>
  <c r="D934" i="2"/>
  <c r="D933" i="2"/>
  <c r="D932" i="2"/>
  <c r="D931" i="2"/>
  <c r="D930" i="2"/>
  <c r="D929" i="2"/>
  <c r="F929" i="2" s="1"/>
  <c r="J929" i="2" s="1"/>
  <c r="D928" i="2"/>
  <c r="D927" i="2"/>
  <c r="D926" i="2"/>
  <c r="D925" i="2"/>
  <c r="D924" i="2"/>
  <c r="C926" i="2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C925" i="2"/>
  <c r="F925" i="2"/>
  <c r="J925" i="2" s="1"/>
  <c r="F926" i="2"/>
  <c r="J926" i="2" s="1"/>
  <c r="F927" i="2"/>
  <c r="J927" i="2" s="1"/>
  <c r="F928" i="2"/>
  <c r="J928" i="2" s="1"/>
  <c r="F930" i="2"/>
  <c r="J930" i="2" s="1"/>
  <c r="F931" i="2"/>
  <c r="J931" i="2" s="1"/>
  <c r="F932" i="2"/>
  <c r="J932" i="2"/>
  <c r="F933" i="2"/>
  <c r="J933" i="2" s="1"/>
  <c r="F934" i="2"/>
  <c r="J934" i="2" s="1"/>
  <c r="F935" i="2"/>
  <c r="J935" i="2" s="1"/>
  <c r="F936" i="2"/>
  <c r="J936" i="2" s="1"/>
  <c r="F940" i="2"/>
  <c r="J940" i="2"/>
  <c r="F941" i="2"/>
  <c r="J941" i="2" s="1"/>
  <c r="F942" i="2"/>
  <c r="J942" i="2"/>
  <c r="F943" i="2"/>
  <c r="J943" i="2" s="1"/>
  <c r="F944" i="2"/>
  <c r="J944" i="2"/>
  <c r="F945" i="2"/>
  <c r="J945" i="2"/>
  <c r="F946" i="2"/>
  <c r="J946" i="2"/>
  <c r="F947" i="2"/>
  <c r="J947" i="2" s="1"/>
  <c r="F948" i="2"/>
  <c r="J948" i="2" s="1"/>
  <c r="F949" i="2"/>
  <c r="J949" i="2"/>
  <c r="F950" i="2"/>
  <c r="J950" i="2" s="1"/>
  <c r="F951" i="2"/>
  <c r="J951" i="2"/>
  <c r="F952" i="2"/>
  <c r="J952" i="2"/>
  <c r="F953" i="2"/>
  <c r="J953" i="2"/>
  <c r="F954" i="2"/>
  <c r="J954" i="2"/>
  <c r="F955" i="2"/>
  <c r="J955" i="2" s="1"/>
  <c r="F956" i="2"/>
  <c r="J956" i="2" s="1"/>
  <c r="F957" i="2"/>
  <c r="J957" i="2"/>
  <c r="F958" i="2"/>
  <c r="J958" i="2" s="1"/>
  <c r="F959" i="2"/>
  <c r="J959" i="2"/>
  <c r="F960" i="2"/>
  <c r="J960" i="2"/>
  <c r="F961" i="2"/>
  <c r="J961" i="2"/>
  <c r="F962" i="2"/>
  <c r="J962" i="2"/>
  <c r="J963" i="2"/>
  <c r="F964" i="2"/>
  <c r="J964" i="2"/>
  <c r="J965" i="2"/>
  <c r="E967" i="2"/>
  <c r="H967" i="2"/>
  <c r="I967" i="2"/>
  <c r="Q967" i="2" l="1"/>
  <c r="U924" i="2"/>
  <c r="U967" i="2" s="1"/>
  <c r="O967" i="2"/>
  <c r="D967" i="2"/>
  <c r="F924" i="2"/>
  <c r="Y869" i="2"/>
  <c r="Y870" i="2" s="1"/>
  <c r="Y871" i="2" s="1"/>
  <c r="Y872" i="2" s="1"/>
  <c r="Y873" i="2" s="1"/>
  <c r="Y874" i="2" s="1"/>
  <c r="Y875" i="2" s="1"/>
  <c r="Y876" i="2" s="1"/>
  <c r="Y877" i="2" s="1"/>
  <c r="Z877" i="2"/>
  <c r="Z876" i="2"/>
  <c r="Z875" i="2"/>
  <c r="Z874" i="2"/>
  <c r="Z873" i="2"/>
  <c r="AB873" i="2" s="1"/>
  <c r="AF873" i="2" s="1"/>
  <c r="Z872" i="2"/>
  <c r="AB872" i="2" s="1"/>
  <c r="AF872" i="2" s="1"/>
  <c r="Z871" i="2"/>
  <c r="Z870" i="2"/>
  <c r="Z869" i="2"/>
  <c r="Z868" i="2"/>
  <c r="Z867" i="2"/>
  <c r="Y867" i="2"/>
  <c r="AB867" i="2"/>
  <c r="AF867" i="2" s="1"/>
  <c r="Y868" i="2"/>
  <c r="AB868" i="2"/>
  <c r="AF868" i="2" s="1"/>
  <c r="AB870" i="2"/>
  <c r="AF870" i="2" s="1"/>
  <c r="AB871" i="2"/>
  <c r="AF871" i="2" s="1"/>
  <c r="AB874" i="2"/>
  <c r="AF874" i="2" s="1"/>
  <c r="AB875" i="2"/>
  <c r="AF875" i="2" s="1"/>
  <c r="AB876" i="2"/>
  <c r="AF876" i="2" s="1"/>
  <c r="AB877" i="2"/>
  <c r="AF877" i="2" s="1"/>
  <c r="AB878" i="2"/>
  <c r="AF878" i="2" s="1"/>
  <c r="AB879" i="2"/>
  <c r="AF879" i="2"/>
  <c r="AB880" i="2"/>
  <c r="AF880" i="2"/>
  <c r="AB881" i="2"/>
  <c r="AF881" i="2" s="1"/>
  <c r="AB882" i="2"/>
  <c r="AF882" i="2"/>
  <c r="AB883" i="2"/>
  <c r="AF883" i="2" s="1"/>
  <c r="AB884" i="2"/>
  <c r="AF884" i="2" s="1"/>
  <c r="AB885" i="2"/>
  <c r="AF885" i="2" s="1"/>
  <c r="AB886" i="2"/>
  <c r="AF886" i="2" s="1"/>
  <c r="AB887" i="2"/>
  <c r="AF887" i="2"/>
  <c r="AB888" i="2"/>
  <c r="AF888" i="2"/>
  <c r="AB889" i="2"/>
  <c r="AF889" i="2"/>
  <c r="AB890" i="2"/>
  <c r="AF890" i="2"/>
  <c r="AB891" i="2"/>
  <c r="AF891" i="2" s="1"/>
  <c r="AB892" i="2"/>
  <c r="AF892" i="2" s="1"/>
  <c r="AB893" i="2"/>
  <c r="AF893" i="2" s="1"/>
  <c r="AB894" i="2"/>
  <c r="AF894" i="2" s="1"/>
  <c r="AB895" i="2"/>
  <c r="AF895" i="2"/>
  <c r="AB896" i="2"/>
  <c r="AF896" i="2"/>
  <c r="AB897" i="2"/>
  <c r="AF897" i="2"/>
  <c r="AB898" i="2"/>
  <c r="AF898" i="2"/>
  <c r="AB899" i="2"/>
  <c r="AF899" i="2" s="1"/>
  <c r="AB900" i="2"/>
  <c r="AF900" i="2" s="1"/>
  <c r="AB901" i="2"/>
  <c r="AF901" i="2" s="1"/>
  <c r="AB902" i="2"/>
  <c r="AF902" i="2" s="1"/>
  <c r="AB903" i="2"/>
  <c r="AF903" i="2"/>
  <c r="AB904" i="2"/>
  <c r="AF904" i="2"/>
  <c r="AB905" i="2"/>
  <c r="AF905" i="2"/>
  <c r="AF906" i="2"/>
  <c r="AB907" i="2"/>
  <c r="AF907" i="2" s="1"/>
  <c r="AF908" i="2"/>
  <c r="AA910" i="2"/>
  <c r="AD910" i="2"/>
  <c r="AE910" i="2"/>
  <c r="T878" i="2"/>
  <c r="T910" i="2" s="1"/>
  <c r="O878" i="2"/>
  <c r="O877" i="2"/>
  <c r="O876" i="2"/>
  <c r="O875" i="2"/>
  <c r="O874" i="2"/>
  <c r="Q874" i="2" s="1"/>
  <c r="U874" i="2" s="1"/>
  <c r="O873" i="2"/>
  <c r="Q873" i="2" s="1"/>
  <c r="U873" i="2" s="1"/>
  <c r="O872" i="2"/>
  <c r="Q872" i="2" s="1"/>
  <c r="U872" i="2" s="1"/>
  <c r="N869" i="2"/>
  <c r="N870" i="2" s="1"/>
  <c r="N871" i="2" s="1"/>
  <c r="N872" i="2" s="1"/>
  <c r="N873" i="2" s="1"/>
  <c r="N874" i="2" s="1"/>
  <c r="N875" i="2" s="1"/>
  <c r="N876" i="2" s="1"/>
  <c r="N877" i="2" s="1"/>
  <c r="N878" i="2" s="1"/>
  <c r="O871" i="2"/>
  <c r="Q871" i="2" s="1"/>
  <c r="U871" i="2" s="1"/>
  <c r="O870" i="2"/>
  <c r="Q870" i="2" s="1"/>
  <c r="U870" i="2" s="1"/>
  <c r="O869" i="2"/>
  <c r="Q869" i="2" s="1"/>
  <c r="U869" i="2" s="1"/>
  <c r="O868" i="2"/>
  <c r="O867" i="2"/>
  <c r="I910" i="2"/>
  <c r="H910" i="2"/>
  <c r="E910" i="2"/>
  <c r="J908" i="2"/>
  <c r="F907" i="2"/>
  <c r="J907" i="2" s="1"/>
  <c r="J906" i="2"/>
  <c r="J905" i="2"/>
  <c r="F905" i="2"/>
  <c r="J904" i="2"/>
  <c r="F904" i="2"/>
  <c r="F903" i="2"/>
  <c r="J903" i="2" s="1"/>
  <c r="F902" i="2"/>
  <c r="J902" i="2" s="1"/>
  <c r="J901" i="2"/>
  <c r="F901" i="2"/>
  <c r="F900" i="2"/>
  <c r="J900" i="2" s="1"/>
  <c r="J899" i="2"/>
  <c r="F899" i="2"/>
  <c r="F898" i="2"/>
  <c r="J898" i="2" s="1"/>
  <c r="J897" i="2"/>
  <c r="F897" i="2"/>
  <c r="J896" i="2"/>
  <c r="F896" i="2"/>
  <c r="F895" i="2"/>
  <c r="J895" i="2" s="1"/>
  <c r="F894" i="2"/>
  <c r="J894" i="2" s="1"/>
  <c r="J893" i="2"/>
  <c r="F893" i="2"/>
  <c r="F892" i="2"/>
  <c r="J892" i="2" s="1"/>
  <c r="J891" i="2"/>
  <c r="F891" i="2"/>
  <c r="F890" i="2"/>
  <c r="J890" i="2" s="1"/>
  <c r="J889" i="2"/>
  <c r="F889" i="2"/>
  <c r="J888" i="2"/>
  <c r="F888" i="2"/>
  <c r="F887" i="2"/>
  <c r="J887" i="2" s="1"/>
  <c r="D886" i="2"/>
  <c r="F886" i="2" s="1"/>
  <c r="J886" i="2" s="1"/>
  <c r="D885" i="2"/>
  <c r="F885" i="2" s="1"/>
  <c r="J885" i="2" s="1"/>
  <c r="D884" i="2"/>
  <c r="F884" i="2" s="1"/>
  <c r="J884" i="2" s="1"/>
  <c r="D883" i="2"/>
  <c r="F883" i="2" s="1"/>
  <c r="J883" i="2" s="1"/>
  <c r="D882" i="2"/>
  <c r="F882" i="2" s="1"/>
  <c r="J882" i="2" s="1"/>
  <c r="D881" i="2"/>
  <c r="F881" i="2" s="1"/>
  <c r="J881" i="2" s="1"/>
  <c r="D880" i="2"/>
  <c r="F880" i="2" s="1"/>
  <c r="J880" i="2" s="1"/>
  <c r="D879" i="2"/>
  <c r="F879" i="2" s="1"/>
  <c r="J879" i="2" s="1"/>
  <c r="D878" i="2"/>
  <c r="F878" i="2" s="1"/>
  <c r="J878" i="2" s="1"/>
  <c r="D877" i="2"/>
  <c r="F877" i="2" s="1"/>
  <c r="J877" i="2" s="1"/>
  <c r="D876" i="2"/>
  <c r="F876" i="2" s="1"/>
  <c r="J876" i="2" s="1"/>
  <c r="D875" i="2"/>
  <c r="F875" i="2" s="1"/>
  <c r="J875" i="2" s="1"/>
  <c r="D874" i="2"/>
  <c r="F874" i="2" s="1"/>
  <c r="J874" i="2" s="1"/>
  <c r="D873" i="2"/>
  <c r="F873" i="2" s="1"/>
  <c r="J873" i="2" s="1"/>
  <c r="D872" i="2"/>
  <c r="F872" i="2" s="1"/>
  <c r="J872" i="2" s="1"/>
  <c r="D871" i="2"/>
  <c r="F871" i="2" s="1"/>
  <c r="J871" i="2" s="1"/>
  <c r="D870" i="2"/>
  <c r="F870" i="2" s="1"/>
  <c r="J870" i="2" s="1"/>
  <c r="D869" i="2"/>
  <c r="D910" i="2" s="1"/>
  <c r="F868" i="2"/>
  <c r="J868" i="2" s="1"/>
  <c r="C868" i="2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F867" i="2"/>
  <c r="D867" i="2"/>
  <c r="Q885" i="2"/>
  <c r="U885" i="2" s="1"/>
  <c r="Q884" i="2"/>
  <c r="U884" i="2" s="1"/>
  <c r="Q883" i="2"/>
  <c r="U883" i="2" s="1"/>
  <c r="Q882" i="2"/>
  <c r="U882" i="2" s="1"/>
  <c r="Q881" i="2"/>
  <c r="U881" i="2" s="1"/>
  <c r="Q879" i="2"/>
  <c r="U879" i="2" s="1"/>
  <c r="N868" i="2"/>
  <c r="Q868" i="2"/>
  <c r="U868" i="2" s="1"/>
  <c r="Q875" i="2"/>
  <c r="U875" i="2" s="1"/>
  <c r="Q876" i="2"/>
  <c r="U876" i="2" s="1"/>
  <c r="Q877" i="2"/>
  <c r="U877" i="2" s="1"/>
  <c r="Q878" i="2"/>
  <c r="U878" i="2" s="1"/>
  <c r="Q880" i="2"/>
  <c r="U880" i="2" s="1"/>
  <c r="Q886" i="2"/>
  <c r="U886" i="2" s="1"/>
  <c r="Q887" i="2"/>
  <c r="U887" i="2" s="1"/>
  <c r="Q888" i="2"/>
  <c r="U888" i="2"/>
  <c r="Q889" i="2"/>
  <c r="U889" i="2" s="1"/>
  <c r="Q890" i="2"/>
  <c r="U890" i="2"/>
  <c r="Q891" i="2"/>
  <c r="U891" i="2" s="1"/>
  <c r="Q892" i="2"/>
  <c r="U892" i="2"/>
  <c r="Q893" i="2"/>
  <c r="U893" i="2"/>
  <c r="Q894" i="2"/>
  <c r="U894" i="2" s="1"/>
  <c r="Q895" i="2"/>
  <c r="U895" i="2" s="1"/>
  <c r="Q896" i="2"/>
  <c r="U896" i="2"/>
  <c r="Q897" i="2"/>
  <c r="U897" i="2" s="1"/>
  <c r="Q898" i="2"/>
  <c r="U898" i="2"/>
  <c r="Q899" i="2"/>
  <c r="U899" i="2"/>
  <c r="Q900" i="2"/>
  <c r="U900" i="2"/>
  <c r="Q901" i="2"/>
  <c r="U901" i="2"/>
  <c r="Q902" i="2"/>
  <c r="U902" i="2" s="1"/>
  <c r="Q903" i="2"/>
  <c r="U903" i="2"/>
  <c r="Q904" i="2"/>
  <c r="U904" i="2"/>
  <c r="Q905" i="2"/>
  <c r="U905" i="2" s="1"/>
  <c r="U906" i="2"/>
  <c r="Q907" i="2"/>
  <c r="U907" i="2"/>
  <c r="U908" i="2"/>
  <c r="P910" i="2"/>
  <c r="S910" i="2"/>
  <c r="F967" i="2" l="1"/>
  <c r="J924" i="2"/>
  <c r="J967" i="2" s="1"/>
  <c r="Z910" i="2"/>
  <c r="AB869" i="2"/>
  <c r="J867" i="2"/>
  <c r="F869" i="2"/>
  <c r="J869" i="2" s="1"/>
  <c r="O910" i="2"/>
  <c r="Q867" i="2"/>
  <c r="U867" i="2" s="1"/>
  <c r="U910" i="2" s="1"/>
  <c r="Y812" i="2"/>
  <c r="Y813" i="2" s="1"/>
  <c r="Y814" i="2" s="1"/>
  <c r="Y815" i="2" s="1"/>
  <c r="Y816" i="2" s="1"/>
  <c r="Y817" i="2" s="1"/>
  <c r="Z817" i="2"/>
  <c r="AB817" i="2" s="1"/>
  <c r="AF817" i="2" s="1"/>
  <c r="Z816" i="2"/>
  <c r="Z815" i="2"/>
  <c r="AB815" i="2" s="1"/>
  <c r="AF815" i="2" s="1"/>
  <c r="Z814" i="2"/>
  <c r="Z813" i="2"/>
  <c r="AB813" i="2" s="1"/>
  <c r="AF813" i="2" s="1"/>
  <c r="Z812" i="2"/>
  <c r="Z811" i="2"/>
  <c r="Z810" i="2"/>
  <c r="Y810" i="2"/>
  <c r="AB810" i="2"/>
  <c r="AF810" i="2" s="1"/>
  <c r="Y811" i="2"/>
  <c r="AB811" i="2"/>
  <c r="AF811" i="2" s="1"/>
  <c r="AB812" i="2"/>
  <c r="AF812" i="2" s="1"/>
  <c r="AB814" i="2"/>
  <c r="AF814" i="2" s="1"/>
  <c r="AB816" i="2"/>
  <c r="AF816" i="2" s="1"/>
  <c r="AB818" i="2"/>
  <c r="AF818" i="2"/>
  <c r="AB819" i="2"/>
  <c r="AF819" i="2" s="1"/>
  <c r="AB820" i="2"/>
  <c r="AF820" i="2" s="1"/>
  <c r="AB821" i="2"/>
  <c r="AF821" i="2"/>
  <c r="AB822" i="2"/>
  <c r="AF822" i="2"/>
  <c r="AB823" i="2"/>
  <c r="AF823" i="2" s="1"/>
  <c r="AB824" i="2"/>
  <c r="AF824" i="2" s="1"/>
  <c r="AB825" i="2"/>
  <c r="AF825" i="2"/>
  <c r="AB826" i="2"/>
  <c r="AF826" i="2"/>
  <c r="AB827" i="2"/>
  <c r="AF827" i="2" s="1"/>
  <c r="AB828" i="2"/>
  <c r="AF828" i="2" s="1"/>
  <c r="AB829" i="2"/>
  <c r="AF829" i="2"/>
  <c r="AB830" i="2"/>
  <c r="AF830" i="2"/>
  <c r="AB831" i="2"/>
  <c r="AF831" i="2" s="1"/>
  <c r="AB832" i="2"/>
  <c r="AF832" i="2" s="1"/>
  <c r="AB833" i="2"/>
  <c r="AF833" i="2"/>
  <c r="AB834" i="2"/>
  <c r="AF834" i="2"/>
  <c r="AB835" i="2"/>
  <c r="AF835" i="2" s="1"/>
  <c r="AB836" i="2"/>
  <c r="AF836" i="2" s="1"/>
  <c r="AB837" i="2"/>
  <c r="AF837" i="2"/>
  <c r="AB838" i="2"/>
  <c r="AF838" i="2"/>
  <c r="AB839" i="2"/>
  <c r="AF839" i="2" s="1"/>
  <c r="AB840" i="2"/>
  <c r="AF840" i="2" s="1"/>
  <c r="AB841" i="2"/>
  <c r="AF841" i="2"/>
  <c r="AB842" i="2"/>
  <c r="AF842" i="2"/>
  <c r="AB843" i="2"/>
  <c r="AF843" i="2" s="1"/>
  <c r="AB844" i="2"/>
  <c r="AF844" i="2" s="1"/>
  <c r="AB845" i="2"/>
  <c r="AF845" i="2"/>
  <c r="AB846" i="2"/>
  <c r="AF846" i="2"/>
  <c r="AB847" i="2"/>
  <c r="AF847" i="2" s="1"/>
  <c r="AB848" i="2"/>
  <c r="AF848" i="2" s="1"/>
  <c r="AF849" i="2"/>
  <c r="AB850" i="2"/>
  <c r="AF850" i="2" s="1"/>
  <c r="AF851" i="2"/>
  <c r="AA853" i="2"/>
  <c r="AD853" i="2"/>
  <c r="AE853" i="2"/>
  <c r="N812" i="2"/>
  <c r="N813" i="2" s="1"/>
  <c r="N814" i="2" s="1"/>
  <c r="N815" i="2" s="1"/>
  <c r="N816" i="2" s="1"/>
  <c r="N817" i="2" s="1"/>
  <c r="N818" i="2" s="1"/>
  <c r="N819" i="2" s="1"/>
  <c r="N820" i="2" s="1"/>
  <c r="N821" i="2" s="1"/>
  <c r="N822" i="2" s="1"/>
  <c r="N823" i="2" s="1"/>
  <c r="N824" i="2" s="1"/>
  <c r="N825" i="2" s="1"/>
  <c r="O825" i="2"/>
  <c r="O824" i="2"/>
  <c r="O823" i="2"/>
  <c r="Q823" i="2" s="1"/>
  <c r="U823" i="2" s="1"/>
  <c r="O822" i="2"/>
  <c r="O821" i="2"/>
  <c r="Q821" i="2" s="1"/>
  <c r="U821" i="2" s="1"/>
  <c r="O820" i="2"/>
  <c r="Q820" i="2" s="1"/>
  <c r="U820" i="2" s="1"/>
  <c r="O819" i="2"/>
  <c r="Q819" i="2" s="1"/>
  <c r="U819" i="2" s="1"/>
  <c r="O818" i="2"/>
  <c r="Q818" i="2" s="1"/>
  <c r="U818" i="2" s="1"/>
  <c r="O817" i="2"/>
  <c r="Q817" i="2" s="1"/>
  <c r="U817" i="2" s="1"/>
  <c r="O816" i="2"/>
  <c r="Q816" i="2" s="1"/>
  <c r="U816" i="2" s="1"/>
  <c r="O815" i="2"/>
  <c r="Q815" i="2" s="1"/>
  <c r="U815" i="2" s="1"/>
  <c r="O814" i="2"/>
  <c r="Q814" i="2" s="1"/>
  <c r="U814" i="2" s="1"/>
  <c r="O813" i="2"/>
  <c r="O812" i="2"/>
  <c r="Q812" i="2" s="1"/>
  <c r="U812" i="2" s="1"/>
  <c r="O811" i="2"/>
  <c r="O810" i="2"/>
  <c r="Q810" i="2"/>
  <c r="U810" i="2" s="1"/>
  <c r="N811" i="2"/>
  <c r="Q811" i="2"/>
  <c r="Q813" i="2"/>
  <c r="U813" i="2" s="1"/>
  <c r="Q822" i="2"/>
  <c r="U822" i="2" s="1"/>
  <c r="Q824" i="2"/>
  <c r="U824" i="2" s="1"/>
  <c r="Q825" i="2"/>
  <c r="U825" i="2" s="1"/>
  <c r="Q826" i="2"/>
  <c r="U826" i="2"/>
  <c r="Q827" i="2"/>
  <c r="U827" i="2" s="1"/>
  <c r="Q828" i="2"/>
  <c r="U828" i="2"/>
  <c r="Q829" i="2"/>
  <c r="U829" i="2" s="1"/>
  <c r="Q830" i="2"/>
  <c r="U830" i="2"/>
  <c r="Q831" i="2"/>
  <c r="U831" i="2" s="1"/>
  <c r="Q832" i="2"/>
  <c r="U832" i="2"/>
  <c r="Q833" i="2"/>
  <c r="U833" i="2" s="1"/>
  <c r="Q834" i="2"/>
  <c r="U834" i="2"/>
  <c r="Q835" i="2"/>
  <c r="U835" i="2" s="1"/>
  <c r="Q836" i="2"/>
  <c r="U836" i="2" s="1"/>
  <c r="Q837" i="2"/>
  <c r="U837" i="2" s="1"/>
  <c r="Q838" i="2"/>
  <c r="U838" i="2"/>
  <c r="Q839" i="2"/>
  <c r="U839" i="2" s="1"/>
  <c r="Q840" i="2"/>
  <c r="U840" i="2" s="1"/>
  <c r="Q841" i="2"/>
  <c r="U841" i="2" s="1"/>
  <c r="Q842" i="2"/>
  <c r="U842" i="2"/>
  <c r="Q843" i="2"/>
  <c r="U843" i="2" s="1"/>
  <c r="Q844" i="2"/>
  <c r="U844" i="2" s="1"/>
  <c r="Q845" i="2"/>
  <c r="U845" i="2" s="1"/>
  <c r="Q846" i="2"/>
  <c r="U846" i="2"/>
  <c r="Q847" i="2"/>
  <c r="U847" i="2" s="1"/>
  <c r="Q848" i="2"/>
  <c r="U848" i="2"/>
  <c r="U849" i="2"/>
  <c r="Q850" i="2"/>
  <c r="U850" i="2"/>
  <c r="U851" i="2"/>
  <c r="P853" i="2"/>
  <c r="S853" i="2"/>
  <c r="T853" i="2"/>
  <c r="D830" i="2"/>
  <c r="D829" i="2"/>
  <c r="F829" i="2" s="1"/>
  <c r="J829" i="2" s="1"/>
  <c r="D828" i="2"/>
  <c r="F828" i="2" s="1"/>
  <c r="J828" i="2" s="1"/>
  <c r="D827" i="2"/>
  <c r="F827" i="2" s="1"/>
  <c r="J827" i="2" s="1"/>
  <c r="I826" i="2"/>
  <c r="I853" i="2" s="1"/>
  <c r="D826" i="2"/>
  <c r="F826" i="2" s="1"/>
  <c r="J826" i="2" s="1"/>
  <c r="D825" i="2"/>
  <c r="D824" i="2"/>
  <c r="F824" i="2" s="1"/>
  <c r="J824" i="2" s="1"/>
  <c r="D823" i="2"/>
  <c r="F823" i="2" s="1"/>
  <c r="J823" i="2" s="1"/>
  <c r="D822" i="2"/>
  <c r="F822" i="2" s="1"/>
  <c r="J822" i="2" s="1"/>
  <c r="D821" i="2"/>
  <c r="F821" i="2" s="1"/>
  <c r="J821" i="2" s="1"/>
  <c r="D820" i="2"/>
  <c r="D819" i="2"/>
  <c r="F819" i="2" s="1"/>
  <c r="J819" i="2" s="1"/>
  <c r="D818" i="2"/>
  <c r="D817" i="2"/>
  <c r="F817" i="2" s="1"/>
  <c r="J817" i="2" s="1"/>
  <c r="D816" i="2"/>
  <c r="D815" i="2"/>
  <c r="F815" i="2" s="1"/>
  <c r="J815" i="2" s="1"/>
  <c r="D814" i="2"/>
  <c r="D813" i="2"/>
  <c r="I812" i="2"/>
  <c r="D812" i="2"/>
  <c r="D811" i="2"/>
  <c r="D810" i="2"/>
  <c r="C811" i="2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F811" i="2"/>
  <c r="J811" i="2" s="1"/>
  <c r="F812" i="2"/>
  <c r="J812" i="2" s="1"/>
  <c r="F813" i="2"/>
  <c r="J813" i="2" s="1"/>
  <c r="F814" i="2"/>
  <c r="J814" i="2" s="1"/>
  <c r="F816" i="2"/>
  <c r="J816" i="2" s="1"/>
  <c r="F818" i="2"/>
  <c r="J818" i="2"/>
  <c r="F820" i="2"/>
  <c r="J820" i="2" s="1"/>
  <c r="F825" i="2"/>
  <c r="J825" i="2" s="1"/>
  <c r="F830" i="2"/>
  <c r="J830" i="2" s="1"/>
  <c r="F831" i="2"/>
  <c r="J831" i="2"/>
  <c r="F832" i="2"/>
  <c r="J832" i="2" s="1"/>
  <c r="F833" i="2"/>
  <c r="J833" i="2"/>
  <c r="F834" i="2"/>
  <c r="J834" i="2"/>
  <c r="F835" i="2"/>
  <c r="J835" i="2"/>
  <c r="F836" i="2"/>
  <c r="J836" i="2"/>
  <c r="F837" i="2"/>
  <c r="J837" i="2"/>
  <c r="F838" i="2"/>
  <c r="J838" i="2"/>
  <c r="F839" i="2"/>
  <c r="J839" i="2"/>
  <c r="F840" i="2"/>
  <c r="J840" i="2" s="1"/>
  <c r="F841" i="2"/>
  <c r="J841" i="2"/>
  <c r="F842" i="2"/>
  <c r="J842" i="2"/>
  <c r="F843" i="2"/>
  <c r="J843" i="2"/>
  <c r="F844" i="2"/>
  <c r="J844" i="2"/>
  <c r="F845" i="2"/>
  <c r="J845" i="2"/>
  <c r="F846" i="2"/>
  <c r="J846" i="2"/>
  <c r="F847" i="2"/>
  <c r="J847" i="2"/>
  <c r="F848" i="2"/>
  <c r="J848" i="2" s="1"/>
  <c r="F849" i="2"/>
  <c r="J849" i="2"/>
  <c r="F850" i="2"/>
  <c r="J850" i="2"/>
  <c r="E853" i="2"/>
  <c r="H853" i="2"/>
  <c r="AB910" i="2" l="1"/>
  <c r="AF869" i="2"/>
  <c r="AF910" i="2" s="1"/>
  <c r="F910" i="2"/>
  <c r="J910" i="2"/>
  <c r="Q910" i="2"/>
  <c r="Z853" i="2"/>
  <c r="AF853" i="2"/>
  <c r="AB853" i="2"/>
  <c r="O853" i="2"/>
  <c r="U811" i="2"/>
  <c r="U853" i="2" s="1"/>
  <c r="Q853" i="2"/>
  <c r="D853" i="2"/>
  <c r="F810" i="2"/>
  <c r="J810" i="2" s="1"/>
  <c r="J853" i="2"/>
  <c r="F853" i="2"/>
  <c r="J26" i="1"/>
  <c r="J28" i="1"/>
  <c r="D28" i="1" s="1"/>
  <c r="J29" i="1"/>
  <c r="D29" i="1" s="1"/>
  <c r="J30" i="1"/>
  <c r="D30" i="1" s="1"/>
  <c r="J31" i="1"/>
  <c r="D31" i="1" s="1"/>
  <c r="J32" i="1"/>
  <c r="D32" i="1" s="1"/>
  <c r="J33" i="1"/>
  <c r="D33" i="1" s="1"/>
  <c r="J35" i="1"/>
  <c r="D35" i="1" s="1"/>
  <c r="J36" i="1"/>
  <c r="D36" i="1" s="1"/>
  <c r="J37" i="1"/>
  <c r="D37" i="1" s="1"/>
  <c r="J38" i="1"/>
  <c r="D38" i="1" s="1"/>
  <c r="J39" i="1"/>
  <c r="D39" i="1" s="1"/>
  <c r="J40" i="1"/>
  <c r="Y755" i="2"/>
  <c r="Y756" i="2"/>
  <c r="Y757" i="2" s="1"/>
  <c r="Y758" i="2" s="1"/>
  <c r="Z758" i="2"/>
  <c r="Z757" i="2"/>
  <c r="AB757" i="2" s="1"/>
  <c r="AF757" i="2" s="1"/>
  <c r="Z756" i="2"/>
  <c r="Z755" i="2"/>
  <c r="Z754" i="2"/>
  <c r="Z753" i="2"/>
  <c r="Z796" i="2"/>
  <c r="AB753" i="2"/>
  <c r="AF753" i="2" s="1"/>
  <c r="Y754" i="2"/>
  <c r="AB754" i="2"/>
  <c r="AF754" i="2" s="1"/>
  <c r="AB755" i="2"/>
  <c r="AF755" i="2" s="1"/>
  <c r="AB756" i="2"/>
  <c r="AF756" i="2"/>
  <c r="AB758" i="2"/>
  <c r="AF758" i="2" s="1"/>
  <c r="AB759" i="2"/>
  <c r="AF759" i="2" s="1"/>
  <c r="AB760" i="2"/>
  <c r="AF760" i="2" s="1"/>
  <c r="AB761" i="2"/>
  <c r="AF761" i="2"/>
  <c r="AB762" i="2"/>
  <c r="AF762" i="2" s="1"/>
  <c r="AB763" i="2"/>
  <c r="AF763" i="2" s="1"/>
  <c r="AB764" i="2"/>
  <c r="AF764" i="2"/>
  <c r="AB765" i="2"/>
  <c r="AF765" i="2"/>
  <c r="AB766" i="2"/>
  <c r="AF766" i="2" s="1"/>
  <c r="AB767" i="2"/>
  <c r="AF767" i="2" s="1"/>
  <c r="AB768" i="2"/>
  <c r="AF768" i="2"/>
  <c r="AB769" i="2"/>
  <c r="AF769" i="2"/>
  <c r="AB770" i="2"/>
  <c r="AF770" i="2" s="1"/>
  <c r="AB771" i="2"/>
  <c r="AF771" i="2" s="1"/>
  <c r="AB772" i="2"/>
  <c r="AF772" i="2"/>
  <c r="AB773" i="2"/>
  <c r="AF773" i="2"/>
  <c r="AB774" i="2"/>
  <c r="AF774" i="2"/>
  <c r="AB775" i="2"/>
  <c r="AF775" i="2" s="1"/>
  <c r="AB776" i="2"/>
  <c r="AF776" i="2"/>
  <c r="AB777" i="2"/>
  <c r="AF777" i="2" s="1"/>
  <c r="AB778" i="2"/>
  <c r="AF778" i="2" s="1"/>
  <c r="AB779" i="2"/>
  <c r="AF779" i="2"/>
  <c r="AB780" i="2"/>
  <c r="AF780" i="2" s="1"/>
  <c r="AB781" i="2"/>
  <c r="AF781" i="2"/>
  <c r="AB782" i="2"/>
  <c r="AF782" i="2"/>
  <c r="AB783" i="2"/>
  <c r="AF783" i="2" s="1"/>
  <c r="AB784" i="2"/>
  <c r="AF784" i="2"/>
  <c r="AB785" i="2"/>
  <c r="AF785" i="2" s="1"/>
  <c r="AB786" i="2"/>
  <c r="AF786" i="2" s="1"/>
  <c r="AB787" i="2"/>
  <c r="AF787" i="2"/>
  <c r="AB788" i="2"/>
  <c r="AF788" i="2" s="1"/>
  <c r="AB789" i="2"/>
  <c r="AF789" i="2"/>
  <c r="AB790" i="2"/>
  <c r="AF790" i="2"/>
  <c r="AB791" i="2"/>
  <c r="AF791" i="2" s="1"/>
  <c r="AF792" i="2"/>
  <c r="AB793" i="2"/>
  <c r="AF793" i="2"/>
  <c r="AF794" i="2"/>
  <c r="AA796" i="2"/>
  <c r="AD796" i="2"/>
  <c r="AE796" i="2"/>
  <c r="N768" i="2"/>
  <c r="N769" i="2"/>
  <c r="N770" i="2"/>
  <c r="N771" i="2"/>
  <c r="N772" i="2"/>
  <c r="N773" i="2"/>
  <c r="N774" i="2" s="1"/>
  <c r="N775" i="2" s="1"/>
  <c r="N776" i="2" s="1"/>
  <c r="N777" i="2" s="1"/>
  <c r="N778" i="2" s="1"/>
  <c r="N779" i="2" s="1"/>
  <c r="N780" i="2" s="1"/>
  <c r="N781" i="2" s="1"/>
  <c r="N782" i="2" s="1"/>
  <c r="N783" i="2" s="1"/>
  <c r="N784" i="2" s="1"/>
  <c r="N785" i="2" s="1"/>
  <c r="N786" i="2" s="1"/>
  <c r="N787" i="2" s="1"/>
  <c r="N788" i="2" s="1"/>
  <c r="N789" i="2" s="1"/>
  <c r="N790" i="2" s="1"/>
  <c r="N791" i="2" s="1"/>
  <c r="O791" i="2"/>
  <c r="Q791" i="2" s="1"/>
  <c r="U791" i="2" s="1"/>
  <c r="O790" i="2"/>
  <c r="O789" i="2"/>
  <c r="O788" i="2"/>
  <c r="O787" i="2"/>
  <c r="O786" i="2"/>
  <c r="O785" i="2"/>
  <c r="Q785" i="2" s="1"/>
  <c r="U785" i="2" s="1"/>
  <c r="O784" i="2"/>
  <c r="O783" i="2"/>
  <c r="Q783" i="2" s="1"/>
  <c r="U783" i="2" s="1"/>
  <c r="O782" i="2"/>
  <c r="O781" i="2"/>
  <c r="O780" i="2"/>
  <c r="O779" i="2"/>
  <c r="O778" i="2"/>
  <c r="O777" i="2"/>
  <c r="Q777" i="2"/>
  <c r="U777" i="2" s="1"/>
  <c r="O776" i="2"/>
  <c r="Q776" i="2" s="1"/>
  <c r="U776" i="2" s="1"/>
  <c r="O775" i="2"/>
  <c r="Q775" i="2" s="1"/>
  <c r="U775" i="2" s="1"/>
  <c r="O774" i="2"/>
  <c r="Q774" i="2" s="1"/>
  <c r="U774" i="2" s="1"/>
  <c r="O773" i="2"/>
  <c r="O772" i="2"/>
  <c r="O771" i="2"/>
  <c r="O770" i="2"/>
  <c r="O769" i="2"/>
  <c r="O768" i="2"/>
  <c r="O767" i="2"/>
  <c r="O766" i="2"/>
  <c r="O765" i="2"/>
  <c r="O764" i="2"/>
  <c r="O763" i="2"/>
  <c r="O762" i="2"/>
  <c r="O761" i="2"/>
  <c r="O760" i="2"/>
  <c r="O759" i="2"/>
  <c r="O758" i="2"/>
  <c r="Q758" i="2" s="1"/>
  <c r="U758" i="2" s="1"/>
  <c r="O757" i="2"/>
  <c r="Q757" i="2" s="1"/>
  <c r="U757" i="2" s="1"/>
  <c r="O756" i="2"/>
  <c r="O755" i="2"/>
  <c r="O754" i="2"/>
  <c r="O753" i="2"/>
  <c r="Q753" i="2"/>
  <c r="U753" i="2" s="1"/>
  <c r="N754" i="2"/>
  <c r="N755" i="2" s="1"/>
  <c r="N756" i="2" s="1"/>
  <c r="N757" i="2" s="1"/>
  <c r="N758" i="2" s="1"/>
  <c r="N759" i="2" s="1"/>
  <c r="N760" i="2" s="1"/>
  <c r="N761" i="2" s="1"/>
  <c r="N762" i="2" s="1"/>
  <c r="N763" i="2" s="1"/>
  <c r="N764" i="2" s="1"/>
  <c r="N765" i="2" s="1"/>
  <c r="N766" i="2" s="1"/>
  <c r="N767" i="2" s="1"/>
  <c r="Q754" i="2"/>
  <c r="Q755" i="2"/>
  <c r="U755" i="2" s="1"/>
  <c r="Q756" i="2"/>
  <c r="U756" i="2" s="1"/>
  <c r="Q759" i="2"/>
  <c r="U759" i="2" s="1"/>
  <c r="Q760" i="2"/>
  <c r="U760" i="2" s="1"/>
  <c r="Q761" i="2"/>
  <c r="U761" i="2" s="1"/>
  <c r="Q762" i="2"/>
  <c r="U762" i="2" s="1"/>
  <c r="Q763" i="2"/>
  <c r="U763" i="2" s="1"/>
  <c r="Q764" i="2"/>
  <c r="U764" i="2" s="1"/>
  <c r="Q765" i="2"/>
  <c r="U765" i="2" s="1"/>
  <c r="Q766" i="2"/>
  <c r="U766" i="2" s="1"/>
  <c r="Q767" i="2"/>
  <c r="U767" i="2" s="1"/>
  <c r="Q768" i="2"/>
  <c r="U768" i="2" s="1"/>
  <c r="Q769" i="2"/>
  <c r="U769" i="2"/>
  <c r="Q770" i="2"/>
  <c r="U770" i="2" s="1"/>
  <c r="Q771" i="2"/>
  <c r="U771" i="2" s="1"/>
  <c r="Q772" i="2"/>
  <c r="U772" i="2" s="1"/>
  <c r="Q773" i="2"/>
  <c r="U773" i="2" s="1"/>
  <c r="Q778" i="2"/>
  <c r="U778" i="2"/>
  <c r="Q779" i="2"/>
  <c r="U779" i="2" s="1"/>
  <c r="Q780" i="2"/>
  <c r="U780" i="2" s="1"/>
  <c r="Q781" i="2"/>
  <c r="U781" i="2" s="1"/>
  <c r="Q782" i="2"/>
  <c r="U782" i="2" s="1"/>
  <c r="Q784" i="2"/>
  <c r="U784" i="2"/>
  <c r="Q786" i="2"/>
  <c r="U786" i="2"/>
  <c r="Q787" i="2"/>
  <c r="U787" i="2" s="1"/>
  <c r="Q788" i="2"/>
  <c r="U788" i="2" s="1"/>
  <c r="Q789" i="2"/>
  <c r="U789" i="2" s="1"/>
  <c r="Q790" i="2"/>
  <c r="U790" i="2" s="1"/>
  <c r="U792" i="2"/>
  <c r="Q793" i="2"/>
  <c r="U793" i="2" s="1"/>
  <c r="U794" i="2"/>
  <c r="P796" i="2"/>
  <c r="S796" i="2"/>
  <c r="T796" i="2"/>
  <c r="C766" i="2"/>
  <c r="C767" i="2" s="1"/>
  <c r="C768" i="2" s="1"/>
  <c r="D768" i="2"/>
  <c r="F768" i="2" s="1"/>
  <c r="J768" i="2" s="1"/>
  <c r="D767" i="2"/>
  <c r="F767" i="2" s="1"/>
  <c r="J767" i="2" s="1"/>
  <c r="D766" i="2"/>
  <c r="C755" i="2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D765" i="2"/>
  <c r="D764" i="2"/>
  <c r="D763" i="2"/>
  <c r="D762" i="2"/>
  <c r="F762" i="2" s="1"/>
  <c r="J762" i="2" s="1"/>
  <c r="D761" i="2"/>
  <c r="F761" i="2" s="1"/>
  <c r="J761" i="2" s="1"/>
  <c r="D760" i="2"/>
  <c r="F760" i="2" s="1"/>
  <c r="J760" i="2" s="1"/>
  <c r="D759" i="2"/>
  <c r="F759" i="2" s="1"/>
  <c r="J759" i="2" s="1"/>
  <c r="D758" i="2"/>
  <c r="F758" i="2" s="1"/>
  <c r="J758" i="2" s="1"/>
  <c r="D757" i="2"/>
  <c r="F757" i="2"/>
  <c r="J757" i="2" s="1"/>
  <c r="D756" i="2"/>
  <c r="D755" i="2"/>
  <c r="D754" i="2"/>
  <c r="D753" i="2"/>
  <c r="F753" i="2"/>
  <c r="J753" i="2" s="1"/>
  <c r="C754" i="2"/>
  <c r="F754" i="2"/>
  <c r="J754" i="2" s="1"/>
  <c r="F755" i="2"/>
  <c r="J755" i="2" s="1"/>
  <c r="F756" i="2"/>
  <c r="J756" i="2" s="1"/>
  <c r="H796" i="2"/>
  <c r="F763" i="2"/>
  <c r="J763" i="2" s="1"/>
  <c r="F764" i="2"/>
  <c r="J764" i="2" s="1"/>
  <c r="F765" i="2"/>
  <c r="J765" i="2" s="1"/>
  <c r="F766" i="2"/>
  <c r="J766" i="2" s="1"/>
  <c r="F769" i="2"/>
  <c r="J769" i="2"/>
  <c r="F770" i="2"/>
  <c r="J770" i="2" s="1"/>
  <c r="F771" i="2"/>
  <c r="J771" i="2"/>
  <c r="F772" i="2"/>
  <c r="J772" i="2"/>
  <c r="F773" i="2"/>
  <c r="J773" i="2"/>
  <c r="F774" i="2"/>
  <c r="J774" i="2"/>
  <c r="F775" i="2"/>
  <c r="J775" i="2"/>
  <c r="F776" i="2"/>
  <c r="J776" i="2"/>
  <c r="F777" i="2"/>
  <c r="J777" i="2"/>
  <c r="F778" i="2"/>
  <c r="J778" i="2" s="1"/>
  <c r="F779" i="2"/>
  <c r="J779" i="2"/>
  <c r="F780" i="2"/>
  <c r="J780" i="2"/>
  <c r="F781" i="2"/>
  <c r="J781" i="2"/>
  <c r="F782" i="2"/>
  <c r="J782" i="2"/>
  <c r="F783" i="2"/>
  <c r="J783" i="2"/>
  <c r="F784" i="2"/>
  <c r="J784" i="2"/>
  <c r="F785" i="2"/>
  <c r="J785" i="2"/>
  <c r="F786" i="2"/>
  <c r="J786" i="2" s="1"/>
  <c r="F787" i="2"/>
  <c r="J787" i="2"/>
  <c r="F788" i="2"/>
  <c r="J788" i="2"/>
  <c r="F789" i="2"/>
  <c r="J789" i="2"/>
  <c r="F790" i="2"/>
  <c r="J790" i="2"/>
  <c r="F791" i="2"/>
  <c r="J791" i="2"/>
  <c r="F792" i="2"/>
  <c r="J792" i="2"/>
  <c r="F793" i="2"/>
  <c r="J793" i="2"/>
  <c r="E796" i="2"/>
  <c r="I796" i="2"/>
  <c r="AF796" i="2" l="1"/>
  <c r="AB796" i="2"/>
  <c r="O796" i="2"/>
  <c r="U754" i="2"/>
  <c r="Q796" i="2"/>
  <c r="U796" i="2"/>
  <c r="D796" i="2"/>
  <c r="F796" i="2"/>
  <c r="J796" i="2"/>
  <c r="Y715" i="2"/>
  <c r="Y716" i="2" s="1"/>
  <c r="Z716" i="2"/>
  <c r="Z715" i="2"/>
  <c r="Z714" i="2"/>
  <c r="AB714" i="2" s="1"/>
  <c r="AF714" i="2" s="1"/>
  <c r="Z713" i="2"/>
  <c r="AB713" i="2" s="1"/>
  <c r="AF713" i="2" s="1"/>
  <c r="Z712" i="2"/>
  <c r="AB712" i="2" s="1"/>
  <c r="AF712" i="2" s="1"/>
  <c r="Z711" i="2"/>
  <c r="AB711" i="2" s="1"/>
  <c r="AF711" i="2" s="1"/>
  <c r="Z710" i="2"/>
  <c r="AB710" i="2" s="1"/>
  <c r="AF710" i="2" s="1"/>
  <c r="Z709" i="2"/>
  <c r="Z708" i="2"/>
  <c r="AB708" i="2" s="1"/>
  <c r="AF708" i="2" s="1"/>
  <c r="Z707" i="2"/>
  <c r="Z706" i="2"/>
  <c r="Y706" i="2"/>
  <c r="Y707" i="2" s="1"/>
  <c r="Y708" i="2" s="1"/>
  <c r="Y709" i="2" s="1"/>
  <c r="Y710" i="2" s="1"/>
  <c r="Y711" i="2" s="1"/>
  <c r="Y712" i="2" s="1"/>
  <c r="Y713" i="2" s="1"/>
  <c r="Y714" i="2" s="1"/>
  <c r="Y698" i="2"/>
  <c r="Y699" i="2" s="1"/>
  <c r="Y700" i="2" s="1"/>
  <c r="Y701" i="2" s="1"/>
  <c r="Y702" i="2" s="1"/>
  <c r="Y703" i="2" s="1"/>
  <c r="Y704" i="2" s="1"/>
  <c r="Y705" i="2" s="1"/>
  <c r="Z705" i="2"/>
  <c r="Z704" i="2"/>
  <c r="Z703" i="2"/>
  <c r="Z702" i="2"/>
  <c r="AB702" i="2" s="1"/>
  <c r="AF702" i="2" s="1"/>
  <c r="Z701" i="2"/>
  <c r="Z700" i="2"/>
  <c r="AB700" i="2" s="1"/>
  <c r="AF700" i="2" s="1"/>
  <c r="Z699" i="2"/>
  <c r="Z698" i="2"/>
  <c r="Z697" i="2"/>
  <c r="Z696" i="2"/>
  <c r="AB696" i="2"/>
  <c r="Y697" i="2"/>
  <c r="AB697" i="2"/>
  <c r="AF697" i="2" s="1"/>
  <c r="AB701" i="2"/>
  <c r="AF701" i="2" s="1"/>
  <c r="AB703" i="2"/>
  <c r="AF703" i="2" s="1"/>
  <c r="AB704" i="2"/>
  <c r="AF704" i="2" s="1"/>
  <c r="AB705" i="2"/>
  <c r="AF705" i="2" s="1"/>
  <c r="AB706" i="2"/>
  <c r="AF706" i="2" s="1"/>
  <c r="AB707" i="2"/>
  <c r="AF707" i="2" s="1"/>
  <c r="AB709" i="2"/>
  <c r="AF709" i="2" s="1"/>
  <c r="AB715" i="2"/>
  <c r="AF715" i="2" s="1"/>
  <c r="AB716" i="2"/>
  <c r="AF716" i="2" s="1"/>
  <c r="AB717" i="2"/>
  <c r="AF717" i="2" s="1"/>
  <c r="AB718" i="2"/>
  <c r="AF718" i="2" s="1"/>
  <c r="AB719" i="2"/>
  <c r="AF719" i="2" s="1"/>
  <c r="AB720" i="2"/>
  <c r="AF720" i="2"/>
  <c r="AB721" i="2"/>
  <c r="AF721" i="2"/>
  <c r="AB722" i="2"/>
  <c r="AF722" i="2"/>
  <c r="AB723" i="2"/>
  <c r="AF723" i="2"/>
  <c r="AB724" i="2"/>
  <c r="AF724" i="2" s="1"/>
  <c r="AB725" i="2"/>
  <c r="AF725" i="2" s="1"/>
  <c r="AB726" i="2"/>
  <c r="AF726" i="2" s="1"/>
  <c r="AB727" i="2"/>
  <c r="AF727" i="2" s="1"/>
  <c r="AB728" i="2"/>
  <c r="AF728" i="2"/>
  <c r="AB729" i="2"/>
  <c r="AF729" i="2"/>
  <c r="AB730" i="2"/>
  <c r="AF730" i="2"/>
  <c r="AB731" i="2"/>
  <c r="AF731" i="2"/>
  <c r="AB732" i="2"/>
  <c r="AF732" i="2" s="1"/>
  <c r="AB733" i="2"/>
  <c r="AF733" i="2" s="1"/>
  <c r="AB734" i="2"/>
  <c r="AF734" i="2" s="1"/>
  <c r="AF735" i="2"/>
  <c r="AB736" i="2"/>
  <c r="AF736" i="2" s="1"/>
  <c r="AF737" i="2"/>
  <c r="AA739" i="2"/>
  <c r="AD739" i="2"/>
  <c r="AE739" i="2"/>
  <c r="O710" i="2"/>
  <c r="Q710" i="2" s="1"/>
  <c r="U710" i="2" s="1"/>
  <c r="O709" i="2"/>
  <c r="O708" i="2"/>
  <c r="O707" i="2"/>
  <c r="O706" i="2"/>
  <c r="Q706" i="2" s="1"/>
  <c r="U706" i="2" s="1"/>
  <c r="O705" i="2"/>
  <c r="Q705" i="2" s="1"/>
  <c r="U705" i="2" s="1"/>
  <c r="O704" i="2"/>
  <c r="Q704" i="2" s="1"/>
  <c r="U704" i="2" s="1"/>
  <c r="O703" i="2"/>
  <c r="Q703" i="2" s="1"/>
  <c r="U703" i="2" s="1"/>
  <c r="O702" i="2"/>
  <c r="Q702" i="2" s="1"/>
  <c r="U702" i="2" s="1"/>
  <c r="O701" i="2"/>
  <c r="Q701" i="2" s="1"/>
  <c r="U701" i="2" s="1"/>
  <c r="O700" i="2"/>
  <c r="O699" i="2"/>
  <c r="O698" i="2"/>
  <c r="O697" i="2"/>
  <c r="O696" i="2"/>
  <c r="N697" i="2"/>
  <c r="N698" i="2" s="1"/>
  <c r="N699" i="2" s="1"/>
  <c r="N700" i="2" s="1"/>
  <c r="N701" i="2" s="1"/>
  <c r="N702" i="2" s="1"/>
  <c r="N703" i="2" s="1"/>
  <c r="N704" i="2" s="1"/>
  <c r="N705" i="2" s="1"/>
  <c r="N706" i="2" s="1"/>
  <c r="N707" i="2" s="1"/>
  <c r="N708" i="2" s="1"/>
  <c r="N709" i="2" s="1"/>
  <c r="N710" i="2" s="1"/>
  <c r="Q697" i="2"/>
  <c r="U697" i="2" s="1"/>
  <c r="Q698" i="2"/>
  <c r="U698" i="2" s="1"/>
  <c r="Q699" i="2"/>
  <c r="U699" i="2" s="1"/>
  <c r="Q700" i="2"/>
  <c r="U700" i="2" s="1"/>
  <c r="Q707" i="2"/>
  <c r="U707" i="2" s="1"/>
  <c r="Q708" i="2"/>
  <c r="U708" i="2" s="1"/>
  <c r="Q709" i="2"/>
  <c r="U709" i="2" s="1"/>
  <c r="Q711" i="2"/>
  <c r="U711" i="2"/>
  <c r="Q712" i="2"/>
  <c r="U712" i="2" s="1"/>
  <c r="Q713" i="2"/>
  <c r="U713" i="2"/>
  <c r="Q714" i="2"/>
  <c r="U714" i="2"/>
  <c r="Q715" i="2"/>
  <c r="U715" i="2"/>
  <c r="Q716" i="2"/>
  <c r="U716" i="2" s="1"/>
  <c r="Q717" i="2"/>
  <c r="U717" i="2"/>
  <c r="Q718" i="2"/>
  <c r="U718" i="2"/>
  <c r="Q719" i="2"/>
  <c r="U719" i="2"/>
  <c r="Q720" i="2"/>
  <c r="U720" i="2" s="1"/>
  <c r="Q721" i="2"/>
  <c r="U721" i="2"/>
  <c r="Q722" i="2"/>
  <c r="U722" i="2"/>
  <c r="Q723" i="2"/>
  <c r="U723" i="2"/>
  <c r="Q724" i="2"/>
  <c r="U724" i="2" s="1"/>
  <c r="Q725" i="2"/>
  <c r="U725" i="2"/>
  <c r="Q726" i="2"/>
  <c r="U726" i="2"/>
  <c r="Q727" i="2"/>
  <c r="U727" i="2"/>
  <c r="Q728" i="2"/>
  <c r="U728" i="2" s="1"/>
  <c r="Q729" i="2"/>
  <c r="U729" i="2"/>
  <c r="Q730" i="2"/>
  <c r="U730" i="2"/>
  <c r="Q731" i="2"/>
  <c r="U731" i="2"/>
  <c r="Q732" i="2"/>
  <c r="U732" i="2" s="1"/>
  <c r="Q733" i="2"/>
  <c r="U733" i="2"/>
  <c r="Q734" i="2"/>
  <c r="U734" i="2"/>
  <c r="U735" i="2"/>
  <c r="Q736" i="2"/>
  <c r="U736" i="2"/>
  <c r="U737" i="2"/>
  <c r="P739" i="2"/>
  <c r="S739" i="2"/>
  <c r="T739" i="2"/>
  <c r="D708" i="2"/>
  <c r="D707" i="2"/>
  <c r="D706" i="2"/>
  <c r="H705" i="2"/>
  <c r="D705" i="2"/>
  <c r="D704" i="2"/>
  <c r="D703" i="2"/>
  <c r="D702" i="2"/>
  <c r="D701" i="2"/>
  <c r="D700" i="2"/>
  <c r="D699" i="2"/>
  <c r="D698" i="2"/>
  <c r="C698" i="2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D697" i="2"/>
  <c r="D696" i="2"/>
  <c r="Z739" i="2" l="1"/>
  <c r="AB699" i="2"/>
  <c r="AF699" i="2" s="1"/>
  <c r="AF696" i="2"/>
  <c r="AB698" i="2"/>
  <c r="AF698" i="2" s="1"/>
  <c r="O739" i="2"/>
  <c r="Q696" i="2"/>
  <c r="AB739" i="2" l="1"/>
  <c r="AF739" i="2"/>
  <c r="Q739" i="2"/>
  <c r="U696" i="2"/>
  <c r="U739" i="2" s="1"/>
  <c r="F696" i="2" l="1"/>
  <c r="J696" i="2" s="1"/>
  <c r="C697" i="2"/>
  <c r="D739" i="2"/>
  <c r="F697" i="2"/>
  <c r="J697" i="2" s="1"/>
  <c r="F698" i="2"/>
  <c r="J698" i="2" s="1"/>
  <c r="F699" i="2"/>
  <c r="J699" i="2" s="1"/>
  <c r="F700" i="2"/>
  <c r="J700" i="2" s="1"/>
  <c r="F701" i="2"/>
  <c r="J701" i="2" s="1"/>
  <c r="F702" i="2"/>
  <c r="J702" i="2" s="1"/>
  <c r="F703" i="2"/>
  <c r="J703" i="2" s="1"/>
  <c r="F704" i="2"/>
  <c r="J704" i="2" s="1"/>
  <c r="F705" i="2"/>
  <c r="J705" i="2" s="1"/>
  <c r="F706" i="2"/>
  <c r="J706" i="2" s="1"/>
  <c r="F707" i="2"/>
  <c r="J707" i="2" s="1"/>
  <c r="F708" i="2"/>
  <c r="J708" i="2" s="1"/>
  <c r="F709" i="2"/>
  <c r="J709" i="2"/>
  <c r="F710" i="2"/>
  <c r="J710" i="2"/>
  <c r="F711" i="2"/>
  <c r="J711" i="2" s="1"/>
  <c r="F712" i="2"/>
  <c r="J712" i="2" s="1"/>
  <c r="F713" i="2"/>
  <c r="J713" i="2"/>
  <c r="F714" i="2"/>
  <c r="J714" i="2"/>
  <c r="F715" i="2"/>
  <c r="J715" i="2" s="1"/>
  <c r="F716" i="2"/>
  <c r="J716" i="2" s="1"/>
  <c r="F717" i="2"/>
  <c r="J717" i="2"/>
  <c r="F718" i="2"/>
  <c r="J718" i="2"/>
  <c r="F719" i="2"/>
  <c r="J719" i="2" s="1"/>
  <c r="F720" i="2"/>
  <c r="J720" i="2" s="1"/>
  <c r="F721" i="2"/>
  <c r="J721" i="2"/>
  <c r="F722" i="2"/>
  <c r="J722" i="2"/>
  <c r="F723" i="2"/>
  <c r="J723" i="2" s="1"/>
  <c r="F724" i="2"/>
  <c r="J724" i="2" s="1"/>
  <c r="F725" i="2"/>
  <c r="J725" i="2"/>
  <c r="F726" i="2"/>
  <c r="J726" i="2"/>
  <c r="F727" i="2"/>
  <c r="J727" i="2" s="1"/>
  <c r="F728" i="2"/>
  <c r="J728" i="2"/>
  <c r="F729" i="2"/>
  <c r="J729" i="2" s="1"/>
  <c r="F730" i="2"/>
  <c r="J730" i="2"/>
  <c r="F731" i="2"/>
  <c r="J731" i="2"/>
  <c r="F732" i="2"/>
  <c r="J732" i="2"/>
  <c r="F733" i="2"/>
  <c r="J733" i="2"/>
  <c r="F734" i="2"/>
  <c r="J734" i="2"/>
  <c r="F735" i="2"/>
  <c r="J735" i="2" s="1"/>
  <c r="F736" i="2"/>
  <c r="J736" i="2"/>
  <c r="E739" i="2"/>
  <c r="H739" i="2"/>
  <c r="I739" i="2"/>
  <c r="F739" i="2" l="1"/>
  <c r="J739" i="2"/>
  <c r="Y644" i="2"/>
  <c r="Y645" i="2" s="1"/>
  <c r="Y646" i="2" s="1"/>
  <c r="Y647" i="2" s="1"/>
  <c r="Y648" i="2" s="1"/>
  <c r="Z648" i="2"/>
  <c r="Z647" i="2"/>
  <c r="Z646" i="2"/>
  <c r="AB646" i="2" s="1"/>
  <c r="AF646" i="2" s="1"/>
  <c r="Z645" i="2"/>
  <c r="AB645" i="2" s="1"/>
  <c r="AF645" i="2" s="1"/>
  <c r="Z644" i="2"/>
  <c r="AB644" i="2" s="1"/>
  <c r="AF644" i="2" s="1"/>
  <c r="Z643" i="2"/>
  <c r="Z642" i="2"/>
  <c r="AB642" i="2" s="1"/>
  <c r="AF642" i="2" s="1"/>
  <c r="Z641" i="2"/>
  <c r="AB641" i="2"/>
  <c r="AF641" i="2" s="1"/>
  <c r="Z640" i="2"/>
  <c r="Z639" i="2"/>
  <c r="AB639" i="2" s="1"/>
  <c r="AF639" i="2" s="1"/>
  <c r="Y640" i="2"/>
  <c r="Y641" i="2" s="1"/>
  <c r="Y642" i="2" s="1"/>
  <c r="Y643" i="2" s="1"/>
  <c r="AB640" i="2"/>
  <c r="AF640" i="2" s="1"/>
  <c r="AB643" i="2"/>
  <c r="AF643" i="2" s="1"/>
  <c r="AD682" i="2"/>
  <c r="AB647" i="2"/>
  <c r="AF647" i="2" s="1"/>
  <c r="AB648" i="2"/>
  <c r="AF648" i="2" s="1"/>
  <c r="AB649" i="2"/>
  <c r="AF649" i="2"/>
  <c r="AB650" i="2"/>
  <c r="AF650" i="2"/>
  <c r="AB651" i="2"/>
  <c r="AF651" i="2"/>
  <c r="AB652" i="2"/>
  <c r="AF652" i="2"/>
  <c r="AB653" i="2"/>
  <c r="AF653" i="2" s="1"/>
  <c r="AB654" i="2"/>
  <c r="AF654" i="2" s="1"/>
  <c r="AB655" i="2"/>
  <c r="AF655" i="2" s="1"/>
  <c r="AB656" i="2"/>
  <c r="AF656" i="2" s="1"/>
  <c r="AB657" i="2"/>
  <c r="AF657" i="2"/>
  <c r="AB658" i="2"/>
  <c r="AF658" i="2"/>
  <c r="AB659" i="2"/>
  <c r="AF659" i="2"/>
  <c r="AB660" i="2"/>
  <c r="AF660" i="2"/>
  <c r="AB661" i="2"/>
  <c r="AF661" i="2" s="1"/>
  <c r="AB662" i="2"/>
  <c r="AF662" i="2" s="1"/>
  <c r="AB663" i="2"/>
  <c r="AF663" i="2" s="1"/>
  <c r="AB664" i="2"/>
  <c r="AF664" i="2" s="1"/>
  <c r="AB665" i="2"/>
  <c r="AF665" i="2"/>
  <c r="AB666" i="2"/>
  <c r="AF666" i="2"/>
  <c r="AB667" i="2"/>
  <c r="AF667" i="2"/>
  <c r="AB668" i="2"/>
  <c r="AF668" i="2"/>
  <c r="AB669" i="2"/>
  <c r="AF669" i="2" s="1"/>
  <c r="AB670" i="2"/>
  <c r="AF670" i="2" s="1"/>
  <c r="AB671" i="2"/>
  <c r="AF671" i="2" s="1"/>
  <c r="AB672" i="2"/>
  <c r="AF672" i="2" s="1"/>
  <c r="AB673" i="2"/>
  <c r="AF673" i="2"/>
  <c r="AB674" i="2"/>
  <c r="AF674" i="2"/>
  <c r="AB675" i="2"/>
  <c r="AF675" i="2"/>
  <c r="AB676" i="2"/>
  <c r="AF676" i="2"/>
  <c r="AB677" i="2"/>
  <c r="AF677" i="2" s="1"/>
  <c r="AF678" i="2"/>
  <c r="AB679" i="2"/>
  <c r="AF679" i="2"/>
  <c r="AF680" i="2"/>
  <c r="AA682" i="2"/>
  <c r="AE682" i="2"/>
  <c r="N641" i="2"/>
  <c r="N642" i="2" s="1"/>
  <c r="N643" i="2" s="1"/>
  <c r="N644" i="2" s="1"/>
  <c r="N645" i="2" s="1"/>
  <c r="O645" i="2"/>
  <c r="Q645" i="2" s="1"/>
  <c r="U645" i="2" s="1"/>
  <c r="O644" i="2"/>
  <c r="Q644" i="2" s="1"/>
  <c r="U644" i="2" s="1"/>
  <c r="O643" i="2"/>
  <c r="O642" i="2"/>
  <c r="O641" i="2"/>
  <c r="O640" i="2"/>
  <c r="O639" i="2"/>
  <c r="Q639" i="2"/>
  <c r="N640" i="2"/>
  <c r="Q640" i="2"/>
  <c r="U640" i="2" s="1"/>
  <c r="Q641" i="2"/>
  <c r="U641" i="2" s="1"/>
  <c r="Q642" i="2"/>
  <c r="U642" i="2" s="1"/>
  <c r="Q643" i="2"/>
  <c r="U643" i="2" s="1"/>
  <c r="S682" i="2"/>
  <c r="Q646" i="2"/>
  <c r="U646" i="2"/>
  <c r="Q647" i="2"/>
  <c r="U647" i="2"/>
  <c r="Q648" i="2"/>
  <c r="U648" i="2" s="1"/>
  <c r="Q649" i="2"/>
  <c r="U649" i="2"/>
  <c r="Q650" i="2"/>
  <c r="U650" i="2" s="1"/>
  <c r="Q651" i="2"/>
  <c r="U651" i="2" s="1"/>
  <c r="Q652" i="2"/>
  <c r="U652" i="2" s="1"/>
  <c r="Q653" i="2"/>
  <c r="U653" i="2" s="1"/>
  <c r="Q654" i="2"/>
  <c r="U654" i="2"/>
  <c r="Q655" i="2"/>
  <c r="U655" i="2" s="1"/>
  <c r="Q656" i="2"/>
  <c r="U656" i="2"/>
  <c r="Q657" i="2"/>
  <c r="U657" i="2"/>
  <c r="Q658" i="2"/>
  <c r="U658" i="2"/>
  <c r="Q659" i="2"/>
  <c r="U659" i="2" s="1"/>
  <c r="Q660" i="2"/>
  <c r="U660" i="2" s="1"/>
  <c r="Q661" i="2"/>
  <c r="U661" i="2" s="1"/>
  <c r="Q662" i="2"/>
  <c r="U662" i="2"/>
  <c r="Q663" i="2"/>
  <c r="U663" i="2" s="1"/>
  <c r="Q664" i="2"/>
  <c r="U664" i="2"/>
  <c r="Q665" i="2"/>
  <c r="U665" i="2"/>
  <c r="Q666" i="2"/>
  <c r="U666" i="2"/>
  <c r="Q667" i="2"/>
  <c r="U667" i="2" s="1"/>
  <c r="Q668" i="2"/>
  <c r="U668" i="2" s="1"/>
  <c r="Q669" i="2"/>
  <c r="U669" i="2" s="1"/>
  <c r="Q670" i="2"/>
  <c r="U670" i="2"/>
  <c r="Q671" i="2"/>
  <c r="U671" i="2" s="1"/>
  <c r="Q672" i="2"/>
  <c r="U672" i="2"/>
  <c r="Q673" i="2"/>
  <c r="U673" i="2"/>
  <c r="Q674" i="2"/>
  <c r="U674" i="2"/>
  <c r="Q675" i="2"/>
  <c r="U675" i="2" s="1"/>
  <c r="Q676" i="2"/>
  <c r="U676" i="2" s="1"/>
  <c r="Q677" i="2"/>
  <c r="U677" i="2" s="1"/>
  <c r="U678" i="2"/>
  <c r="Q679" i="2"/>
  <c r="U679" i="2" s="1"/>
  <c r="U680" i="2"/>
  <c r="P682" i="2"/>
  <c r="T682" i="2"/>
  <c r="C670" i="2"/>
  <c r="D670" i="2"/>
  <c r="F670" i="2" s="1"/>
  <c r="J670" i="2" s="1"/>
  <c r="D669" i="2"/>
  <c r="D668" i="2"/>
  <c r="F668" i="2" s="1"/>
  <c r="J668" i="2" s="1"/>
  <c r="D667" i="2"/>
  <c r="D666" i="2"/>
  <c r="F666" i="2" s="1"/>
  <c r="J666" i="2" s="1"/>
  <c r="D665" i="2"/>
  <c r="F665" i="2" s="1"/>
  <c r="J665" i="2" s="1"/>
  <c r="D664" i="2"/>
  <c r="D663" i="2"/>
  <c r="F663" i="2" s="1"/>
  <c r="J663" i="2" s="1"/>
  <c r="C655" i="2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D662" i="2"/>
  <c r="D661" i="2"/>
  <c r="D660" i="2"/>
  <c r="F660" i="2" s="1"/>
  <c r="J660" i="2" s="1"/>
  <c r="D659" i="2"/>
  <c r="F659" i="2" s="1"/>
  <c r="J659" i="2" s="1"/>
  <c r="D658" i="2"/>
  <c r="F658" i="2" s="1"/>
  <c r="J658" i="2" s="1"/>
  <c r="D657" i="2"/>
  <c r="F657" i="2" s="1"/>
  <c r="J657" i="2" s="1"/>
  <c r="D656" i="2"/>
  <c r="F656" i="2" s="1"/>
  <c r="J656" i="2" s="1"/>
  <c r="D655" i="2"/>
  <c r="F655" i="2" s="1"/>
  <c r="J655" i="2" s="1"/>
  <c r="D654" i="2"/>
  <c r="D653" i="2"/>
  <c r="D652" i="2"/>
  <c r="D651" i="2"/>
  <c r="D650" i="2"/>
  <c r="F650" i="2" s="1"/>
  <c r="J650" i="2" s="1"/>
  <c r="D649" i="2"/>
  <c r="F649" i="2" s="1"/>
  <c r="J649" i="2" s="1"/>
  <c r="D648" i="2"/>
  <c r="F648" i="2" s="1"/>
  <c r="J648" i="2" s="1"/>
  <c r="D647" i="2"/>
  <c r="F647" i="2" s="1"/>
  <c r="J647" i="2" s="1"/>
  <c r="D646" i="2"/>
  <c r="F646" i="2" s="1"/>
  <c r="J646" i="2" s="1"/>
  <c r="D645" i="2"/>
  <c r="F645" i="2" s="1"/>
  <c r="J645" i="2" s="1"/>
  <c r="D644" i="2"/>
  <c r="F644" i="2" s="1"/>
  <c r="J644" i="2" s="1"/>
  <c r="D643" i="2"/>
  <c r="F643" i="2" s="1"/>
  <c r="J643" i="2" s="1"/>
  <c r="D642" i="2"/>
  <c r="D641" i="2"/>
  <c r="C641" i="2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D640" i="2"/>
  <c r="D639" i="2"/>
  <c r="F639" i="2"/>
  <c r="J639" i="2" s="1"/>
  <c r="C640" i="2"/>
  <c r="F640" i="2"/>
  <c r="J640" i="2" s="1"/>
  <c r="F641" i="2"/>
  <c r="J641" i="2" s="1"/>
  <c r="I682" i="2"/>
  <c r="F642" i="2"/>
  <c r="J642" i="2" s="1"/>
  <c r="F651" i="2"/>
  <c r="J651" i="2" s="1"/>
  <c r="F652" i="2"/>
  <c r="J652" i="2" s="1"/>
  <c r="F653" i="2"/>
  <c r="J653" i="2" s="1"/>
  <c r="F654" i="2"/>
  <c r="J654" i="2" s="1"/>
  <c r="F661" i="2"/>
  <c r="J661" i="2" s="1"/>
  <c r="F662" i="2"/>
  <c r="J662" i="2" s="1"/>
  <c r="F664" i="2"/>
  <c r="J664" i="2" s="1"/>
  <c r="F667" i="2"/>
  <c r="J667" i="2"/>
  <c r="F669" i="2"/>
  <c r="J669" i="2"/>
  <c r="F671" i="2"/>
  <c r="J671" i="2"/>
  <c r="F672" i="2"/>
  <c r="J672" i="2" s="1"/>
  <c r="F673" i="2"/>
  <c r="J673" i="2"/>
  <c r="F674" i="2"/>
  <c r="J674" i="2" s="1"/>
  <c r="F675" i="2"/>
  <c r="J675" i="2"/>
  <c r="F676" i="2"/>
  <c r="J676" i="2" s="1"/>
  <c r="F677" i="2"/>
  <c r="J677" i="2"/>
  <c r="F678" i="2"/>
  <c r="J678" i="2"/>
  <c r="F679" i="2"/>
  <c r="J679" i="2"/>
  <c r="E682" i="2"/>
  <c r="H682" i="2"/>
  <c r="Z682" i="2" l="1"/>
  <c r="AB682" i="2"/>
  <c r="AF682" i="2"/>
  <c r="O682" i="2"/>
  <c r="Q682" i="2"/>
  <c r="U639" i="2"/>
  <c r="U682" i="2" s="1"/>
  <c r="D682" i="2"/>
  <c r="J682" i="2"/>
  <c r="F682" i="2"/>
  <c r="AD586" i="2"/>
  <c r="Z586" i="2"/>
  <c r="AB586" i="2"/>
  <c r="AF586" i="2" s="1"/>
  <c r="Z585" i="2"/>
  <c r="Z584" i="2"/>
  <c r="Z625" i="2" s="1"/>
  <c r="Z583" i="2"/>
  <c r="Z582" i="2"/>
  <c r="AB582" i="2"/>
  <c r="AF582" i="2" s="1"/>
  <c r="Y583" i="2"/>
  <c r="AB583" i="2"/>
  <c r="AF583" i="2" s="1"/>
  <c r="Y584" i="2"/>
  <c r="Y585" i="2" s="1"/>
  <c r="Y586" i="2" s="1"/>
  <c r="AB584" i="2"/>
  <c r="AF584" i="2" s="1"/>
  <c r="AB585" i="2"/>
  <c r="AF585" i="2" s="1"/>
  <c r="AD625" i="2"/>
  <c r="AB587" i="2"/>
  <c r="AF587" i="2" s="1"/>
  <c r="AB588" i="2"/>
  <c r="AF588" i="2"/>
  <c r="AB589" i="2"/>
  <c r="AF589" i="2" s="1"/>
  <c r="AB590" i="2"/>
  <c r="AF590" i="2"/>
  <c r="AB591" i="2"/>
  <c r="AF591" i="2"/>
  <c r="AB592" i="2"/>
  <c r="AF592" i="2"/>
  <c r="AB593" i="2"/>
  <c r="AF593" i="2"/>
  <c r="AB594" i="2"/>
  <c r="AF594" i="2"/>
  <c r="AB595" i="2"/>
  <c r="AF595" i="2"/>
  <c r="AB596" i="2"/>
  <c r="AF596" i="2"/>
  <c r="AB597" i="2"/>
  <c r="AF597" i="2" s="1"/>
  <c r="AB598" i="2"/>
  <c r="AF598" i="2"/>
  <c r="AB599" i="2"/>
  <c r="AF599" i="2"/>
  <c r="AB600" i="2"/>
  <c r="AF600" i="2"/>
  <c r="AB601" i="2"/>
  <c r="AF601" i="2"/>
  <c r="AB602" i="2"/>
  <c r="AF602" i="2"/>
  <c r="AB603" i="2"/>
  <c r="AF603" i="2"/>
  <c r="AB604" i="2"/>
  <c r="AF604" i="2"/>
  <c r="AB605" i="2"/>
  <c r="AF605" i="2" s="1"/>
  <c r="AB606" i="2"/>
  <c r="AF606" i="2"/>
  <c r="AB607" i="2"/>
  <c r="AF607" i="2"/>
  <c r="AB608" i="2"/>
  <c r="AF608" i="2"/>
  <c r="AB609" i="2"/>
  <c r="AF609" i="2"/>
  <c r="AB610" i="2"/>
  <c r="AF610" i="2"/>
  <c r="AB611" i="2"/>
  <c r="AF611" i="2"/>
  <c r="AB612" i="2"/>
  <c r="AF612" i="2"/>
  <c r="AB613" i="2"/>
  <c r="AF613" i="2" s="1"/>
  <c r="AB614" i="2"/>
  <c r="AF614" i="2"/>
  <c r="AB615" i="2"/>
  <c r="AF615" i="2"/>
  <c r="AB616" i="2"/>
  <c r="AF616" i="2"/>
  <c r="AB617" i="2"/>
  <c r="AF617" i="2"/>
  <c r="AB618" i="2"/>
  <c r="AF618" i="2"/>
  <c r="AB619" i="2"/>
  <c r="AF619" i="2"/>
  <c r="AB620" i="2"/>
  <c r="AF620" i="2"/>
  <c r="AF621" i="2"/>
  <c r="AB622" i="2"/>
  <c r="AF622" i="2"/>
  <c r="AF623" i="2"/>
  <c r="AA625" i="2"/>
  <c r="AE625" i="2"/>
  <c r="O595" i="2"/>
  <c r="Q595" i="2" s="1"/>
  <c r="U595" i="2" s="1"/>
  <c r="O594" i="2"/>
  <c r="O593" i="2"/>
  <c r="O592" i="2"/>
  <c r="O591" i="2"/>
  <c r="O590" i="2"/>
  <c r="Q590" i="2" s="1"/>
  <c r="U590" i="2" s="1"/>
  <c r="O589" i="2"/>
  <c r="S588" i="2"/>
  <c r="S625" i="2" s="1"/>
  <c r="O588" i="2"/>
  <c r="Q588" i="2" s="1"/>
  <c r="U588" i="2" s="1"/>
  <c r="O587" i="2"/>
  <c r="Q587" i="2" s="1"/>
  <c r="U587" i="2" s="1"/>
  <c r="O586" i="2"/>
  <c r="O585" i="2"/>
  <c r="O584" i="2"/>
  <c r="O583" i="2"/>
  <c r="O582" i="2"/>
  <c r="Q582" i="2" s="1"/>
  <c r="U582" i="2" s="1"/>
  <c r="N583" i="2"/>
  <c r="N584" i="2" s="1"/>
  <c r="N585" i="2" s="1"/>
  <c r="N586" i="2" s="1"/>
  <c r="N587" i="2" s="1"/>
  <c r="N588" i="2" s="1"/>
  <c r="N589" i="2" s="1"/>
  <c r="N590" i="2" s="1"/>
  <c r="N591" i="2" s="1"/>
  <c r="N592" i="2" s="1"/>
  <c r="N593" i="2" s="1"/>
  <c r="N594" i="2" s="1"/>
  <c r="N595" i="2" s="1"/>
  <c r="Q583" i="2"/>
  <c r="U583" i="2" s="1"/>
  <c r="Q584" i="2"/>
  <c r="U584" i="2" s="1"/>
  <c r="Q585" i="2"/>
  <c r="U585" i="2" s="1"/>
  <c r="Q586" i="2"/>
  <c r="U586" i="2" s="1"/>
  <c r="Q591" i="2"/>
  <c r="U591" i="2" s="1"/>
  <c r="Q592" i="2"/>
  <c r="U592" i="2" s="1"/>
  <c r="Q593" i="2"/>
  <c r="U593" i="2" s="1"/>
  <c r="Q594" i="2"/>
  <c r="U594" i="2" s="1"/>
  <c r="Q596" i="2"/>
  <c r="U596" i="2" s="1"/>
  <c r="Q597" i="2"/>
  <c r="U597" i="2" s="1"/>
  <c r="Q598" i="2"/>
  <c r="U598" i="2" s="1"/>
  <c r="Q599" i="2"/>
  <c r="U599" i="2"/>
  <c r="Q600" i="2"/>
  <c r="U600" i="2" s="1"/>
  <c r="Q601" i="2"/>
  <c r="U601" i="2" s="1"/>
  <c r="Q602" i="2"/>
  <c r="U602" i="2" s="1"/>
  <c r="Q603" i="2"/>
  <c r="U603" i="2"/>
  <c r="Q604" i="2"/>
  <c r="U604" i="2" s="1"/>
  <c r="Q605" i="2"/>
  <c r="U605" i="2" s="1"/>
  <c r="Q606" i="2"/>
  <c r="U606" i="2"/>
  <c r="Q607" i="2"/>
  <c r="U607" i="2" s="1"/>
  <c r="Q608" i="2"/>
  <c r="U608" i="2"/>
  <c r="Q609" i="2"/>
  <c r="U609" i="2"/>
  <c r="Q610" i="2"/>
  <c r="U610" i="2"/>
  <c r="Q611" i="2"/>
  <c r="U611" i="2" s="1"/>
  <c r="Q612" i="2"/>
  <c r="U612" i="2" s="1"/>
  <c r="Q613" i="2"/>
  <c r="U613" i="2" s="1"/>
  <c r="Q614" i="2"/>
  <c r="U614" i="2"/>
  <c r="Q615" i="2"/>
  <c r="U615" i="2" s="1"/>
  <c r="Q616" i="2"/>
  <c r="U616" i="2"/>
  <c r="Q617" i="2"/>
  <c r="U617" i="2"/>
  <c r="Q618" i="2"/>
  <c r="U618" i="2"/>
  <c r="Q619" i="2"/>
  <c r="U619" i="2" s="1"/>
  <c r="Q620" i="2"/>
  <c r="U620" i="2" s="1"/>
  <c r="U621" i="2"/>
  <c r="Q622" i="2"/>
  <c r="U622" i="2"/>
  <c r="U623" i="2"/>
  <c r="P625" i="2"/>
  <c r="T625" i="2"/>
  <c r="D605" i="2"/>
  <c r="F605" i="2" s="1"/>
  <c r="J605" i="2" s="1"/>
  <c r="D604" i="2"/>
  <c r="F604" i="2" s="1"/>
  <c r="J604" i="2" s="1"/>
  <c r="D603" i="2"/>
  <c r="F603" i="2" s="1"/>
  <c r="J603" i="2" s="1"/>
  <c r="D602" i="2"/>
  <c r="D601" i="2"/>
  <c r="F601" i="2" s="1"/>
  <c r="J601" i="2" s="1"/>
  <c r="D600" i="2"/>
  <c r="F600" i="2" s="1"/>
  <c r="J600" i="2" s="1"/>
  <c r="D599" i="2"/>
  <c r="F599" i="2" s="1"/>
  <c r="J599" i="2" s="1"/>
  <c r="D598" i="2"/>
  <c r="F598" i="2" s="1"/>
  <c r="J598" i="2" s="1"/>
  <c r="D597" i="2"/>
  <c r="F597" i="2" s="1"/>
  <c r="J597" i="2" s="1"/>
  <c r="D596" i="2"/>
  <c r="F596" i="2" s="1"/>
  <c r="J596" i="2" s="1"/>
  <c r="D595" i="2"/>
  <c r="F595" i="2" s="1"/>
  <c r="J595" i="2" s="1"/>
  <c r="D594" i="2"/>
  <c r="D593" i="2"/>
  <c r="D592" i="2"/>
  <c r="D591" i="2"/>
  <c r="F591" i="2" s="1"/>
  <c r="J591" i="2" s="1"/>
  <c r="D590" i="2"/>
  <c r="F590" i="2" s="1"/>
  <c r="J590" i="2" s="1"/>
  <c r="D589" i="2"/>
  <c r="F589" i="2" s="1"/>
  <c r="J589" i="2" s="1"/>
  <c r="D588" i="2"/>
  <c r="F588" i="2" s="1"/>
  <c r="J588" i="2" s="1"/>
  <c r="D587" i="2"/>
  <c r="F587" i="2" s="1"/>
  <c r="J587" i="2" s="1"/>
  <c r="D586" i="2"/>
  <c r="F586" i="2" s="1"/>
  <c r="J586" i="2" s="1"/>
  <c r="D585" i="2"/>
  <c r="I584" i="2"/>
  <c r="I625" i="2" s="1"/>
  <c r="D584" i="2"/>
  <c r="D583" i="2"/>
  <c r="D582" i="2"/>
  <c r="F582" i="2"/>
  <c r="J582" i="2"/>
  <c r="C583" i="2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F583" i="2"/>
  <c r="J583" i="2" s="1"/>
  <c r="F584" i="2"/>
  <c r="F592" i="2"/>
  <c r="J592" i="2"/>
  <c r="F593" i="2"/>
  <c r="J593" i="2" s="1"/>
  <c r="F594" i="2"/>
  <c r="J594" i="2" s="1"/>
  <c r="F602" i="2"/>
  <c r="J602" i="2"/>
  <c r="F606" i="2"/>
  <c r="J606" i="2" s="1"/>
  <c r="F607" i="2"/>
  <c r="J607" i="2" s="1"/>
  <c r="F608" i="2"/>
  <c r="J608" i="2"/>
  <c r="F609" i="2"/>
  <c r="J609" i="2" s="1"/>
  <c r="F610" i="2"/>
  <c r="J610" i="2"/>
  <c r="F611" i="2"/>
  <c r="J611" i="2"/>
  <c r="F612" i="2"/>
  <c r="J612" i="2"/>
  <c r="F613" i="2"/>
  <c r="J613" i="2"/>
  <c r="F614" i="2"/>
  <c r="J614" i="2"/>
  <c r="F615" i="2"/>
  <c r="J615" i="2"/>
  <c r="F616" i="2"/>
  <c r="J616" i="2"/>
  <c r="F617" i="2"/>
  <c r="J617" i="2" s="1"/>
  <c r="F618" i="2"/>
  <c r="J618" i="2"/>
  <c r="F619" i="2"/>
  <c r="J619" i="2"/>
  <c r="F620" i="2"/>
  <c r="J620" i="2" s="1"/>
  <c r="F621" i="2"/>
  <c r="J621" i="2"/>
  <c r="F622" i="2"/>
  <c r="J622" i="2"/>
  <c r="E625" i="2"/>
  <c r="H625" i="2"/>
  <c r="AF625" i="2" l="1"/>
  <c r="AB625" i="2"/>
  <c r="O625" i="2"/>
  <c r="Q589" i="2"/>
  <c r="U589" i="2" s="1"/>
  <c r="U625" i="2"/>
  <c r="Q625" i="2"/>
  <c r="J584" i="2"/>
  <c r="D625" i="2"/>
  <c r="F585" i="2"/>
  <c r="Z532" i="2"/>
  <c r="Y527" i="2"/>
  <c r="Y528" i="2" s="1"/>
  <c r="Y529" i="2" s="1"/>
  <c r="Y530" i="2" s="1"/>
  <c r="Y531" i="2" s="1"/>
  <c r="Y532" i="2" s="1"/>
  <c r="Z531" i="2"/>
  <c r="Z530" i="2"/>
  <c r="AB530" i="2" s="1"/>
  <c r="AF530" i="2" s="1"/>
  <c r="Z529" i="2"/>
  <c r="AB529" i="2" s="1"/>
  <c r="AF529" i="2" s="1"/>
  <c r="AD528" i="2"/>
  <c r="Z528" i="2"/>
  <c r="Z527" i="2"/>
  <c r="AB527" i="2" s="1"/>
  <c r="AF527" i="2" s="1"/>
  <c r="Z526" i="2"/>
  <c r="Z525" i="2"/>
  <c r="AB525" i="2"/>
  <c r="Y526" i="2"/>
  <c r="AB526" i="2"/>
  <c r="AF526" i="2" s="1"/>
  <c r="AD568" i="2"/>
  <c r="AB528" i="2"/>
  <c r="AF528" i="2" s="1"/>
  <c r="AB531" i="2"/>
  <c r="AF531" i="2" s="1"/>
  <c r="AB532" i="2"/>
  <c r="AF532" i="2" s="1"/>
  <c r="AB533" i="2"/>
  <c r="AF533" i="2"/>
  <c r="AB534" i="2"/>
  <c r="AF534" i="2" s="1"/>
  <c r="AB535" i="2"/>
  <c r="AF535" i="2" s="1"/>
  <c r="AB536" i="2"/>
  <c r="AF536" i="2"/>
  <c r="AB537" i="2"/>
  <c r="AF537" i="2" s="1"/>
  <c r="AB538" i="2"/>
  <c r="AF538" i="2"/>
  <c r="AB539" i="2"/>
  <c r="AF539" i="2" s="1"/>
  <c r="AB540" i="2"/>
  <c r="AF540" i="2"/>
  <c r="AB541" i="2"/>
  <c r="AF541" i="2" s="1"/>
  <c r="AB542" i="2"/>
  <c r="AF542" i="2" s="1"/>
  <c r="AB543" i="2"/>
  <c r="AF543" i="2" s="1"/>
  <c r="AB544" i="2"/>
  <c r="AF544" i="2"/>
  <c r="AB545" i="2"/>
  <c r="AF545" i="2" s="1"/>
  <c r="AB546" i="2"/>
  <c r="AF546" i="2"/>
  <c r="AB547" i="2"/>
  <c r="AF547" i="2" s="1"/>
  <c r="AB548" i="2"/>
  <c r="AF548" i="2"/>
  <c r="AB549" i="2"/>
  <c r="AF549" i="2" s="1"/>
  <c r="AB550" i="2"/>
  <c r="AF550" i="2" s="1"/>
  <c r="AB551" i="2"/>
  <c r="AF551" i="2" s="1"/>
  <c r="AB552" i="2"/>
  <c r="AF552" i="2"/>
  <c r="AB553" i="2"/>
  <c r="AF553" i="2" s="1"/>
  <c r="AB554" i="2"/>
  <c r="AF554" i="2"/>
  <c r="AB555" i="2"/>
  <c r="AF555" i="2" s="1"/>
  <c r="AB556" i="2"/>
  <c r="AF556" i="2"/>
  <c r="AB557" i="2"/>
  <c r="AF557" i="2" s="1"/>
  <c r="AB558" i="2"/>
  <c r="AF558" i="2" s="1"/>
  <c r="AB559" i="2"/>
  <c r="AF559" i="2" s="1"/>
  <c r="AB560" i="2"/>
  <c r="AF560" i="2"/>
  <c r="AB561" i="2"/>
  <c r="AF561" i="2" s="1"/>
  <c r="AB562" i="2"/>
  <c r="AF562" i="2"/>
  <c r="AB563" i="2"/>
  <c r="AF563" i="2" s="1"/>
  <c r="AF564" i="2"/>
  <c r="AB565" i="2"/>
  <c r="AF565" i="2"/>
  <c r="AF566" i="2"/>
  <c r="AA568" i="2"/>
  <c r="AE568" i="2"/>
  <c r="N541" i="2"/>
  <c r="N542" i="2" s="1"/>
  <c r="N543" i="2" s="1"/>
  <c r="N544" i="2" s="1"/>
  <c r="N545" i="2" s="1"/>
  <c r="N546" i="2" s="1"/>
  <c r="N547" i="2" s="1"/>
  <c r="N548" i="2" s="1"/>
  <c r="O548" i="2"/>
  <c r="Q548" i="2" s="1"/>
  <c r="U548" i="2" s="1"/>
  <c r="O547" i="2"/>
  <c r="Q547" i="2" s="1"/>
  <c r="U547" i="2" s="1"/>
  <c r="O546" i="2"/>
  <c r="O545" i="2"/>
  <c r="O544" i="2"/>
  <c r="O543" i="2"/>
  <c r="Q543" i="2" s="1"/>
  <c r="U543" i="2" s="1"/>
  <c r="O542" i="2"/>
  <c r="O541" i="2"/>
  <c r="Q541" i="2" s="1"/>
  <c r="U541" i="2" s="1"/>
  <c r="O540" i="2"/>
  <c r="O539" i="2"/>
  <c r="Q539" i="2" s="1"/>
  <c r="U539" i="2" s="1"/>
  <c r="O538" i="2"/>
  <c r="Q538" i="2" s="1"/>
  <c r="U538" i="2" s="1"/>
  <c r="O537" i="2"/>
  <c r="Q537" i="2" s="1"/>
  <c r="U537" i="2" s="1"/>
  <c r="O536" i="2"/>
  <c r="O535" i="2"/>
  <c r="Q535" i="2" s="1"/>
  <c r="U535" i="2" s="1"/>
  <c r="O534" i="2"/>
  <c r="O533" i="2"/>
  <c r="O532" i="2"/>
  <c r="O531" i="2"/>
  <c r="Q531" i="2" s="1"/>
  <c r="U531" i="2" s="1"/>
  <c r="O530" i="2"/>
  <c r="Q530" i="2"/>
  <c r="U530" i="2" s="1"/>
  <c r="O529" i="2"/>
  <c r="O528" i="2"/>
  <c r="Q528" i="2" s="1"/>
  <c r="U528" i="2" s="1"/>
  <c r="O527" i="2"/>
  <c r="O526" i="2"/>
  <c r="O525" i="2"/>
  <c r="N526" i="2"/>
  <c r="N527" i="2" s="1"/>
  <c r="N528" i="2" s="1"/>
  <c r="N529" i="2" s="1"/>
  <c r="N530" i="2" s="1"/>
  <c r="N531" i="2" s="1"/>
  <c r="N532" i="2" s="1"/>
  <c r="N533" i="2" s="1"/>
  <c r="N534" i="2" s="1"/>
  <c r="N535" i="2" s="1"/>
  <c r="N536" i="2" s="1"/>
  <c r="N537" i="2" s="1"/>
  <c r="N538" i="2" s="1"/>
  <c r="N539" i="2" s="1"/>
  <c r="N540" i="2" s="1"/>
  <c r="Q526" i="2"/>
  <c r="U526" i="2"/>
  <c r="Q527" i="2"/>
  <c r="U527" i="2" s="1"/>
  <c r="Q529" i="2"/>
  <c r="U529" i="2" s="1"/>
  <c r="Q532" i="2"/>
  <c r="U532" i="2" s="1"/>
  <c r="Q533" i="2"/>
  <c r="U533" i="2" s="1"/>
  <c r="Q534" i="2"/>
  <c r="U534" i="2" s="1"/>
  <c r="Q536" i="2"/>
  <c r="U536" i="2" s="1"/>
  <c r="Q540" i="2"/>
  <c r="U540" i="2" s="1"/>
  <c r="Q542" i="2"/>
  <c r="U542" i="2" s="1"/>
  <c r="Q544" i="2"/>
  <c r="U544" i="2" s="1"/>
  <c r="Q545" i="2"/>
  <c r="U545" i="2" s="1"/>
  <c r="Q546" i="2"/>
  <c r="U546" i="2" s="1"/>
  <c r="Q549" i="2"/>
  <c r="U549" i="2"/>
  <c r="Q550" i="2"/>
  <c r="U550" i="2" s="1"/>
  <c r="Q551" i="2"/>
  <c r="U551" i="2"/>
  <c r="Q552" i="2"/>
  <c r="U552" i="2"/>
  <c r="Q553" i="2"/>
  <c r="U553" i="2"/>
  <c r="Q554" i="2"/>
  <c r="U554" i="2" s="1"/>
  <c r="Q555" i="2"/>
  <c r="U555" i="2"/>
  <c r="Q556" i="2"/>
  <c r="U556" i="2" s="1"/>
  <c r="Q557" i="2"/>
  <c r="U557" i="2"/>
  <c r="Q558" i="2"/>
  <c r="U558" i="2" s="1"/>
  <c r="Q559" i="2"/>
  <c r="U559" i="2"/>
  <c r="Q560" i="2"/>
  <c r="U560" i="2"/>
  <c r="Q561" i="2"/>
  <c r="U561" i="2"/>
  <c r="Q562" i="2"/>
  <c r="U562" i="2" s="1"/>
  <c r="Q563" i="2"/>
  <c r="U563" i="2"/>
  <c r="U564" i="2"/>
  <c r="Q565" i="2"/>
  <c r="U565" i="2"/>
  <c r="U566" i="2"/>
  <c r="P568" i="2"/>
  <c r="S568" i="2"/>
  <c r="T568" i="2"/>
  <c r="J24" i="1"/>
  <c r="D24" i="1" s="1"/>
  <c r="J25" i="1"/>
  <c r="D25" i="1" s="1"/>
  <c r="D26" i="1"/>
  <c r="I543" i="2"/>
  <c r="I568" i="2" s="1"/>
  <c r="H543" i="2"/>
  <c r="H568" i="2" s="1"/>
  <c r="D543" i="2"/>
  <c r="D542" i="2"/>
  <c r="D541" i="2"/>
  <c r="F541" i="2" s="1"/>
  <c r="J541" i="2" s="1"/>
  <c r="D540" i="2"/>
  <c r="D539" i="2"/>
  <c r="D538" i="2"/>
  <c r="F538" i="2" s="1"/>
  <c r="J538" i="2" s="1"/>
  <c r="D537" i="2"/>
  <c r="F537" i="2" s="1"/>
  <c r="J537" i="2" s="1"/>
  <c r="D536" i="2"/>
  <c r="F536" i="2" s="1"/>
  <c r="J536" i="2" s="1"/>
  <c r="D535" i="2"/>
  <c r="D534" i="2"/>
  <c r="D533" i="2"/>
  <c r="D532" i="2"/>
  <c r="D531" i="2"/>
  <c r="D530" i="2"/>
  <c r="D529" i="2"/>
  <c r="D528" i="2"/>
  <c r="D527" i="2"/>
  <c r="D526" i="2"/>
  <c r="D525" i="2"/>
  <c r="C527" i="2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26" i="2"/>
  <c r="F525" i="2"/>
  <c r="J525" i="2"/>
  <c r="F526" i="2"/>
  <c r="J526" i="2"/>
  <c r="F527" i="2"/>
  <c r="J527" i="2" s="1"/>
  <c r="F528" i="2"/>
  <c r="J528" i="2" s="1"/>
  <c r="F529" i="2"/>
  <c r="J529" i="2" s="1"/>
  <c r="F530" i="2"/>
  <c r="J530" i="2" s="1"/>
  <c r="F531" i="2"/>
  <c r="J531" i="2" s="1"/>
  <c r="F532" i="2"/>
  <c r="J532" i="2" s="1"/>
  <c r="F534" i="2"/>
  <c r="J534" i="2" s="1"/>
  <c r="F535" i="2"/>
  <c r="J535" i="2" s="1"/>
  <c r="F539" i="2"/>
  <c r="J539" i="2"/>
  <c r="F540" i="2"/>
  <c r="J540" i="2" s="1"/>
  <c r="F542" i="2"/>
  <c r="J542" i="2" s="1"/>
  <c r="F543" i="2"/>
  <c r="F544" i="2"/>
  <c r="J544" i="2" s="1"/>
  <c r="F545" i="2"/>
  <c r="J545" i="2" s="1"/>
  <c r="F546" i="2"/>
  <c r="J546" i="2"/>
  <c r="F547" i="2"/>
  <c r="J547" i="2"/>
  <c r="F548" i="2"/>
  <c r="J548" i="2"/>
  <c r="F549" i="2"/>
  <c r="J549" i="2" s="1"/>
  <c r="F550" i="2"/>
  <c r="J550" i="2"/>
  <c r="F551" i="2"/>
  <c r="J551" i="2" s="1"/>
  <c r="F552" i="2"/>
  <c r="J552" i="2"/>
  <c r="F553" i="2"/>
  <c r="J553" i="2"/>
  <c r="F554" i="2"/>
  <c r="J554" i="2" s="1"/>
  <c r="F555" i="2"/>
  <c r="J555" i="2"/>
  <c r="F556" i="2"/>
  <c r="J556" i="2"/>
  <c r="F557" i="2"/>
  <c r="J557" i="2" s="1"/>
  <c r="F558" i="2"/>
  <c r="J558" i="2" s="1"/>
  <c r="F559" i="2"/>
  <c r="J559" i="2" s="1"/>
  <c r="F560" i="2"/>
  <c r="J560" i="2"/>
  <c r="F561" i="2"/>
  <c r="J561" i="2" s="1"/>
  <c r="F562" i="2"/>
  <c r="J562" i="2"/>
  <c r="F563" i="2"/>
  <c r="J563" i="2"/>
  <c r="F564" i="2"/>
  <c r="J564" i="2"/>
  <c r="F565" i="2"/>
  <c r="J565" i="2" s="1"/>
  <c r="E568" i="2"/>
  <c r="J585" i="2" l="1"/>
  <c r="J625" i="2" s="1"/>
  <c r="F625" i="2"/>
  <c r="AF525" i="2"/>
  <c r="AF568" i="2" s="1"/>
  <c r="AB568" i="2"/>
  <c r="Z568" i="2"/>
  <c r="O568" i="2"/>
  <c r="Q525" i="2"/>
  <c r="U525" i="2" s="1"/>
  <c r="U568" i="2" s="1"/>
  <c r="J543" i="2"/>
  <c r="D568" i="2"/>
  <c r="F533" i="2"/>
  <c r="J533" i="2" s="1"/>
  <c r="Y471" i="2"/>
  <c r="Y472" i="2" s="1"/>
  <c r="Y473" i="2" s="1"/>
  <c r="Y474" i="2" s="1"/>
  <c r="Y475" i="2" s="1"/>
  <c r="Y476" i="2" s="1"/>
  <c r="Y477" i="2" s="1"/>
  <c r="Z477" i="2"/>
  <c r="Z476" i="2"/>
  <c r="AE475" i="2"/>
  <c r="Z475" i="2"/>
  <c r="Z474" i="2"/>
  <c r="Z473" i="2"/>
  <c r="Z472" i="2"/>
  <c r="Z471" i="2"/>
  <c r="Z470" i="2"/>
  <c r="AD469" i="2"/>
  <c r="Z469" i="2"/>
  <c r="Z468" i="2"/>
  <c r="O483" i="2"/>
  <c r="O482" i="2"/>
  <c r="O481" i="2"/>
  <c r="O480" i="2"/>
  <c r="O479" i="2"/>
  <c r="O478" i="2"/>
  <c r="O477" i="2"/>
  <c r="O476" i="2"/>
  <c r="O475" i="2"/>
  <c r="O474" i="2"/>
  <c r="N474" i="2"/>
  <c r="N475" i="2" s="1"/>
  <c r="N476" i="2" s="1"/>
  <c r="N477" i="2" s="1"/>
  <c r="N478" i="2" s="1"/>
  <c r="N479" i="2" s="1"/>
  <c r="N480" i="2" s="1"/>
  <c r="N481" i="2" s="1"/>
  <c r="N482" i="2" s="1"/>
  <c r="N483" i="2" s="1"/>
  <c r="N470" i="2"/>
  <c r="N471" i="2" s="1"/>
  <c r="N472" i="2" s="1"/>
  <c r="N473" i="2" s="1"/>
  <c r="O473" i="2"/>
  <c r="O472" i="2"/>
  <c r="O471" i="2"/>
  <c r="O470" i="2"/>
  <c r="O469" i="2"/>
  <c r="O468" i="2"/>
  <c r="D504" i="2"/>
  <c r="D503" i="2"/>
  <c r="J502" i="2"/>
  <c r="J505" i="2"/>
  <c r="J506" i="2"/>
  <c r="J507" i="2"/>
  <c r="F502" i="2"/>
  <c r="F503" i="2"/>
  <c r="J503" i="2" s="1"/>
  <c r="F504" i="2"/>
  <c r="J504" i="2" s="1"/>
  <c r="F505" i="2"/>
  <c r="F506" i="2"/>
  <c r="F507" i="2"/>
  <c r="H502" i="2"/>
  <c r="D502" i="2"/>
  <c r="D501" i="2"/>
  <c r="D500" i="2"/>
  <c r="D499" i="2"/>
  <c r="D498" i="2"/>
  <c r="D497" i="2"/>
  <c r="D496" i="2"/>
  <c r="D495" i="2"/>
  <c r="I494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C470" i="2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D472" i="2"/>
  <c r="D471" i="2"/>
  <c r="D470" i="2"/>
  <c r="D469" i="2"/>
  <c r="D468" i="2"/>
  <c r="Q568" i="2" l="1"/>
  <c r="J568" i="2"/>
  <c r="F568" i="2"/>
  <c r="Z511" i="2"/>
  <c r="AB468" i="2"/>
  <c r="AF468" i="2" s="1"/>
  <c r="Y469" i="2"/>
  <c r="AB469" i="2"/>
  <c r="AF469" i="2"/>
  <c r="AB470" i="2"/>
  <c r="AF470" i="2" s="1"/>
  <c r="AB471" i="2"/>
  <c r="AF471" i="2" s="1"/>
  <c r="AB472" i="2"/>
  <c r="AF472" i="2" s="1"/>
  <c r="AB473" i="2"/>
  <c r="AF473" i="2"/>
  <c r="AB474" i="2"/>
  <c r="AF474" i="2" s="1"/>
  <c r="AB475" i="2"/>
  <c r="AF475" i="2" s="1"/>
  <c r="AB476" i="2"/>
  <c r="AF476" i="2" s="1"/>
  <c r="AB477" i="2"/>
  <c r="AF477" i="2" s="1"/>
  <c r="AB478" i="2"/>
  <c r="AF478" i="2" s="1"/>
  <c r="AB479" i="2"/>
  <c r="AF479" i="2" s="1"/>
  <c r="AB480" i="2"/>
  <c r="AF480" i="2" s="1"/>
  <c r="AB481" i="2"/>
  <c r="AF481" i="2" s="1"/>
  <c r="AB482" i="2"/>
  <c r="AF482" i="2" s="1"/>
  <c r="AB483" i="2"/>
  <c r="AF483" i="2" s="1"/>
  <c r="AB484" i="2"/>
  <c r="AF484" i="2"/>
  <c r="AB485" i="2"/>
  <c r="AF485" i="2"/>
  <c r="AB486" i="2"/>
  <c r="AF486" i="2" s="1"/>
  <c r="AB487" i="2"/>
  <c r="AF487" i="2" s="1"/>
  <c r="AB488" i="2"/>
  <c r="AF488" i="2" s="1"/>
  <c r="AB489" i="2"/>
  <c r="AF489" i="2" s="1"/>
  <c r="AB490" i="2"/>
  <c r="AF490" i="2" s="1"/>
  <c r="AB491" i="2"/>
  <c r="AF491" i="2" s="1"/>
  <c r="AB492" i="2"/>
  <c r="AF492" i="2"/>
  <c r="AB493" i="2"/>
  <c r="AF493" i="2" s="1"/>
  <c r="AB494" i="2"/>
  <c r="AF494" i="2" s="1"/>
  <c r="AB495" i="2"/>
  <c r="AF495" i="2"/>
  <c r="AB496" i="2"/>
  <c r="AF496" i="2" s="1"/>
  <c r="AB497" i="2"/>
  <c r="AF497" i="2"/>
  <c r="AB498" i="2"/>
  <c r="AF498" i="2"/>
  <c r="AB499" i="2"/>
  <c r="AF499" i="2"/>
  <c r="AB500" i="2"/>
  <c r="AF500" i="2"/>
  <c r="AB501" i="2"/>
  <c r="AF501" i="2"/>
  <c r="AB502" i="2"/>
  <c r="AF502" i="2"/>
  <c r="AB503" i="2"/>
  <c r="AF503" i="2"/>
  <c r="AB504" i="2"/>
  <c r="AF504" i="2" s="1"/>
  <c r="AB505" i="2"/>
  <c r="AF505" i="2"/>
  <c r="AB506" i="2"/>
  <c r="AF506" i="2"/>
  <c r="AF507" i="2"/>
  <c r="AB508" i="2"/>
  <c r="AF508" i="2"/>
  <c r="AF509" i="2"/>
  <c r="AA511" i="2"/>
  <c r="AD511" i="2"/>
  <c r="AE511" i="2"/>
  <c r="Q468" i="2"/>
  <c r="U468" i="2" s="1"/>
  <c r="N469" i="2"/>
  <c r="O511" i="2"/>
  <c r="Q469" i="2"/>
  <c r="U469" i="2" s="1"/>
  <c r="Q470" i="2"/>
  <c r="U470" i="2" s="1"/>
  <c r="Q471" i="2"/>
  <c r="U471" i="2" s="1"/>
  <c r="Q472" i="2"/>
  <c r="U472" i="2" s="1"/>
  <c r="Q473" i="2"/>
  <c r="U473" i="2" s="1"/>
  <c r="Q474" i="2"/>
  <c r="U474" i="2" s="1"/>
  <c r="Q475" i="2"/>
  <c r="U475" i="2" s="1"/>
  <c r="Q476" i="2"/>
  <c r="U476" i="2" s="1"/>
  <c r="Q477" i="2"/>
  <c r="U477" i="2" s="1"/>
  <c r="Q478" i="2"/>
  <c r="U478" i="2" s="1"/>
  <c r="Q479" i="2"/>
  <c r="U479" i="2" s="1"/>
  <c r="Q480" i="2"/>
  <c r="U480" i="2"/>
  <c r="Q481" i="2"/>
  <c r="U481" i="2" s="1"/>
  <c r="Q482" i="2"/>
  <c r="U482" i="2"/>
  <c r="Q483" i="2"/>
  <c r="U483" i="2"/>
  <c r="Q484" i="2"/>
  <c r="U484" i="2"/>
  <c r="Q485" i="2"/>
  <c r="U485" i="2" s="1"/>
  <c r="Q486" i="2"/>
  <c r="U486" i="2"/>
  <c r="Q487" i="2"/>
  <c r="U487" i="2"/>
  <c r="Q488" i="2"/>
  <c r="U488" i="2"/>
  <c r="Q489" i="2"/>
  <c r="U489" i="2"/>
  <c r="Q490" i="2"/>
  <c r="U490" i="2"/>
  <c r="Q491" i="2"/>
  <c r="U491" i="2"/>
  <c r="Q492" i="2"/>
  <c r="U492" i="2"/>
  <c r="Q493" i="2"/>
  <c r="U493" i="2" s="1"/>
  <c r="Q494" i="2"/>
  <c r="U494" i="2"/>
  <c r="Q495" i="2"/>
  <c r="U495" i="2"/>
  <c r="Q496" i="2"/>
  <c r="U496" i="2"/>
  <c r="Q497" i="2"/>
  <c r="U497" i="2"/>
  <c r="Q498" i="2"/>
  <c r="U498" i="2"/>
  <c r="Q499" i="2"/>
  <c r="U499" i="2"/>
  <c r="Q500" i="2"/>
  <c r="U500" i="2"/>
  <c r="Q501" i="2"/>
  <c r="U501" i="2" s="1"/>
  <c r="Q502" i="2"/>
  <c r="U502" i="2"/>
  <c r="Q503" i="2"/>
  <c r="U503" i="2"/>
  <c r="Q504" i="2"/>
  <c r="U504" i="2"/>
  <c r="Q505" i="2"/>
  <c r="U505" i="2"/>
  <c r="Q506" i="2"/>
  <c r="U506" i="2"/>
  <c r="U507" i="2"/>
  <c r="Q508" i="2"/>
  <c r="U508" i="2" s="1"/>
  <c r="U509" i="2"/>
  <c r="P511" i="2"/>
  <c r="S511" i="2"/>
  <c r="T511" i="2"/>
  <c r="F468" i="2"/>
  <c r="J468" i="2" s="1"/>
  <c r="H511" i="2"/>
  <c r="I511" i="2"/>
  <c r="F469" i="2"/>
  <c r="F470" i="2"/>
  <c r="J470" i="2"/>
  <c r="F471" i="2"/>
  <c r="J471" i="2" s="1"/>
  <c r="F472" i="2"/>
  <c r="J472" i="2" s="1"/>
  <c r="F473" i="2"/>
  <c r="J473" i="2" s="1"/>
  <c r="F474" i="2"/>
  <c r="J474" i="2" s="1"/>
  <c r="F475" i="2"/>
  <c r="J475" i="2" s="1"/>
  <c r="F476" i="2"/>
  <c r="J476" i="2" s="1"/>
  <c r="F477" i="2"/>
  <c r="J477" i="2"/>
  <c r="F478" i="2"/>
  <c r="J478" i="2" s="1"/>
  <c r="F479" i="2"/>
  <c r="J479" i="2" s="1"/>
  <c r="F480" i="2"/>
  <c r="J480" i="2" s="1"/>
  <c r="F481" i="2"/>
  <c r="J481" i="2" s="1"/>
  <c r="F482" i="2"/>
  <c r="J482" i="2" s="1"/>
  <c r="F483" i="2"/>
  <c r="J483" i="2"/>
  <c r="F484" i="2"/>
  <c r="J484" i="2" s="1"/>
  <c r="F485" i="2"/>
  <c r="J485" i="2" s="1"/>
  <c r="F486" i="2"/>
  <c r="J486" i="2" s="1"/>
  <c r="F487" i="2"/>
  <c r="J487" i="2" s="1"/>
  <c r="F488" i="2"/>
  <c r="J488" i="2" s="1"/>
  <c r="F489" i="2"/>
  <c r="J489" i="2" s="1"/>
  <c r="F490" i="2"/>
  <c r="J490" i="2" s="1"/>
  <c r="F491" i="2"/>
  <c r="J491" i="2"/>
  <c r="F492" i="2"/>
  <c r="J492" i="2" s="1"/>
  <c r="F493" i="2"/>
  <c r="J493" i="2" s="1"/>
  <c r="F494" i="2"/>
  <c r="J494" i="2" s="1"/>
  <c r="F495" i="2"/>
  <c r="J495" i="2" s="1"/>
  <c r="F496" i="2"/>
  <c r="J496" i="2" s="1"/>
  <c r="F497" i="2"/>
  <c r="J497" i="2" s="1"/>
  <c r="F498" i="2"/>
  <c r="J498" i="2" s="1"/>
  <c r="F499" i="2"/>
  <c r="J499" i="2" s="1"/>
  <c r="F500" i="2"/>
  <c r="J500" i="2" s="1"/>
  <c r="F501" i="2"/>
  <c r="J501" i="2" s="1"/>
  <c r="F508" i="2"/>
  <c r="J508" i="2"/>
  <c r="E511" i="2"/>
  <c r="AB511" i="2" l="1"/>
  <c r="AF511" i="2"/>
  <c r="Q511" i="2"/>
  <c r="U511" i="2"/>
  <c r="J469" i="2"/>
  <c r="J511" i="2" s="1"/>
  <c r="F511" i="2"/>
  <c r="D511" i="2"/>
  <c r="Y425" i="2"/>
  <c r="Y426" i="2"/>
  <c r="Y427" i="2"/>
  <c r="Y428" i="2"/>
  <c r="Y429" i="2"/>
  <c r="Y430" i="2" s="1"/>
  <c r="Y431" i="2" s="1"/>
  <c r="Y432" i="2" s="1"/>
  <c r="Y433" i="2" s="1"/>
  <c r="Y434" i="2" s="1"/>
  <c r="Y435" i="2" s="1"/>
  <c r="Y436" i="2" s="1"/>
  <c r="Y437" i="2" s="1"/>
  <c r="Z437" i="2"/>
  <c r="Z436" i="2"/>
  <c r="Z435" i="2"/>
  <c r="Z434" i="2"/>
  <c r="Z433" i="2"/>
  <c r="Z432" i="2"/>
  <c r="Z431" i="2"/>
  <c r="Z430" i="2"/>
  <c r="Z429" i="2"/>
  <c r="Z428" i="2"/>
  <c r="Z427" i="2"/>
  <c r="Z426" i="2"/>
  <c r="Z425" i="2"/>
  <c r="Z424" i="2"/>
  <c r="Z423" i="2"/>
  <c r="Z422" i="2"/>
  <c r="AB422" i="2" s="1"/>
  <c r="AF422" i="2" s="1"/>
  <c r="Z421" i="2"/>
  <c r="AB421" i="2" s="1"/>
  <c r="AF421" i="2" s="1"/>
  <c r="Z420" i="2"/>
  <c r="Z419" i="2"/>
  <c r="AB419" i="2" s="1"/>
  <c r="AF419" i="2" s="1"/>
  <c r="Z418" i="2"/>
  <c r="Z417" i="2"/>
  <c r="Z416" i="2"/>
  <c r="Y413" i="2"/>
  <c r="Y414" i="2"/>
  <c r="Y415" i="2"/>
  <c r="Y416" i="2"/>
  <c r="Y417" i="2"/>
  <c r="Y418" i="2"/>
  <c r="Y419" i="2" s="1"/>
  <c r="Y420" i="2" s="1"/>
  <c r="Y421" i="2" s="1"/>
  <c r="Y422" i="2" s="1"/>
  <c r="Y423" i="2" s="1"/>
  <c r="Y424" i="2" s="1"/>
  <c r="Z415" i="2"/>
  <c r="Z414" i="2"/>
  <c r="Z413" i="2"/>
  <c r="Z412" i="2"/>
  <c r="Z411" i="2"/>
  <c r="AB411" i="2"/>
  <c r="Y412" i="2"/>
  <c r="AB412" i="2"/>
  <c r="AF412" i="2" s="1"/>
  <c r="AB413" i="2"/>
  <c r="AF413" i="2" s="1"/>
  <c r="AB414" i="2"/>
  <c r="AF414" i="2" s="1"/>
  <c r="AB415" i="2"/>
  <c r="AF415" i="2" s="1"/>
  <c r="AB416" i="2"/>
  <c r="AF416" i="2" s="1"/>
  <c r="AB417" i="2"/>
  <c r="AF417" i="2" s="1"/>
  <c r="AB418" i="2"/>
  <c r="AF418" i="2" s="1"/>
  <c r="AB420" i="2"/>
  <c r="AF420" i="2" s="1"/>
  <c r="AB423" i="2"/>
  <c r="AF423" i="2" s="1"/>
  <c r="AD454" i="2"/>
  <c r="AB424" i="2"/>
  <c r="AF424" i="2" s="1"/>
  <c r="AB425" i="2"/>
  <c r="AF425" i="2" s="1"/>
  <c r="AB426" i="2"/>
  <c r="AF426" i="2"/>
  <c r="AB427" i="2"/>
  <c r="AF427" i="2" s="1"/>
  <c r="AB428" i="2"/>
  <c r="AF428" i="2"/>
  <c r="AB429" i="2"/>
  <c r="AF429" i="2" s="1"/>
  <c r="AB430" i="2"/>
  <c r="AF430" i="2" s="1"/>
  <c r="AB431" i="2"/>
  <c r="AF431" i="2"/>
  <c r="AB432" i="2"/>
  <c r="AF432" i="2"/>
  <c r="AB433" i="2"/>
  <c r="AF433" i="2" s="1"/>
  <c r="AB434" i="2"/>
  <c r="AF434" i="2" s="1"/>
  <c r="AB435" i="2"/>
  <c r="AF435" i="2" s="1"/>
  <c r="AB436" i="2"/>
  <c r="AF436" i="2"/>
  <c r="AB437" i="2"/>
  <c r="AF437" i="2" s="1"/>
  <c r="AB438" i="2"/>
  <c r="AF438" i="2"/>
  <c r="AB439" i="2"/>
  <c r="AF439" i="2"/>
  <c r="AB440" i="2"/>
  <c r="AF440" i="2"/>
  <c r="AB441" i="2"/>
  <c r="AF441" i="2" s="1"/>
  <c r="AB442" i="2"/>
  <c r="AF442" i="2"/>
  <c r="AB443" i="2"/>
  <c r="AF443" i="2" s="1"/>
  <c r="AB444" i="2"/>
  <c r="AF444" i="2"/>
  <c r="AB445" i="2"/>
  <c r="AF445" i="2" s="1"/>
  <c r="AB446" i="2"/>
  <c r="AF446" i="2"/>
  <c r="AB447" i="2"/>
  <c r="AF447" i="2"/>
  <c r="AB448" i="2"/>
  <c r="AF448" i="2"/>
  <c r="AB449" i="2"/>
  <c r="AF449" i="2" s="1"/>
  <c r="AF450" i="2"/>
  <c r="AB451" i="2"/>
  <c r="AF451" i="2"/>
  <c r="AF452" i="2"/>
  <c r="AA454" i="2"/>
  <c r="AE454" i="2"/>
  <c r="N413" i="2"/>
  <c r="N414" i="2"/>
  <c r="N415" i="2"/>
  <c r="N416" i="2"/>
  <c r="O416" i="2"/>
  <c r="O415" i="2"/>
  <c r="Q415" i="2" s="1"/>
  <c r="U415" i="2" s="1"/>
  <c r="O414" i="2"/>
  <c r="O413" i="2"/>
  <c r="O412" i="2"/>
  <c r="O411" i="2"/>
  <c r="O454" i="2"/>
  <c r="Q411" i="2"/>
  <c r="U411" i="2" s="1"/>
  <c r="N412" i="2"/>
  <c r="Q412" i="2"/>
  <c r="U412" i="2" s="1"/>
  <c r="Q413" i="2"/>
  <c r="U413" i="2" s="1"/>
  <c r="Q414" i="2"/>
  <c r="U414" i="2"/>
  <c r="Q416" i="2"/>
  <c r="U416" i="2" s="1"/>
  <c r="Q417" i="2"/>
  <c r="U417" i="2" s="1"/>
  <c r="Q418" i="2"/>
  <c r="U418" i="2"/>
  <c r="Q419" i="2"/>
  <c r="U419" i="2" s="1"/>
  <c r="Q420" i="2"/>
  <c r="U420" i="2" s="1"/>
  <c r="Q421" i="2"/>
  <c r="U421" i="2" s="1"/>
  <c r="Q422" i="2"/>
  <c r="U422" i="2"/>
  <c r="Q423" i="2"/>
  <c r="U423" i="2" s="1"/>
  <c r="Q424" i="2"/>
  <c r="U424" i="2" s="1"/>
  <c r="Q425" i="2"/>
  <c r="U425" i="2" s="1"/>
  <c r="Q426" i="2"/>
  <c r="U426" i="2" s="1"/>
  <c r="Q427" i="2"/>
  <c r="U427" i="2" s="1"/>
  <c r="Q428" i="2"/>
  <c r="U428" i="2" s="1"/>
  <c r="Q429" i="2"/>
  <c r="U429" i="2" s="1"/>
  <c r="Q430" i="2"/>
  <c r="U430" i="2" s="1"/>
  <c r="Q431" i="2"/>
  <c r="U431" i="2" s="1"/>
  <c r="Q432" i="2"/>
  <c r="U432" i="2" s="1"/>
  <c r="Q433" i="2"/>
  <c r="U433" i="2" s="1"/>
  <c r="Q434" i="2"/>
  <c r="U434" i="2"/>
  <c r="Q435" i="2"/>
  <c r="U435" i="2" s="1"/>
  <c r="Q436" i="2"/>
  <c r="U436" i="2" s="1"/>
  <c r="Q437" i="2"/>
  <c r="U437" i="2" s="1"/>
  <c r="Q438" i="2"/>
  <c r="U438" i="2" s="1"/>
  <c r="Q439" i="2"/>
  <c r="U439" i="2"/>
  <c r="Q440" i="2"/>
  <c r="U440" i="2"/>
  <c r="Q441" i="2"/>
  <c r="U441" i="2"/>
  <c r="Q442" i="2"/>
  <c r="U442" i="2" s="1"/>
  <c r="Q443" i="2"/>
  <c r="U443" i="2" s="1"/>
  <c r="Q444" i="2"/>
  <c r="U444" i="2"/>
  <c r="Q445" i="2"/>
  <c r="U445" i="2"/>
  <c r="Q446" i="2"/>
  <c r="U446" i="2"/>
  <c r="Q447" i="2"/>
  <c r="U447" i="2"/>
  <c r="Q448" i="2"/>
  <c r="U448" i="2"/>
  <c r="Q449" i="2"/>
  <c r="U449" i="2"/>
  <c r="U450" i="2"/>
  <c r="Q451" i="2"/>
  <c r="U451" i="2"/>
  <c r="U452" i="2"/>
  <c r="P454" i="2"/>
  <c r="S454" i="2"/>
  <c r="T454" i="2"/>
  <c r="D430" i="2"/>
  <c r="C413" i="2"/>
  <c r="C414" i="2"/>
  <c r="C415" i="2"/>
  <c r="C416" i="2"/>
  <c r="C417" i="2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F430" i="2"/>
  <c r="J430" i="2" s="1"/>
  <c r="D429" i="2"/>
  <c r="D428" i="2"/>
  <c r="D427" i="2"/>
  <c r="D426" i="2"/>
  <c r="F426" i="2" s="1"/>
  <c r="J426" i="2" s="1"/>
  <c r="D425" i="2"/>
  <c r="D424" i="2"/>
  <c r="D423" i="2"/>
  <c r="D422" i="2"/>
  <c r="F422" i="2" s="1"/>
  <c r="J422" i="2" s="1"/>
  <c r="D421" i="2"/>
  <c r="D420" i="2"/>
  <c r="H419" i="2"/>
  <c r="H454" i="2" s="1"/>
  <c r="D419" i="2"/>
  <c r="D418" i="2"/>
  <c r="I417" i="2"/>
  <c r="H417" i="2"/>
  <c r="D417" i="2"/>
  <c r="F417" i="2" s="1"/>
  <c r="D416" i="2"/>
  <c r="D415" i="2"/>
  <c r="F415" i="2" s="1"/>
  <c r="J415" i="2" s="1"/>
  <c r="D414" i="2"/>
  <c r="D413" i="2"/>
  <c r="D412" i="2"/>
  <c r="I411" i="2"/>
  <c r="H411" i="2"/>
  <c r="D411" i="2"/>
  <c r="F411" i="2"/>
  <c r="C412" i="2"/>
  <c r="F412" i="2"/>
  <c r="J412" i="2" s="1"/>
  <c r="F413" i="2"/>
  <c r="J413" i="2" s="1"/>
  <c r="F414" i="2"/>
  <c r="J414" i="2" s="1"/>
  <c r="F416" i="2"/>
  <c r="J416" i="2" s="1"/>
  <c r="F418" i="2"/>
  <c r="J418" i="2"/>
  <c r="F419" i="2"/>
  <c r="J419" i="2" s="1"/>
  <c r="F420" i="2"/>
  <c r="J420" i="2" s="1"/>
  <c r="F421" i="2"/>
  <c r="J421" i="2" s="1"/>
  <c r="F423" i="2"/>
  <c r="J423" i="2"/>
  <c r="F424" i="2"/>
  <c r="J424" i="2" s="1"/>
  <c r="F425" i="2"/>
  <c r="J425" i="2" s="1"/>
  <c r="F427" i="2"/>
  <c r="J427" i="2" s="1"/>
  <c r="F428" i="2"/>
  <c r="J428" i="2" s="1"/>
  <c r="F429" i="2"/>
  <c r="J429" i="2" s="1"/>
  <c r="F431" i="2"/>
  <c r="J431" i="2"/>
  <c r="F432" i="2"/>
  <c r="J432" i="2" s="1"/>
  <c r="F433" i="2"/>
  <c r="J433" i="2" s="1"/>
  <c r="F434" i="2"/>
  <c r="J434" i="2" s="1"/>
  <c r="F435" i="2"/>
  <c r="J435" i="2" s="1"/>
  <c r="F436" i="2"/>
  <c r="J436" i="2"/>
  <c r="F437" i="2"/>
  <c r="J437" i="2" s="1"/>
  <c r="F438" i="2"/>
  <c r="J438" i="2"/>
  <c r="F439" i="2"/>
  <c r="J439" i="2"/>
  <c r="F440" i="2"/>
  <c r="J440" i="2" s="1"/>
  <c r="F441" i="2"/>
  <c r="J441" i="2" s="1"/>
  <c r="F442" i="2"/>
  <c r="J442" i="2" s="1"/>
  <c r="F443" i="2"/>
  <c r="J443" i="2" s="1"/>
  <c r="F444" i="2"/>
  <c r="J444" i="2"/>
  <c r="F451" i="2"/>
  <c r="J451" i="2" s="1"/>
  <c r="E454" i="2"/>
  <c r="I454" i="2"/>
  <c r="Z367" i="2"/>
  <c r="AD366" i="2"/>
  <c r="Z366" i="2"/>
  <c r="Z365" i="2"/>
  <c r="AB365" i="2" s="1"/>
  <c r="AF365" i="2" s="1"/>
  <c r="Z364" i="2"/>
  <c r="Z363" i="2"/>
  <c r="Z362" i="2"/>
  <c r="Z361" i="2"/>
  <c r="Z360" i="2"/>
  <c r="Z359" i="2"/>
  <c r="Z358" i="2"/>
  <c r="Z357" i="2"/>
  <c r="Z356" i="2"/>
  <c r="AB356" i="2" s="1"/>
  <c r="AF356" i="2" s="1"/>
  <c r="Z355" i="2"/>
  <c r="Z354" i="2"/>
  <c r="Y356" i="2"/>
  <c r="Y357" i="2" s="1"/>
  <c r="Y358" i="2" s="1"/>
  <c r="Y359" i="2" s="1"/>
  <c r="Y360" i="2" s="1"/>
  <c r="Y361" i="2" s="1"/>
  <c r="Y362" i="2" s="1"/>
  <c r="Y363" i="2" s="1"/>
  <c r="Y364" i="2" s="1"/>
  <c r="Y365" i="2" s="1"/>
  <c r="Y366" i="2" s="1"/>
  <c r="Y367" i="2" s="1"/>
  <c r="AB354" i="2"/>
  <c r="AF354" i="2" s="1"/>
  <c r="Y355" i="2"/>
  <c r="AB355" i="2"/>
  <c r="AB357" i="2"/>
  <c r="AF357" i="2" s="1"/>
  <c r="AB358" i="2"/>
  <c r="AF358" i="2" s="1"/>
  <c r="AB359" i="2"/>
  <c r="AF359" i="2" s="1"/>
  <c r="AB360" i="2"/>
  <c r="AF360" i="2" s="1"/>
  <c r="AB361" i="2"/>
  <c r="AF361" i="2" s="1"/>
  <c r="AB362" i="2"/>
  <c r="AF362" i="2" s="1"/>
  <c r="AB363" i="2"/>
  <c r="AF363" i="2" s="1"/>
  <c r="AB364" i="2"/>
  <c r="AF364" i="2" s="1"/>
  <c r="AB366" i="2"/>
  <c r="AF366" i="2" s="1"/>
  <c r="AB367" i="2"/>
  <c r="AF367" i="2"/>
  <c r="AB368" i="2"/>
  <c r="AF368" i="2" s="1"/>
  <c r="AB369" i="2"/>
  <c r="AF369" i="2"/>
  <c r="AB370" i="2"/>
  <c r="AF370" i="2"/>
  <c r="AB371" i="2"/>
  <c r="AF371" i="2"/>
  <c r="AB372" i="2"/>
  <c r="AF372" i="2" s="1"/>
  <c r="AB373" i="2"/>
  <c r="AF373" i="2" s="1"/>
  <c r="AB374" i="2"/>
  <c r="AF374" i="2"/>
  <c r="AB375" i="2"/>
  <c r="AF375" i="2"/>
  <c r="AB376" i="2"/>
  <c r="AF376" i="2" s="1"/>
  <c r="AB377" i="2"/>
  <c r="AF377" i="2"/>
  <c r="AB378" i="2"/>
  <c r="AF378" i="2"/>
  <c r="AB379" i="2"/>
  <c r="AF379" i="2"/>
  <c r="AB380" i="2"/>
  <c r="AF380" i="2" s="1"/>
  <c r="AB381" i="2"/>
  <c r="AF381" i="2" s="1"/>
  <c r="AB382" i="2"/>
  <c r="AF382" i="2"/>
  <c r="AB383" i="2"/>
  <c r="AF383" i="2"/>
  <c r="AB384" i="2"/>
  <c r="AF384" i="2" s="1"/>
  <c r="AB385" i="2"/>
  <c r="AF385" i="2"/>
  <c r="AB386" i="2"/>
  <c r="AF386" i="2"/>
  <c r="AB387" i="2"/>
  <c r="AF387" i="2"/>
  <c r="AB388" i="2"/>
  <c r="AF388" i="2" s="1"/>
  <c r="AB389" i="2"/>
  <c r="AF389" i="2" s="1"/>
  <c r="AB390" i="2"/>
  <c r="AF390" i="2"/>
  <c r="AB391" i="2"/>
  <c r="AF391" i="2"/>
  <c r="AB392" i="2"/>
  <c r="AF392" i="2" s="1"/>
  <c r="AF393" i="2"/>
  <c r="AB394" i="2"/>
  <c r="AF394" i="2"/>
  <c r="AF395" i="2"/>
  <c r="AA397" i="2"/>
  <c r="AD397" i="2"/>
  <c r="AE397" i="2"/>
  <c r="T381" i="2"/>
  <c r="N379" i="2"/>
  <c r="N380" i="2"/>
  <c r="O380" i="2"/>
  <c r="O379" i="2"/>
  <c r="O378" i="2"/>
  <c r="O377" i="2"/>
  <c r="O376" i="2"/>
  <c r="Q376" i="2" s="1"/>
  <c r="U376" i="2" s="1"/>
  <c r="O375" i="2"/>
  <c r="O374" i="2"/>
  <c r="Q374" i="2" s="1"/>
  <c r="U374" i="2" s="1"/>
  <c r="O373" i="2"/>
  <c r="O372" i="2"/>
  <c r="N371" i="2"/>
  <c r="N372" i="2"/>
  <c r="N373" i="2"/>
  <c r="N374" i="2"/>
  <c r="N375" i="2"/>
  <c r="N376" i="2"/>
  <c r="N377" i="2"/>
  <c r="N378" i="2" s="1"/>
  <c r="O371" i="2"/>
  <c r="Q371" i="2" s="1"/>
  <c r="U371" i="2" s="1"/>
  <c r="O370" i="2"/>
  <c r="Q370" i="2"/>
  <c r="U370" i="2" s="1"/>
  <c r="O369" i="2"/>
  <c r="O368" i="2"/>
  <c r="N368" i="2"/>
  <c r="N369" i="2"/>
  <c r="N370" i="2"/>
  <c r="N361" i="2"/>
  <c r="N362" i="2"/>
  <c r="N363" i="2"/>
  <c r="N364" i="2"/>
  <c r="N365" i="2"/>
  <c r="N366" i="2"/>
  <c r="N367" i="2"/>
  <c r="O367" i="2"/>
  <c r="O366" i="2"/>
  <c r="Q366" i="2" s="1"/>
  <c r="U366" i="2" s="1"/>
  <c r="O365" i="2"/>
  <c r="O364" i="2"/>
  <c r="O363" i="2"/>
  <c r="O362" i="2"/>
  <c r="O361" i="2"/>
  <c r="O360" i="2"/>
  <c r="O359" i="2"/>
  <c r="Q359" i="2" s="1"/>
  <c r="U359" i="2" s="1"/>
  <c r="O358" i="2"/>
  <c r="O357" i="2"/>
  <c r="O356" i="2"/>
  <c r="O355" i="2"/>
  <c r="O354" i="2"/>
  <c r="Q354" i="2"/>
  <c r="N355" i="2"/>
  <c r="N356" i="2" s="1"/>
  <c r="N357" i="2" s="1"/>
  <c r="N358" i="2" s="1"/>
  <c r="N359" i="2" s="1"/>
  <c r="N360" i="2" s="1"/>
  <c r="Q355" i="2"/>
  <c r="U355" i="2" s="1"/>
  <c r="Q356" i="2"/>
  <c r="U356" i="2" s="1"/>
  <c r="Q357" i="2"/>
  <c r="U357" i="2" s="1"/>
  <c r="Q358" i="2"/>
  <c r="U358" i="2" s="1"/>
  <c r="Q360" i="2"/>
  <c r="U360" i="2"/>
  <c r="Q361" i="2"/>
  <c r="U361" i="2"/>
  <c r="Q362" i="2"/>
  <c r="U362" i="2" s="1"/>
  <c r="Q363" i="2"/>
  <c r="U363" i="2" s="1"/>
  <c r="Q364" i="2"/>
  <c r="U364" i="2" s="1"/>
  <c r="Q365" i="2"/>
  <c r="U365" i="2" s="1"/>
  <c r="Q367" i="2"/>
  <c r="U367" i="2" s="1"/>
  <c r="Q368" i="2"/>
  <c r="U368" i="2" s="1"/>
  <c r="Q369" i="2"/>
  <c r="U369" i="2" s="1"/>
  <c r="Q372" i="2"/>
  <c r="U372" i="2"/>
  <c r="Q373" i="2"/>
  <c r="U373" i="2"/>
  <c r="Q375" i="2"/>
  <c r="U375" i="2" s="1"/>
  <c r="Q377" i="2"/>
  <c r="U377" i="2"/>
  <c r="Q378" i="2"/>
  <c r="U378" i="2" s="1"/>
  <c r="Q379" i="2"/>
  <c r="U379" i="2" s="1"/>
  <c r="Q380" i="2"/>
  <c r="U380" i="2" s="1"/>
  <c r="Q381" i="2"/>
  <c r="Q382" i="2"/>
  <c r="U382" i="2"/>
  <c r="Q383" i="2"/>
  <c r="U383" i="2" s="1"/>
  <c r="Q384" i="2"/>
  <c r="U384" i="2"/>
  <c r="Q385" i="2"/>
  <c r="U385" i="2"/>
  <c r="Q386" i="2"/>
  <c r="U386" i="2" s="1"/>
  <c r="Q387" i="2"/>
  <c r="U387" i="2"/>
  <c r="Q388" i="2"/>
  <c r="U388" i="2"/>
  <c r="Q389" i="2"/>
  <c r="U389" i="2"/>
  <c r="Q390" i="2"/>
  <c r="U390" i="2"/>
  <c r="Q391" i="2"/>
  <c r="U391" i="2" s="1"/>
  <c r="Q392" i="2"/>
  <c r="U392" i="2"/>
  <c r="U393" i="2"/>
  <c r="Q394" i="2"/>
  <c r="U394" i="2"/>
  <c r="U395" i="2"/>
  <c r="P397" i="2"/>
  <c r="S397" i="2"/>
  <c r="T397" i="2"/>
  <c r="I363" i="2"/>
  <c r="H363" i="2"/>
  <c r="D363" i="2"/>
  <c r="D362" i="2"/>
  <c r="D361" i="2"/>
  <c r="D360" i="2"/>
  <c r="F360" i="2" s="1"/>
  <c r="D359" i="2"/>
  <c r="F359" i="2" s="1"/>
  <c r="J359" i="2" s="1"/>
  <c r="D358" i="2"/>
  <c r="D397" i="2" s="1"/>
  <c r="D357" i="2"/>
  <c r="D356" i="2"/>
  <c r="D355" i="2"/>
  <c r="D354" i="2"/>
  <c r="F354" i="2"/>
  <c r="J354" i="2" s="1"/>
  <c r="C355" i="2"/>
  <c r="C356" i="2" s="1"/>
  <c r="C357" i="2" s="1"/>
  <c r="C358" i="2" s="1"/>
  <c r="C359" i="2" s="1"/>
  <c r="C360" i="2" s="1"/>
  <c r="C361" i="2" s="1"/>
  <c r="C362" i="2" s="1"/>
  <c r="C363" i="2" s="1"/>
  <c r="F355" i="2"/>
  <c r="J355" i="2" s="1"/>
  <c r="F356" i="2"/>
  <c r="J356" i="2" s="1"/>
  <c r="F357" i="2"/>
  <c r="J357" i="2" s="1"/>
  <c r="H397" i="2"/>
  <c r="F361" i="2"/>
  <c r="J361" i="2" s="1"/>
  <c r="F362" i="2"/>
  <c r="J362" i="2" s="1"/>
  <c r="F363" i="2"/>
  <c r="J363" i="2" s="1"/>
  <c r="F364" i="2"/>
  <c r="J364" i="2" s="1"/>
  <c r="F365" i="2"/>
  <c r="J365" i="2" s="1"/>
  <c r="F366" i="2"/>
  <c r="J366" i="2" s="1"/>
  <c r="F367" i="2"/>
  <c r="J367" i="2" s="1"/>
  <c r="F368" i="2"/>
  <c r="J368" i="2" s="1"/>
  <c r="F369" i="2"/>
  <c r="J369" i="2"/>
  <c r="F370" i="2"/>
  <c r="J370" i="2"/>
  <c r="F371" i="2"/>
  <c r="J371" i="2" s="1"/>
  <c r="F372" i="2"/>
  <c r="J372" i="2" s="1"/>
  <c r="F373" i="2"/>
  <c r="J373" i="2"/>
  <c r="F374" i="2"/>
  <c r="J374" i="2" s="1"/>
  <c r="F375" i="2"/>
  <c r="J375" i="2"/>
  <c r="F376" i="2"/>
  <c r="J376" i="2" s="1"/>
  <c r="F377" i="2"/>
  <c r="J377" i="2"/>
  <c r="F378" i="2"/>
  <c r="J378" i="2" s="1"/>
  <c r="F379" i="2"/>
  <c r="J379" i="2" s="1"/>
  <c r="F380" i="2"/>
  <c r="J380" i="2" s="1"/>
  <c r="F381" i="2"/>
  <c r="J381" i="2"/>
  <c r="F382" i="2"/>
  <c r="J382" i="2" s="1"/>
  <c r="F383" i="2"/>
  <c r="J383" i="2"/>
  <c r="F384" i="2"/>
  <c r="J384" i="2" s="1"/>
  <c r="F385" i="2"/>
  <c r="J385" i="2"/>
  <c r="F386" i="2"/>
  <c r="J386" i="2" s="1"/>
  <c r="F387" i="2"/>
  <c r="J387" i="2" s="1"/>
  <c r="F394" i="2"/>
  <c r="J394" i="2" s="1"/>
  <c r="E397" i="2"/>
  <c r="I397" i="2"/>
  <c r="Z306" i="2"/>
  <c r="Z305" i="2"/>
  <c r="Z304" i="2"/>
  <c r="Z303" i="2"/>
  <c r="Y303" i="2"/>
  <c r="Y304" i="2" s="1"/>
  <c r="Y305" i="2" s="1"/>
  <c r="Y306" i="2" s="1"/>
  <c r="Z302" i="2"/>
  <c r="AB302" i="2" s="1"/>
  <c r="AF302" i="2" s="1"/>
  <c r="Z301" i="2"/>
  <c r="AB301" i="2" s="1"/>
  <c r="AF301" i="2" s="1"/>
  <c r="Z300" i="2"/>
  <c r="AB300" i="2" s="1"/>
  <c r="AF300" i="2" s="1"/>
  <c r="Z299" i="2"/>
  <c r="Z298" i="2"/>
  <c r="Z297" i="2"/>
  <c r="AB297" i="2"/>
  <c r="AF297" i="2" s="1"/>
  <c r="Y298" i="2"/>
  <c r="AB298" i="2"/>
  <c r="AF298" i="2" s="1"/>
  <c r="Y299" i="2"/>
  <c r="Y300" i="2" s="1"/>
  <c r="Y301" i="2" s="1"/>
  <c r="Y302" i="2" s="1"/>
  <c r="AB299" i="2"/>
  <c r="AF299" i="2"/>
  <c r="AB303" i="2"/>
  <c r="AF303" i="2" s="1"/>
  <c r="AB304" i="2"/>
  <c r="AF304" i="2" s="1"/>
  <c r="AB305" i="2"/>
  <c r="AF305" i="2" s="1"/>
  <c r="AB306" i="2"/>
  <c r="AF306" i="2" s="1"/>
  <c r="AB307" i="2"/>
  <c r="AF307" i="2" s="1"/>
  <c r="AB308" i="2"/>
  <c r="AF308" i="2"/>
  <c r="AB309" i="2"/>
  <c r="AF309" i="2"/>
  <c r="AB310" i="2"/>
  <c r="AF310" i="2"/>
  <c r="AB311" i="2"/>
  <c r="AF311" i="2" s="1"/>
  <c r="AB312" i="2"/>
  <c r="AF312" i="2"/>
  <c r="AB313" i="2"/>
  <c r="AF313" i="2"/>
  <c r="AB314" i="2"/>
  <c r="AF314" i="2" s="1"/>
  <c r="AB315" i="2"/>
  <c r="AF315" i="2" s="1"/>
  <c r="AB316" i="2"/>
  <c r="AF316" i="2"/>
  <c r="AB317" i="2"/>
  <c r="AF317" i="2"/>
  <c r="AB318" i="2"/>
  <c r="AF318" i="2"/>
  <c r="AB319" i="2"/>
  <c r="AF319" i="2" s="1"/>
  <c r="AB320" i="2"/>
  <c r="AF320" i="2"/>
  <c r="AB321" i="2"/>
  <c r="AF321" i="2"/>
  <c r="AB322" i="2"/>
  <c r="AF322" i="2" s="1"/>
  <c r="AB323" i="2"/>
  <c r="AF323" i="2" s="1"/>
  <c r="AB324" i="2"/>
  <c r="AF324" i="2"/>
  <c r="AB325" i="2"/>
  <c r="AF325" i="2"/>
  <c r="AB326" i="2"/>
  <c r="AF326" i="2"/>
  <c r="AB327" i="2"/>
  <c r="AF327" i="2" s="1"/>
  <c r="AB328" i="2"/>
  <c r="AF328" i="2"/>
  <c r="AB329" i="2"/>
  <c r="AF329" i="2"/>
  <c r="AB330" i="2"/>
  <c r="AF330" i="2" s="1"/>
  <c r="AB331" i="2"/>
  <c r="AF331" i="2" s="1"/>
  <c r="AB332" i="2"/>
  <c r="AF332" i="2"/>
  <c r="AB333" i="2"/>
  <c r="AF333" i="2"/>
  <c r="AB334" i="2"/>
  <c r="AF334" i="2"/>
  <c r="AB335" i="2"/>
  <c r="AF335" i="2" s="1"/>
  <c r="AF336" i="2"/>
  <c r="AB337" i="2"/>
  <c r="AF337" i="2" s="1"/>
  <c r="AF338" i="2"/>
  <c r="AA340" i="2"/>
  <c r="AD340" i="2"/>
  <c r="AE340" i="2"/>
  <c r="N299" i="2"/>
  <c r="N300" i="2" s="1"/>
  <c r="N301" i="2" s="1"/>
  <c r="N302" i="2" s="1"/>
  <c r="N303" i="2" s="1"/>
  <c r="O303" i="2"/>
  <c r="Q303" i="2" s="1"/>
  <c r="U303" i="2" s="1"/>
  <c r="O302" i="2"/>
  <c r="Q302" i="2" s="1"/>
  <c r="U302" i="2" s="1"/>
  <c r="O301" i="2"/>
  <c r="O300" i="2"/>
  <c r="O299" i="2"/>
  <c r="O298" i="2"/>
  <c r="O297" i="2"/>
  <c r="Q297" i="2"/>
  <c r="N298" i="2"/>
  <c r="Q298" i="2"/>
  <c r="U298" i="2" s="1"/>
  <c r="Q299" i="2"/>
  <c r="U299" i="2" s="1"/>
  <c r="Q300" i="2"/>
  <c r="U300" i="2" s="1"/>
  <c r="Q301" i="2"/>
  <c r="U301" i="2" s="1"/>
  <c r="Q304" i="2"/>
  <c r="U304" i="2" s="1"/>
  <c r="Q305" i="2"/>
  <c r="U305" i="2"/>
  <c r="Q306" i="2"/>
  <c r="U306" i="2" s="1"/>
  <c r="Q307" i="2"/>
  <c r="U307" i="2"/>
  <c r="Q308" i="2"/>
  <c r="U308" i="2" s="1"/>
  <c r="Q309" i="2"/>
  <c r="U309" i="2"/>
  <c r="Q310" i="2"/>
  <c r="U310" i="2" s="1"/>
  <c r="Q311" i="2"/>
  <c r="U311" i="2"/>
  <c r="Q312" i="2"/>
  <c r="U312" i="2"/>
  <c r="Q313" i="2"/>
  <c r="U313" i="2"/>
  <c r="Q314" i="2"/>
  <c r="U314" i="2" s="1"/>
  <c r="Q315" i="2"/>
  <c r="U315" i="2" s="1"/>
  <c r="Q316" i="2"/>
  <c r="U316" i="2"/>
  <c r="Q317" i="2"/>
  <c r="U317" i="2" s="1"/>
  <c r="Q318" i="2"/>
  <c r="U318" i="2" s="1"/>
  <c r="Q319" i="2"/>
  <c r="U319" i="2"/>
  <c r="Q320" i="2"/>
  <c r="U320" i="2"/>
  <c r="Q321" i="2"/>
  <c r="U321" i="2"/>
  <c r="Q322" i="2"/>
  <c r="U322" i="2" s="1"/>
  <c r="Q323" i="2"/>
  <c r="U323" i="2"/>
  <c r="Q324" i="2"/>
  <c r="U324" i="2" s="1"/>
  <c r="Q325" i="2"/>
  <c r="U325" i="2" s="1"/>
  <c r="Q326" i="2"/>
  <c r="U326" i="2"/>
  <c r="Q327" i="2"/>
  <c r="U327" i="2"/>
  <c r="Q328" i="2"/>
  <c r="U328" i="2" s="1"/>
  <c r="Q329" i="2"/>
  <c r="U329" i="2"/>
  <c r="Q330" i="2"/>
  <c r="U330" i="2"/>
  <c r="Q331" i="2"/>
  <c r="U331" i="2"/>
  <c r="Q332" i="2"/>
  <c r="U332" i="2"/>
  <c r="Q333" i="2"/>
  <c r="U333" i="2" s="1"/>
  <c r="Q334" i="2"/>
  <c r="U334" i="2"/>
  <c r="Q335" i="2"/>
  <c r="U335" i="2"/>
  <c r="U336" i="2"/>
  <c r="Q337" i="2"/>
  <c r="U337" i="2"/>
  <c r="U338" i="2"/>
  <c r="P340" i="2"/>
  <c r="S340" i="2"/>
  <c r="T340" i="2"/>
  <c r="D314" i="2"/>
  <c r="D313" i="2"/>
  <c r="D312" i="2"/>
  <c r="F312" i="2" s="1"/>
  <c r="J312" i="2" s="1"/>
  <c r="D311" i="2"/>
  <c r="D310" i="2"/>
  <c r="F310" i="2" s="1"/>
  <c r="J310" i="2" s="1"/>
  <c r="D309" i="2"/>
  <c r="D308" i="2"/>
  <c r="D307" i="2"/>
  <c r="D306" i="2"/>
  <c r="D305" i="2"/>
  <c r="D304" i="2"/>
  <c r="H303" i="2"/>
  <c r="D303" i="2"/>
  <c r="F302" i="2" s="1"/>
  <c r="J302" i="2" s="1"/>
  <c r="D301" i="2"/>
  <c r="F301" i="2" s="1"/>
  <c r="J301" i="2" s="1"/>
  <c r="D300" i="2"/>
  <c r="D299" i="2"/>
  <c r="D298" i="2"/>
  <c r="C299" i="2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D297" i="2"/>
  <c r="F297" i="2"/>
  <c r="J297" i="2" s="1"/>
  <c r="C298" i="2"/>
  <c r="F298" i="2"/>
  <c r="J298" i="2" s="1"/>
  <c r="F299" i="2"/>
  <c r="J299" i="2" s="1"/>
  <c r="F300" i="2"/>
  <c r="J300" i="2" s="1"/>
  <c r="I340" i="2"/>
  <c r="F303" i="2"/>
  <c r="J303" i="2" s="1"/>
  <c r="F304" i="2"/>
  <c r="J304" i="2" s="1"/>
  <c r="F305" i="2"/>
  <c r="J305" i="2" s="1"/>
  <c r="F306" i="2"/>
  <c r="J306" i="2" s="1"/>
  <c r="F307" i="2"/>
  <c r="J307" i="2" s="1"/>
  <c r="F308" i="2"/>
  <c r="J308" i="2" s="1"/>
  <c r="F309" i="2"/>
  <c r="J309" i="2" s="1"/>
  <c r="F311" i="2"/>
  <c r="J311" i="2" s="1"/>
  <c r="F313" i="2"/>
  <c r="J313" i="2"/>
  <c r="F314" i="2"/>
  <c r="J314" i="2" s="1"/>
  <c r="F315" i="2"/>
  <c r="J315" i="2" s="1"/>
  <c r="F316" i="2"/>
  <c r="J316" i="2" s="1"/>
  <c r="F317" i="2"/>
  <c r="J317" i="2"/>
  <c r="F318" i="2"/>
  <c r="J318" i="2"/>
  <c r="F319" i="2"/>
  <c r="J319" i="2" s="1"/>
  <c r="F320" i="2"/>
  <c r="J320" i="2" s="1"/>
  <c r="F321" i="2"/>
  <c r="J321" i="2" s="1"/>
  <c r="F322" i="2"/>
  <c r="J322" i="2"/>
  <c r="F323" i="2"/>
  <c r="J323" i="2" s="1"/>
  <c r="F324" i="2"/>
  <c r="J324" i="2" s="1"/>
  <c r="F325" i="2"/>
  <c r="J325" i="2" s="1"/>
  <c r="F326" i="2"/>
  <c r="J326" i="2"/>
  <c r="F327" i="2"/>
  <c r="J327" i="2"/>
  <c r="F328" i="2"/>
  <c r="J328" i="2" s="1"/>
  <c r="F329" i="2"/>
  <c r="J329" i="2" s="1"/>
  <c r="F330" i="2"/>
  <c r="J330" i="2"/>
  <c r="F337" i="2"/>
  <c r="J337" i="2" s="1"/>
  <c r="E340" i="2"/>
  <c r="H340" i="2"/>
  <c r="AF411" i="2" l="1"/>
  <c r="AF454" i="2" s="1"/>
  <c r="AB454" i="2"/>
  <c r="Z454" i="2"/>
  <c r="U454" i="2"/>
  <c r="Q454" i="2"/>
  <c r="J417" i="2"/>
  <c r="J411" i="2"/>
  <c r="J454" i="2" s="1"/>
  <c r="F454" i="2"/>
  <c r="D454" i="2"/>
  <c r="AF355" i="2"/>
  <c r="AB397" i="2"/>
  <c r="AF397" i="2"/>
  <c r="Z397" i="2"/>
  <c r="U381" i="2"/>
  <c r="O397" i="2"/>
  <c r="Q397" i="2"/>
  <c r="U354" i="2"/>
  <c r="F358" i="2"/>
  <c r="J358" i="2" s="1"/>
  <c r="J360" i="2"/>
  <c r="F397" i="2"/>
  <c r="Z340" i="2"/>
  <c r="AB340" i="2"/>
  <c r="AF340" i="2"/>
  <c r="U297" i="2"/>
  <c r="U340" i="2" s="1"/>
  <c r="Q340" i="2"/>
  <c r="O340" i="2"/>
  <c r="D340" i="2"/>
  <c r="J340" i="2"/>
  <c r="F340" i="2"/>
  <c r="Y242" i="2"/>
  <c r="Y243" i="2" s="1"/>
  <c r="Y244" i="2" s="1"/>
  <c r="Y245" i="2" s="1"/>
  <c r="Z245" i="2"/>
  <c r="AB245" i="2" s="1"/>
  <c r="AF245" i="2" s="1"/>
  <c r="Z244" i="2"/>
  <c r="Z243" i="2"/>
  <c r="Z242" i="2"/>
  <c r="Z241" i="2"/>
  <c r="Z240" i="2"/>
  <c r="AB240" i="2"/>
  <c r="AF240" i="2" s="1"/>
  <c r="Y241" i="2"/>
  <c r="AB241" i="2"/>
  <c r="AF241" i="2"/>
  <c r="AB242" i="2"/>
  <c r="AF242" i="2" s="1"/>
  <c r="AB243" i="2"/>
  <c r="AF243" i="2" s="1"/>
  <c r="AB246" i="2"/>
  <c r="AF246" i="2"/>
  <c r="AB247" i="2"/>
  <c r="AF247" i="2" s="1"/>
  <c r="AB248" i="2"/>
  <c r="AF248" i="2"/>
  <c r="AB249" i="2"/>
  <c r="AF249" i="2"/>
  <c r="AB250" i="2"/>
  <c r="AF250" i="2" s="1"/>
  <c r="AB251" i="2"/>
  <c r="AF251" i="2"/>
  <c r="AB252" i="2"/>
  <c r="AF252" i="2"/>
  <c r="AB253" i="2"/>
  <c r="AF253" i="2"/>
  <c r="AB254" i="2"/>
  <c r="AF254" i="2"/>
  <c r="AB255" i="2"/>
  <c r="AF255" i="2" s="1"/>
  <c r="AB256" i="2"/>
  <c r="AF256" i="2"/>
  <c r="AB257" i="2"/>
  <c r="AF257" i="2"/>
  <c r="AB258" i="2"/>
  <c r="AF258" i="2" s="1"/>
  <c r="AB259" i="2"/>
  <c r="AF259" i="2"/>
  <c r="AB260" i="2"/>
  <c r="AF260" i="2"/>
  <c r="AB261" i="2"/>
  <c r="AF261" i="2"/>
  <c r="AB262" i="2"/>
  <c r="AF262" i="2"/>
  <c r="AB263" i="2"/>
  <c r="AF263" i="2" s="1"/>
  <c r="AB264" i="2"/>
  <c r="AF264" i="2"/>
  <c r="AB265" i="2"/>
  <c r="AF265" i="2"/>
  <c r="AB266" i="2"/>
  <c r="AF266" i="2" s="1"/>
  <c r="AB267" i="2"/>
  <c r="AF267" i="2"/>
  <c r="AB268" i="2"/>
  <c r="AF268" i="2"/>
  <c r="AB269" i="2"/>
  <c r="AF269" i="2"/>
  <c r="AB270" i="2"/>
  <c r="AF270" i="2"/>
  <c r="AB271" i="2"/>
  <c r="AF271" i="2" s="1"/>
  <c r="AB272" i="2"/>
  <c r="AF272" i="2"/>
  <c r="AB273" i="2"/>
  <c r="AF273" i="2"/>
  <c r="AB274" i="2"/>
  <c r="AF274" i="2" s="1"/>
  <c r="AB275" i="2"/>
  <c r="AF275" i="2"/>
  <c r="AB276" i="2"/>
  <c r="AF276" i="2"/>
  <c r="AB277" i="2"/>
  <c r="AF277" i="2"/>
  <c r="AB278" i="2"/>
  <c r="AF278" i="2"/>
  <c r="AF279" i="2"/>
  <c r="AB280" i="2"/>
  <c r="AF280" i="2"/>
  <c r="AF281" i="2"/>
  <c r="AA283" i="2"/>
  <c r="AD283" i="2"/>
  <c r="AE283" i="2"/>
  <c r="O267" i="2"/>
  <c r="O266" i="2"/>
  <c r="O265" i="2"/>
  <c r="O264" i="2"/>
  <c r="O263" i="2"/>
  <c r="Q263" i="2" s="1"/>
  <c r="U263" i="2" s="1"/>
  <c r="O262" i="2"/>
  <c r="Q262" i="2" s="1"/>
  <c r="U262" i="2" s="1"/>
  <c r="O261" i="2"/>
  <c r="O260" i="2"/>
  <c r="Q260" i="2" s="1"/>
  <c r="U260" i="2" s="1"/>
  <c r="O259" i="2"/>
  <c r="O258" i="2"/>
  <c r="O257" i="2"/>
  <c r="O256" i="2"/>
  <c r="O255" i="2"/>
  <c r="Q255" i="2" s="1"/>
  <c r="U255" i="2" s="1"/>
  <c r="O254" i="2"/>
  <c r="Q254" i="2" s="1"/>
  <c r="U254" i="2" s="1"/>
  <c r="O253" i="2"/>
  <c r="O252" i="2"/>
  <c r="Q252" i="2" s="1"/>
  <c r="U252" i="2" s="1"/>
  <c r="O251" i="2"/>
  <c r="O250" i="2"/>
  <c r="Q250" i="2" s="1"/>
  <c r="U250" i="2" s="1"/>
  <c r="O249" i="2"/>
  <c r="O248" i="2"/>
  <c r="O247" i="2"/>
  <c r="O246" i="2"/>
  <c r="Q246" i="2" s="1"/>
  <c r="U246" i="2" s="1"/>
  <c r="O245" i="2"/>
  <c r="Q245" i="2" s="1"/>
  <c r="U245" i="2" s="1"/>
  <c r="O244" i="2"/>
  <c r="Q244" i="2" s="1"/>
  <c r="U244" i="2" s="1"/>
  <c r="O243" i="2"/>
  <c r="O242" i="2"/>
  <c r="N242" i="2"/>
  <c r="N243" i="2" s="1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O241" i="2"/>
  <c r="Q241" i="2" s="1"/>
  <c r="U241" i="2" s="1"/>
  <c r="S240" i="2"/>
  <c r="S283" i="2" s="1"/>
  <c r="O240" i="2"/>
  <c r="Q240" i="2"/>
  <c r="U240" i="2" s="1"/>
  <c r="N241" i="2"/>
  <c r="Q242" i="2"/>
  <c r="U242" i="2" s="1"/>
  <c r="Q243" i="2"/>
  <c r="U243" i="2" s="1"/>
  <c r="Q247" i="2"/>
  <c r="U247" i="2" s="1"/>
  <c r="Q248" i="2"/>
  <c r="U248" i="2"/>
  <c r="Q249" i="2"/>
  <c r="U249" i="2" s="1"/>
  <c r="Q251" i="2"/>
  <c r="U251" i="2" s="1"/>
  <c r="Q253" i="2"/>
  <c r="U253" i="2" s="1"/>
  <c r="Q256" i="2"/>
  <c r="U256" i="2"/>
  <c r="Q257" i="2"/>
  <c r="U257" i="2" s="1"/>
  <c r="Q258" i="2"/>
  <c r="U258" i="2" s="1"/>
  <c r="Q259" i="2"/>
  <c r="U259" i="2" s="1"/>
  <c r="Q261" i="2"/>
  <c r="U261" i="2" s="1"/>
  <c r="Q264" i="2"/>
  <c r="U264" i="2"/>
  <c r="Q265" i="2"/>
  <c r="U265" i="2" s="1"/>
  <c r="Q266" i="2"/>
  <c r="U266" i="2" s="1"/>
  <c r="Q267" i="2"/>
  <c r="U267" i="2" s="1"/>
  <c r="Q268" i="2"/>
  <c r="U268" i="2" s="1"/>
  <c r="Q269" i="2"/>
  <c r="U269" i="2"/>
  <c r="Q270" i="2"/>
  <c r="U270" i="2"/>
  <c r="Q271" i="2"/>
  <c r="U271" i="2" s="1"/>
  <c r="Q272" i="2"/>
  <c r="U272" i="2" s="1"/>
  <c r="Q273" i="2"/>
  <c r="U273" i="2"/>
  <c r="Q274" i="2"/>
  <c r="U274" i="2"/>
  <c r="Q275" i="2"/>
  <c r="U275" i="2"/>
  <c r="Q276" i="2"/>
  <c r="U276" i="2"/>
  <c r="Q277" i="2"/>
  <c r="U277" i="2"/>
  <c r="Q278" i="2"/>
  <c r="U278" i="2"/>
  <c r="U279" i="2"/>
  <c r="Q280" i="2"/>
  <c r="U280" i="2"/>
  <c r="U281" i="2"/>
  <c r="P283" i="2"/>
  <c r="T283" i="2"/>
  <c r="D268" i="2"/>
  <c r="D267" i="2"/>
  <c r="D266" i="2"/>
  <c r="D265" i="2"/>
  <c r="D264" i="2"/>
  <c r="D263" i="2"/>
  <c r="C263" i="2"/>
  <c r="C264" i="2" s="1"/>
  <c r="C265" i="2" s="1"/>
  <c r="C266" i="2" s="1"/>
  <c r="C267" i="2" s="1"/>
  <c r="C268" i="2" s="1"/>
  <c r="D262" i="2"/>
  <c r="D261" i="2"/>
  <c r="D260" i="2"/>
  <c r="D259" i="2"/>
  <c r="D258" i="2"/>
  <c r="D257" i="2"/>
  <c r="D256" i="2"/>
  <c r="D255" i="2"/>
  <c r="D254" i="2"/>
  <c r="D253" i="2"/>
  <c r="D252" i="2"/>
  <c r="H251" i="2"/>
  <c r="D251" i="2"/>
  <c r="D250" i="2"/>
  <c r="D249" i="2"/>
  <c r="D248" i="2"/>
  <c r="D247" i="2"/>
  <c r="D246" i="2"/>
  <c r="D245" i="2"/>
  <c r="D244" i="2"/>
  <c r="I243" i="2"/>
  <c r="U397" i="2" l="1"/>
  <c r="J397" i="2"/>
  <c r="Z283" i="2"/>
  <c r="AB244" i="2"/>
  <c r="AF244" i="2" s="1"/>
  <c r="AF283" i="2"/>
  <c r="O283" i="2"/>
  <c r="Q283" i="2"/>
  <c r="U283" i="2"/>
  <c r="D243" i="2"/>
  <c r="D242" i="2"/>
  <c r="D241" i="2"/>
  <c r="D240" i="2"/>
  <c r="C242" i="2"/>
  <c r="C243" i="2" s="1"/>
  <c r="C244" i="2" s="1"/>
  <c r="C245" i="2" s="1"/>
  <c r="C246" i="2" s="1"/>
  <c r="C247" i="2" s="1"/>
  <c r="C248" i="2" s="1"/>
  <c r="C249" i="2" s="1"/>
  <c r="C250" i="2" s="1"/>
  <c r="C251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AB283" i="2" l="1"/>
  <c r="F240" i="2"/>
  <c r="C241" i="2"/>
  <c r="D283" i="2"/>
  <c r="F241" i="2"/>
  <c r="J241" i="2" s="1"/>
  <c r="F242" i="2"/>
  <c r="J242" i="2" s="1"/>
  <c r="F243" i="2"/>
  <c r="J243" i="2" s="1"/>
  <c r="F244" i="2"/>
  <c r="J244" i="2" s="1"/>
  <c r="F245" i="2"/>
  <c r="J245" i="2" s="1"/>
  <c r="F246" i="2"/>
  <c r="J246" i="2" s="1"/>
  <c r="F247" i="2"/>
  <c r="J247" i="2" s="1"/>
  <c r="F248" i="2"/>
  <c r="J248" i="2" s="1"/>
  <c r="F249" i="2"/>
  <c r="J249" i="2" s="1"/>
  <c r="F250" i="2"/>
  <c r="J250" i="2" s="1"/>
  <c r="F251" i="2"/>
  <c r="J251" i="2" s="1"/>
  <c r="F252" i="2"/>
  <c r="J252" i="2" s="1"/>
  <c r="F253" i="2"/>
  <c r="J253" i="2" s="1"/>
  <c r="F254" i="2"/>
  <c r="J254" i="2" s="1"/>
  <c r="F255" i="2"/>
  <c r="J255" i="2" s="1"/>
  <c r="F256" i="2"/>
  <c r="J256" i="2" s="1"/>
  <c r="F257" i="2"/>
  <c r="J257" i="2" s="1"/>
  <c r="F258" i="2"/>
  <c r="J258" i="2" s="1"/>
  <c r="F259" i="2"/>
  <c r="J259" i="2" s="1"/>
  <c r="F260" i="2"/>
  <c r="J260" i="2" s="1"/>
  <c r="F261" i="2"/>
  <c r="J261" i="2" s="1"/>
  <c r="F262" i="2"/>
  <c r="J262" i="2" s="1"/>
  <c r="F263" i="2"/>
  <c r="J263" i="2" s="1"/>
  <c r="F264" i="2"/>
  <c r="J264" i="2" s="1"/>
  <c r="F265" i="2"/>
  <c r="J265" i="2"/>
  <c r="F266" i="2"/>
  <c r="J266" i="2" s="1"/>
  <c r="F267" i="2"/>
  <c r="J267" i="2" s="1"/>
  <c r="F268" i="2"/>
  <c r="J268" i="2" s="1"/>
  <c r="F269" i="2"/>
  <c r="J269" i="2"/>
  <c r="F270" i="2"/>
  <c r="J270" i="2" s="1"/>
  <c r="F271" i="2"/>
  <c r="J271" i="2" s="1"/>
  <c r="F272" i="2"/>
  <c r="J272" i="2"/>
  <c r="F273" i="2"/>
  <c r="J273" i="2"/>
  <c r="F280" i="2"/>
  <c r="J280" i="2"/>
  <c r="E283" i="2"/>
  <c r="H283" i="2"/>
  <c r="I283" i="2"/>
  <c r="J240" i="2" l="1"/>
  <c r="J283" i="2" s="1"/>
  <c r="F283" i="2"/>
  <c r="J14" i="1"/>
  <c r="AO183" i="2"/>
  <c r="AK183" i="2"/>
  <c r="AO226" i="2"/>
  <c r="AL226" i="2"/>
  <c r="AQ224" i="2"/>
  <c r="AM223" i="2"/>
  <c r="AQ223" i="2" s="1"/>
  <c r="AQ222" i="2"/>
  <c r="AM221" i="2"/>
  <c r="AQ221" i="2" s="1"/>
  <c r="AQ220" i="2"/>
  <c r="AM220" i="2"/>
  <c r="AM219" i="2"/>
  <c r="AQ219" i="2" s="1"/>
  <c r="AM218" i="2"/>
  <c r="AQ218" i="2" s="1"/>
  <c r="AM217" i="2"/>
  <c r="AQ217" i="2" s="1"/>
  <c r="AM216" i="2"/>
  <c r="AQ216" i="2" s="1"/>
  <c r="AQ215" i="2"/>
  <c r="AM215" i="2"/>
  <c r="AM214" i="2"/>
  <c r="AQ214" i="2" s="1"/>
  <c r="AM213" i="2"/>
  <c r="AQ213" i="2" s="1"/>
  <c r="AQ212" i="2"/>
  <c r="AM212" i="2"/>
  <c r="AM211" i="2"/>
  <c r="AQ211" i="2" s="1"/>
  <c r="AM210" i="2"/>
  <c r="AQ210" i="2" s="1"/>
  <c r="AM209" i="2"/>
  <c r="AQ209" i="2" s="1"/>
  <c r="AM208" i="2"/>
  <c r="AQ208" i="2" s="1"/>
  <c r="AQ207" i="2"/>
  <c r="AM207" i="2"/>
  <c r="AM206" i="2"/>
  <c r="AQ206" i="2" s="1"/>
  <c r="AM205" i="2"/>
  <c r="AQ205" i="2" s="1"/>
  <c r="AQ204" i="2"/>
  <c r="AM204" i="2"/>
  <c r="AM203" i="2"/>
  <c r="AQ203" i="2" s="1"/>
  <c r="AM202" i="2"/>
  <c r="AQ202" i="2" s="1"/>
  <c r="AM201" i="2"/>
  <c r="AQ201" i="2" s="1"/>
  <c r="AM200" i="2"/>
  <c r="AQ200" i="2" s="1"/>
  <c r="AQ199" i="2"/>
  <c r="AM199" i="2"/>
  <c r="AQ198" i="2"/>
  <c r="AM198" i="2"/>
  <c r="AM197" i="2"/>
  <c r="AQ197" i="2" s="1"/>
  <c r="AQ196" i="2"/>
  <c r="AM196" i="2"/>
  <c r="AM195" i="2"/>
  <c r="AQ195" i="2" s="1"/>
  <c r="AM194" i="2"/>
  <c r="AQ194" i="2" s="1"/>
  <c r="AM193" i="2"/>
  <c r="AQ193" i="2" s="1"/>
  <c r="AM192" i="2"/>
  <c r="AQ192" i="2" s="1"/>
  <c r="AQ191" i="2"/>
  <c r="AM191" i="2"/>
  <c r="AQ190" i="2"/>
  <c r="AM190" i="2"/>
  <c r="AM189" i="2"/>
  <c r="AQ189" i="2" s="1"/>
  <c r="AM188" i="2"/>
  <c r="AQ188" i="2" s="1"/>
  <c r="AP226" i="2"/>
  <c r="AM187" i="2"/>
  <c r="AQ187" i="2" s="1"/>
  <c r="AM186" i="2"/>
  <c r="AQ186" i="2" s="1"/>
  <c r="AM185" i="2"/>
  <c r="AQ185" i="2" s="1"/>
  <c r="AM184" i="2"/>
  <c r="AQ184" i="2" s="1"/>
  <c r="AJ184" i="2"/>
  <c r="AM183" i="2"/>
  <c r="Z187" i="2"/>
  <c r="Z226" i="2" s="1"/>
  <c r="Z186" i="2"/>
  <c r="Z185" i="2"/>
  <c r="Z184" i="2"/>
  <c r="AB184" i="2" s="1"/>
  <c r="AF184" i="2" s="1"/>
  <c r="Z183" i="2"/>
  <c r="AB183" i="2"/>
  <c r="AF183" i="2"/>
  <c r="Y184" i="2"/>
  <c r="Y185" i="2" s="1"/>
  <c r="Y186" i="2" s="1"/>
  <c r="Y187" i="2" s="1"/>
  <c r="AB185" i="2"/>
  <c r="AF185" i="2" s="1"/>
  <c r="AE226" i="2"/>
  <c r="AB186" i="2"/>
  <c r="AB188" i="2"/>
  <c r="AF188" i="2"/>
  <c r="AB189" i="2"/>
  <c r="AF189" i="2"/>
  <c r="AB190" i="2"/>
  <c r="AF190" i="2"/>
  <c r="AB191" i="2"/>
  <c r="AF191" i="2"/>
  <c r="AB192" i="2"/>
  <c r="AF192" i="2"/>
  <c r="AB193" i="2"/>
  <c r="AF193" i="2" s="1"/>
  <c r="AB194" i="2"/>
  <c r="AF194" i="2"/>
  <c r="AB195" i="2"/>
  <c r="AF195" i="2"/>
  <c r="AB196" i="2"/>
  <c r="AF196" i="2"/>
  <c r="AB197" i="2"/>
  <c r="AF197" i="2"/>
  <c r="AB198" i="2"/>
  <c r="AF198" i="2"/>
  <c r="AB199" i="2"/>
  <c r="AF199" i="2"/>
  <c r="AB200" i="2"/>
  <c r="AF200" i="2" s="1"/>
  <c r="AB201" i="2"/>
  <c r="AF201" i="2" s="1"/>
  <c r="AB202" i="2"/>
  <c r="AF202" i="2"/>
  <c r="AB203" i="2"/>
  <c r="AF203" i="2"/>
  <c r="AB204" i="2"/>
  <c r="AF204" i="2"/>
  <c r="AB205" i="2"/>
  <c r="AF205" i="2"/>
  <c r="AB206" i="2"/>
  <c r="AF206" i="2"/>
  <c r="AB207" i="2"/>
  <c r="AF207" i="2"/>
  <c r="AB208" i="2"/>
  <c r="AF208" i="2"/>
  <c r="AB209" i="2"/>
  <c r="AF209" i="2" s="1"/>
  <c r="AB210" i="2"/>
  <c r="AF210" i="2"/>
  <c r="AB211" i="2"/>
  <c r="AF211" i="2"/>
  <c r="AB212" i="2"/>
  <c r="AF212" i="2"/>
  <c r="AB213" i="2"/>
  <c r="AF213" i="2"/>
  <c r="AB214" i="2"/>
  <c r="AF214" i="2"/>
  <c r="AB215" i="2"/>
  <c r="AF215" i="2"/>
  <c r="AB216" i="2"/>
  <c r="AF216" i="2"/>
  <c r="AB217" i="2"/>
  <c r="AF217" i="2" s="1"/>
  <c r="AB218" i="2"/>
  <c r="AF218" i="2"/>
  <c r="AB219" i="2"/>
  <c r="AF219" i="2"/>
  <c r="AB220" i="2"/>
  <c r="AF220" i="2"/>
  <c r="AB221" i="2"/>
  <c r="AF221" i="2"/>
  <c r="AF222" i="2"/>
  <c r="AB223" i="2"/>
  <c r="AF223" i="2"/>
  <c r="AF224" i="2"/>
  <c r="AA226" i="2"/>
  <c r="AD226" i="2"/>
  <c r="O209" i="2"/>
  <c r="O208" i="2"/>
  <c r="Q208" i="2" s="1"/>
  <c r="U208" i="2" s="1"/>
  <c r="O207" i="2"/>
  <c r="Q207" i="2" s="1"/>
  <c r="U207" i="2" s="1"/>
  <c r="O206" i="2"/>
  <c r="O205" i="2"/>
  <c r="O204" i="2"/>
  <c r="O203" i="2"/>
  <c r="O202" i="2"/>
  <c r="O201" i="2"/>
  <c r="O200" i="2"/>
  <c r="Q200" i="2" s="1"/>
  <c r="U200" i="2" s="1"/>
  <c r="O199" i="2"/>
  <c r="Q199" i="2" s="1"/>
  <c r="U199" i="2" s="1"/>
  <c r="O198" i="2"/>
  <c r="Q198" i="2" s="1"/>
  <c r="U198" i="2" s="1"/>
  <c r="O197" i="2"/>
  <c r="Q197" i="2" s="1"/>
  <c r="U197" i="2" s="1"/>
  <c r="O196" i="2"/>
  <c r="Q196" i="2" s="1"/>
  <c r="U196" i="2" s="1"/>
  <c r="O195" i="2"/>
  <c r="O194" i="2"/>
  <c r="O193" i="2"/>
  <c r="O192" i="2"/>
  <c r="O191" i="2"/>
  <c r="Q191" i="2" s="1"/>
  <c r="U191" i="2" s="1"/>
  <c r="O190" i="2"/>
  <c r="Q190" i="2" s="1"/>
  <c r="U190" i="2" s="1"/>
  <c r="N190" i="2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O189" i="2"/>
  <c r="Q189" i="2" s="1"/>
  <c r="U189" i="2" s="1"/>
  <c r="O188" i="2"/>
  <c r="Q188" i="2" s="1"/>
  <c r="U188" i="2" s="1"/>
  <c r="O187" i="2"/>
  <c r="O186" i="2"/>
  <c r="Q186" i="2" s="1"/>
  <c r="U186" i="2" s="1"/>
  <c r="O185" i="2"/>
  <c r="O184" i="2"/>
  <c r="O183" i="2"/>
  <c r="N184" i="2"/>
  <c r="N185" i="2" s="1"/>
  <c r="N186" i="2" s="1"/>
  <c r="N187" i="2" s="1"/>
  <c r="N188" i="2" s="1"/>
  <c r="N189" i="2" s="1"/>
  <c r="Q183" i="2"/>
  <c r="Q184" i="2"/>
  <c r="U184" i="2" s="1"/>
  <c r="Q185" i="2"/>
  <c r="U185" i="2" s="1"/>
  <c r="Q187" i="2"/>
  <c r="U187" i="2" s="1"/>
  <c r="Q192" i="2"/>
  <c r="U192" i="2"/>
  <c r="Q193" i="2"/>
  <c r="U193" i="2" s="1"/>
  <c r="Q194" i="2"/>
  <c r="U194" i="2" s="1"/>
  <c r="Q195" i="2"/>
  <c r="U195" i="2" s="1"/>
  <c r="Q201" i="2"/>
  <c r="U201" i="2" s="1"/>
  <c r="Q202" i="2"/>
  <c r="U202" i="2"/>
  <c r="Q203" i="2"/>
  <c r="U203" i="2" s="1"/>
  <c r="Q204" i="2"/>
  <c r="U204" i="2" s="1"/>
  <c r="Q205" i="2"/>
  <c r="U205" i="2" s="1"/>
  <c r="Q206" i="2"/>
  <c r="U206" i="2" s="1"/>
  <c r="Q209" i="2"/>
  <c r="U209" i="2" s="1"/>
  <c r="Q210" i="2"/>
  <c r="U210" i="2"/>
  <c r="Q211" i="2"/>
  <c r="U211" i="2"/>
  <c r="Q212" i="2"/>
  <c r="U212" i="2"/>
  <c r="Q213" i="2"/>
  <c r="U213" i="2"/>
  <c r="Q214" i="2"/>
  <c r="U214" i="2"/>
  <c r="Q215" i="2"/>
  <c r="U215" i="2"/>
  <c r="Q216" i="2"/>
  <c r="U216" i="2"/>
  <c r="Q217" i="2"/>
  <c r="U217" i="2" s="1"/>
  <c r="Q218" i="2"/>
  <c r="U218" i="2"/>
  <c r="Q219" i="2"/>
  <c r="U219" i="2"/>
  <c r="Q220" i="2"/>
  <c r="U220" i="2"/>
  <c r="Q221" i="2"/>
  <c r="U221" i="2"/>
  <c r="U222" i="2"/>
  <c r="Q223" i="2"/>
  <c r="U223" i="2"/>
  <c r="U224" i="2"/>
  <c r="P226" i="2"/>
  <c r="S226" i="2"/>
  <c r="T226" i="2"/>
  <c r="D207" i="2"/>
  <c r="D206" i="2"/>
  <c r="F206" i="2" s="1"/>
  <c r="J206" i="2" s="1"/>
  <c r="D205" i="2"/>
  <c r="D204" i="2"/>
  <c r="D203" i="2"/>
  <c r="D202" i="2"/>
  <c r="F202" i="2" s="1"/>
  <c r="J202" i="2" s="1"/>
  <c r="D201" i="2"/>
  <c r="F201" i="2" s="1"/>
  <c r="J201" i="2" s="1"/>
  <c r="D200" i="2"/>
  <c r="F200" i="2" s="1"/>
  <c r="J200" i="2" s="1"/>
  <c r="D199" i="2"/>
  <c r="D198" i="2"/>
  <c r="D197" i="2"/>
  <c r="D196" i="2"/>
  <c r="D195" i="2"/>
  <c r="F195" i="2" s="1"/>
  <c r="J195" i="2" s="1"/>
  <c r="D194" i="2"/>
  <c r="F194" i="2" s="1"/>
  <c r="J194" i="2" s="1"/>
  <c r="D193" i="2"/>
  <c r="F193" i="2" s="1"/>
  <c r="J193" i="2" s="1"/>
  <c r="D192" i="2"/>
  <c r="F192" i="2" s="1"/>
  <c r="J192" i="2" s="1"/>
  <c r="D191" i="2"/>
  <c r="F191" i="2" s="1"/>
  <c r="J191" i="2" s="1"/>
  <c r="D190" i="2"/>
  <c r="F190" i="2" s="1"/>
  <c r="J190" i="2" s="1"/>
  <c r="D189" i="2"/>
  <c r="F189" i="2" s="1"/>
  <c r="J189" i="2" s="1"/>
  <c r="D188" i="2"/>
  <c r="F188" i="2" s="1"/>
  <c r="J188" i="2" s="1"/>
  <c r="D187" i="2"/>
  <c r="F187" i="2" s="1"/>
  <c r="J187" i="2" s="1"/>
  <c r="D186" i="2"/>
  <c r="D185" i="2"/>
  <c r="D184" i="2"/>
  <c r="D183" i="2"/>
  <c r="F183" i="2"/>
  <c r="J183" i="2"/>
  <c r="C184" i="2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F184" i="2"/>
  <c r="J184" i="2" s="1"/>
  <c r="F185" i="2"/>
  <c r="J185" i="2" s="1"/>
  <c r="F186" i="2"/>
  <c r="J186" i="2" s="1"/>
  <c r="F196" i="2"/>
  <c r="J196" i="2" s="1"/>
  <c r="F197" i="2"/>
  <c r="J197" i="2" s="1"/>
  <c r="F198" i="2"/>
  <c r="J198" i="2" s="1"/>
  <c r="F199" i="2"/>
  <c r="J199" i="2" s="1"/>
  <c r="F203" i="2"/>
  <c r="J203" i="2"/>
  <c r="F204" i="2"/>
  <c r="J204" i="2" s="1"/>
  <c r="F205" i="2"/>
  <c r="J205" i="2" s="1"/>
  <c r="F207" i="2"/>
  <c r="J207" i="2" s="1"/>
  <c r="F208" i="2"/>
  <c r="J208" i="2" s="1"/>
  <c r="F209" i="2"/>
  <c r="J209" i="2"/>
  <c r="F210" i="2"/>
  <c r="J210" i="2" s="1"/>
  <c r="F211" i="2"/>
  <c r="J211" i="2" s="1"/>
  <c r="F212" i="2"/>
  <c r="J212" i="2" s="1"/>
  <c r="F213" i="2"/>
  <c r="J213" i="2"/>
  <c r="F214" i="2"/>
  <c r="J214" i="2"/>
  <c r="F215" i="2"/>
  <c r="J215" i="2" s="1"/>
  <c r="F216" i="2"/>
  <c r="J216" i="2"/>
  <c r="F223" i="2"/>
  <c r="J223" i="2"/>
  <c r="E226" i="2"/>
  <c r="H226" i="2"/>
  <c r="I226" i="2"/>
  <c r="AM226" i="2" l="1"/>
  <c r="AQ183" i="2"/>
  <c r="AQ226" i="2" s="1"/>
  <c r="AK226" i="2"/>
  <c r="AB187" i="2"/>
  <c r="AF187" i="2" s="1"/>
  <c r="AF186" i="2"/>
  <c r="U183" i="2"/>
  <c r="U226" i="2" s="1"/>
  <c r="Q226" i="2"/>
  <c r="O226" i="2"/>
  <c r="D226" i="2"/>
  <c r="J226" i="2"/>
  <c r="F226" i="2"/>
  <c r="Y129" i="2"/>
  <c r="Z129" i="2"/>
  <c r="Z169" i="2" s="1"/>
  <c r="AE128" i="2"/>
  <c r="Z128" i="2"/>
  <c r="Y128" i="2"/>
  <c r="Z127" i="2"/>
  <c r="AB127" i="2" s="1"/>
  <c r="AF127" i="2" s="1"/>
  <c r="Z126" i="2"/>
  <c r="AB126" i="2"/>
  <c r="AF126" i="2" s="1"/>
  <c r="Y127" i="2"/>
  <c r="AB128" i="2"/>
  <c r="AF128" i="2" s="1"/>
  <c r="AB130" i="2"/>
  <c r="AF130" i="2" s="1"/>
  <c r="AB131" i="2"/>
  <c r="AF131" i="2" s="1"/>
  <c r="AB132" i="2"/>
  <c r="AF132" i="2" s="1"/>
  <c r="AB133" i="2"/>
  <c r="AF133" i="2" s="1"/>
  <c r="AB134" i="2"/>
  <c r="AF134" i="2" s="1"/>
  <c r="AB135" i="2"/>
  <c r="AF135" i="2" s="1"/>
  <c r="AB136" i="2"/>
  <c r="AF136" i="2" s="1"/>
  <c r="AB137" i="2"/>
  <c r="AF137" i="2" s="1"/>
  <c r="AB138" i="2"/>
  <c r="AF138" i="2"/>
  <c r="AB139" i="2"/>
  <c r="AF139" i="2" s="1"/>
  <c r="AB140" i="2"/>
  <c r="AF140" i="2"/>
  <c r="AB141" i="2"/>
  <c r="AF141" i="2"/>
  <c r="AB142" i="2"/>
  <c r="AF142" i="2"/>
  <c r="AB143" i="2"/>
  <c r="AF143" i="2" s="1"/>
  <c r="AB144" i="2"/>
  <c r="AF144" i="2" s="1"/>
  <c r="AB145" i="2"/>
  <c r="AF145" i="2"/>
  <c r="AB146" i="2"/>
  <c r="AF146" i="2"/>
  <c r="AB147" i="2"/>
  <c r="AF147" i="2"/>
  <c r="AB148" i="2"/>
  <c r="AF148" i="2" s="1"/>
  <c r="AB149" i="2"/>
  <c r="AF149" i="2"/>
  <c r="AB150" i="2"/>
  <c r="AF150" i="2" s="1"/>
  <c r="AB151" i="2"/>
  <c r="AF151" i="2" s="1"/>
  <c r="AB152" i="2"/>
  <c r="AF152" i="2" s="1"/>
  <c r="AB153" i="2"/>
  <c r="AF153" i="2"/>
  <c r="AB154" i="2"/>
  <c r="AF154" i="2" s="1"/>
  <c r="AB155" i="2"/>
  <c r="AF155" i="2"/>
  <c r="AB156" i="2"/>
  <c r="AF156" i="2" s="1"/>
  <c r="AB157" i="2"/>
  <c r="AF157" i="2"/>
  <c r="AB158" i="2"/>
  <c r="AF158" i="2"/>
  <c r="AB159" i="2"/>
  <c r="AF159" i="2"/>
  <c r="AB160" i="2"/>
  <c r="AF160" i="2" s="1"/>
  <c r="AB161" i="2"/>
  <c r="AF161" i="2"/>
  <c r="AB162" i="2"/>
  <c r="AF162" i="2"/>
  <c r="AB163" i="2"/>
  <c r="AF163" i="2"/>
  <c r="AB164" i="2"/>
  <c r="AF164" i="2"/>
  <c r="AF165" i="2"/>
  <c r="AB166" i="2"/>
  <c r="AF166" i="2"/>
  <c r="AF167" i="2"/>
  <c r="AA169" i="2"/>
  <c r="AD169" i="2"/>
  <c r="AE169" i="2"/>
  <c r="O132" i="2"/>
  <c r="Q132" i="2" s="1"/>
  <c r="U132" i="2" s="1"/>
  <c r="S169" i="2"/>
  <c r="O131" i="2"/>
  <c r="Q131" i="2" s="1"/>
  <c r="U131" i="2" s="1"/>
  <c r="O130" i="2"/>
  <c r="Q130" i="2" s="1"/>
  <c r="U130" i="2" s="1"/>
  <c r="O129" i="2"/>
  <c r="Q129" i="2" s="1"/>
  <c r="U129" i="2" s="1"/>
  <c r="O128" i="2"/>
  <c r="Q128" i="2" s="1"/>
  <c r="U128" i="2" s="1"/>
  <c r="O127" i="2"/>
  <c r="O126" i="2"/>
  <c r="N128" i="2"/>
  <c r="N129" i="2"/>
  <c r="N130" i="2" s="1"/>
  <c r="N131" i="2" s="1"/>
  <c r="N132" i="2" s="1"/>
  <c r="N126" i="2"/>
  <c r="N127" i="2" s="1"/>
  <c r="Q126" i="2"/>
  <c r="U126" i="2" s="1"/>
  <c r="Q127" i="2"/>
  <c r="U127" i="2" s="1"/>
  <c r="Q133" i="2"/>
  <c r="U133" i="2"/>
  <c r="Q134" i="2"/>
  <c r="U134" i="2" s="1"/>
  <c r="Q135" i="2"/>
  <c r="U135" i="2" s="1"/>
  <c r="Q136" i="2"/>
  <c r="U136" i="2" s="1"/>
  <c r="Q137" i="2"/>
  <c r="U137" i="2" s="1"/>
  <c r="Q138" i="2"/>
  <c r="U138" i="2" s="1"/>
  <c r="Q139" i="2"/>
  <c r="U139" i="2" s="1"/>
  <c r="Q140" i="2"/>
  <c r="U140" i="2" s="1"/>
  <c r="Q141" i="2"/>
  <c r="U141" i="2"/>
  <c r="Q142" i="2"/>
  <c r="U142" i="2" s="1"/>
  <c r="Q143" i="2"/>
  <c r="U143" i="2" s="1"/>
  <c r="Q144" i="2"/>
  <c r="U144" i="2" s="1"/>
  <c r="Q145" i="2"/>
  <c r="U145" i="2"/>
  <c r="Q146" i="2"/>
  <c r="U146" i="2" s="1"/>
  <c r="Q147" i="2"/>
  <c r="U147" i="2"/>
  <c r="Q148" i="2"/>
  <c r="U148" i="2"/>
  <c r="Q149" i="2"/>
  <c r="U149" i="2"/>
  <c r="Q150" i="2"/>
  <c r="U150" i="2" s="1"/>
  <c r="Q151" i="2"/>
  <c r="U151" i="2"/>
  <c r="Q152" i="2"/>
  <c r="U152" i="2"/>
  <c r="Q153" i="2"/>
  <c r="U153" i="2"/>
  <c r="Q154" i="2"/>
  <c r="U154" i="2" s="1"/>
  <c r="Q155" i="2"/>
  <c r="U155" i="2"/>
  <c r="Q156" i="2"/>
  <c r="U156" i="2"/>
  <c r="Q157" i="2"/>
  <c r="U157" i="2"/>
  <c r="Q158" i="2"/>
  <c r="U158" i="2" s="1"/>
  <c r="Q159" i="2"/>
  <c r="U159" i="2"/>
  <c r="Q160" i="2"/>
  <c r="U160" i="2"/>
  <c r="Q161" i="2"/>
  <c r="U161" i="2"/>
  <c r="Q162" i="2"/>
  <c r="U162" i="2" s="1"/>
  <c r="Q163" i="2"/>
  <c r="U163" i="2"/>
  <c r="Q164" i="2"/>
  <c r="U164" i="2"/>
  <c r="U165" i="2"/>
  <c r="Q166" i="2"/>
  <c r="U166" i="2" s="1"/>
  <c r="U167" i="2"/>
  <c r="P169" i="2"/>
  <c r="T169" i="2"/>
  <c r="D133" i="2"/>
  <c r="F133" i="2" s="1"/>
  <c r="J133" i="2" s="1"/>
  <c r="D132" i="2"/>
  <c r="F132" i="2" s="1"/>
  <c r="J132" i="2" s="1"/>
  <c r="H169" i="2"/>
  <c r="D131" i="2"/>
  <c r="F131" i="2" s="1"/>
  <c r="J131" i="2" s="1"/>
  <c r="D130" i="2"/>
  <c r="F130" i="2" s="1"/>
  <c r="J130" i="2" s="1"/>
  <c r="D129" i="2"/>
  <c r="I128" i="2"/>
  <c r="I169" i="2" s="1"/>
  <c r="D128" i="2"/>
  <c r="C128" i="2"/>
  <c r="C129" i="2" s="1"/>
  <c r="C130" i="2" s="1"/>
  <c r="C131" i="2" s="1"/>
  <c r="C132" i="2" s="1"/>
  <c r="C133" i="2" s="1"/>
  <c r="D127" i="2"/>
  <c r="D126" i="2"/>
  <c r="F126" i="2"/>
  <c r="J126" i="2" s="1"/>
  <c r="C127" i="2"/>
  <c r="F127" i="2"/>
  <c r="J127" i="2" s="1"/>
  <c r="F128" i="2"/>
  <c r="F129" i="2"/>
  <c r="J129" i="2" s="1"/>
  <c r="F134" i="2"/>
  <c r="J134" i="2" s="1"/>
  <c r="F135" i="2"/>
  <c r="J135" i="2" s="1"/>
  <c r="F136" i="2"/>
  <c r="J136" i="2"/>
  <c r="F137" i="2"/>
  <c r="J137" i="2" s="1"/>
  <c r="F138" i="2"/>
  <c r="J138" i="2" s="1"/>
  <c r="F139" i="2"/>
  <c r="J139" i="2" s="1"/>
  <c r="F140" i="2"/>
  <c r="J140" i="2" s="1"/>
  <c r="F141" i="2"/>
  <c r="J141" i="2"/>
  <c r="F142" i="2"/>
  <c r="J142" i="2"/>
  <c r="F143" i="2"/>
  <c r="J143" i="2" s="1"/>
  <c r="F144" i="2"/>
  <c r="J144" i="2"/>
  <c r="F145" i="2"/>
  <c r="J145" i="2"/>
  <c r="F146" i="2"/>
  <c r="J146" i="2"/>
  <c r="F147" i="2"/>
  <c r="J147" i="2" s="1"/>
  <c r="F148" i="2"/>
  <c r="J148" i="2" s="1"/>
  <c r="F149" i="2"/>
  <c r="J149" i="2"/>
  <c r="F150" i="2"/>
  <c r="J150" i="2"/>
  <c r="F151" i="2"/>
  <c r="J151" i="2" s="1"/>
  <c r="F152" i="2"/>
  <c r="J152" i="2"/>
  <c r="F153" i="2"/>
  <c r="J153" i="2"/>
  <c r="F154" i="2"/>
  <c r="J154" i="2"/>
  <c r="F155" i="2"/>
  <c r="J155" i="2" s="1"/>
  <c r="F156" i="2"/>
  <c r="J156" i="2" s="1"/>
  <c r="F157" i="2"/>
  <c r="J157" i="2"/>
  <c r="F158" i="2"/>
  <c r="J158" i="2"/>
  <c r="F159" i="2"/>
  <c r="J159" i="2" s="1"/>
  <c r="F166" i="2"/>
  <c r="J166" i="2"/>
  <c r="E169" i="2"/>
  <c r="AB226" i="2" l="1"/>
  <c r="AF226" i="2"/>
  <c r="AB129" i="2"/>
  <c r="AF129" i="2" s="1"/>
  <c r="AF169" i="2" s="1"/>
  <c r="O169" i="2"/>
  <c r="U169" i="2"/>
  <c r="Q169" i="2"/>
  <c r="J128" i="2"/>
  <c r="D169" i="2"/>
  <c r="J169" i="2"/>
  <c r="F169" i="2"/>
  <c r="AB112" i="2"/>
  <c r="J10" i="1"/>
  <c r="J17" i="1"/>
  <c r="D17" i="1" s="1"/>
  <c r="D10" i="1"/>
  <c r="A34" i="1"/>
  <c r="A35" i="1"/>
  <c r="A36" i="1"/>
  <c r="A37" i="1" s="1"/>
  <c r="A38" i="1" s="1"/>
  <c r="A39" i="1" s="1"/>
  <c r="A40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11" i="1"/>
  <c r="AK75" i="2"/>
  <c r="AK74" i="2"/>
  <c r="AP73" i="2"/>
  <c r="AP112" i="2"/>
  <c r="AK73" i="2"/>
  <c r="AM73" i="2" s="1"/>
  <c r="AQ73" i="2" s="1"/>
  <c r="AK72" i="2"/>
  <c r="AK71" i="2"/>
  <c r="AK70" i="2"/>
  <c r="AK69" i="2"/>
  <c r="AM69" i="2" s="1"/>
  <c r="AQ69" i="2" s="1"/>
  <c r="AJ71" i="2"/>
  <c r="AJ72" i="2"/>
  <c r="AJ74" i="2"/>
  <c r="AJ75" i="2"/>
  <c r="AJ70" i="2"/>
  <c r="AM70" i="2"/>
  <c r="AM71" i="2"/>
  <c r="AQ71" i="2" s="1"/>
  <c r="AM72" i="2"/>
  <c r="AQ72" i="2" s="1"/>
  <c r="AM74" i="2"/>
  <c r="AQ74" i="2" s="1"/>
  <c r="AM75" i="2"/>
  <c r="AQ75" i="2" s="1"/>
  <c r="AM76" i="2"/>
  <c r="AQ76" i="2" s="1"/>
  <c r="AM77" i="2"/>
  <c r="AQ77" i="2"/>
  <c r="AM78" i="2"/>
  <c r="AQ78" i="2" s="1"/>
  <c r="AM79" i="2"/>
  <c r="AQ79" i="2"/>
  <c r="AM80" i="2"/>
  <c r="AQ80" i="2" s="1"/>
  <c r="AM81" i="2"/>
  <c r="AQ81" i="2"/>
  <c r="AM82" i="2"/>
  <c r="AQ82" i="2"/>
  <c r="AM83" i="2"/>
  <c r="AQ83" i="2"/>
  <c r="AM84" i="2"/>
  <c r="AQ84" i="2" s="1"/>
  <c r="AM85" i="2"/>
  <c r="AQ85" i="2"/>
  <c r="AM86" i="2"/>
  <c r="AQ86" i="2"/>
  <c r="AM87" i="2"/>
  <c r="AQ87" i="2" s="1"/>
  <c r="AM88" i="2"/>
  <c r="AQ88" i="2" s="1"/>
  <c r="AM89" i="2"/>
  <c r="AQ89" i="2"/>
  <c r="AM90" i="2"/>
  <c r="AQ90" i="2"/>
  <c r="AM91" i="2"/>
  <c r="AQ91" i="2"/>
  <c r="AM92" i="2"/>
  <c r="AQ92" i="2" s="1"/>
  <c r="AM93" i="2"/>
  <c r="AQ93" i="2"/>
  <c r="AM94" i="2"/>
  <c r="AQ94" i="2"/>
  <c r="AM95" i="2"/>
  <c r="AQ95" i="2" s="1"/>
  <c r="AM96" i="2"/>
  <c r="AQ96" i="2" s="1"/>
  <c r="AM97" i="2"/>
  <c r="AQ97" i="2"/>
  <c r="AM98" i="2"/>
  <c r="AQ98" i="2"/>
  <c r="AM99" i="2"/>
  <c r="AQ99" i="2"/>
  <c r="AM100" i="2"/>
  <c r="AQ100" i="2" s="1"/>
  <c r="AM101" i="2"/>
  <c r="AQ101" i="2"/>
  <c r="AM102" i="2"/>
  <c r="AQ102" i="2"/>
  <c r="AM103" i="2"/>
  <c r="AQ103" i="2" s="1"/>
  <c r="AM104" i="2"/>
  <c r="AQ104" i="2" s="1"/>
  <c r="AM105" i="2"/>
  <c r="AQ105" i="2"/>
  <c r="AM106" i="2"/>
  <c r="AQ106" i="2"/>
  <c r="AM107" i="2"/>
  <c r="AQ107" i="2"/>
  <c r="AQ108" i="2"/>
  <c r="AM109" i="2"/>
  <c r="AQ109" i="2" s="1"/>
  <c r="AQ110" i="2"/>
  <c r="AL112" i="2"/>
  <c r="AO112" i="2"/>
  <c r="Z81" i="2"/>
  <c r="AB81" i="2" s="1"/>
  <c r="AF81" i="2" s="1"/>
  <c r="Z80" i="2"/>
  <c r="Z79" i="2"/>
  <c r="AB79" i="2" s="1"/>
  <c r="AF79" i="2" s="1"/>
  <c r="Z78" i="2"/>
  <c r="Z77" i="2"/>
  <c r="Z76" i="2"/>
  <c r="Z75" i="2"/>
  <c r="Z74" i="2"/>
  <c r="Z73" i="2"/>
  <c r="Z72" i="2"/>
  <c r="AB72" i="2" s="1"/>
  <c r="AF72" i="2" s="1"/>
  <c r="Z71" i="2"/>
  <c r="Z70" i="2"/>
  <c r="AB70" i="2" s="1"/>
  <c r="AF70" i="2" s="1"/>
  <c r="Z69" i="2"/>
  <c r="Y71" i="2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AB69" i="2"/>
  <c r="AD112" i="2"/>
  <c r="Y70" i="2"/>
  <c r="AB71" i="2"/>
  <c r="AF71" i="2" s="1"/>
  <c r="AB73" i="2"/>
  <c r="AF73" i="2" s="1"/>
  <c r="AB74" i="2"/>
  <c r="AF74" i="2" s="1"/>
  <c r="AB75" i="2"/>
  <c r="AF75" i="2" s="1"/>
  <c r="AB76" i="2"/>
  <c r="AF76" i="2" s="1"/>
  <c r="AB77" i="2"/>
  <c r="AF77" i="2" s="1"/>
  <c r="AB78" i="2"/>
  <c r="AF78" i="2" s="1"/>
  <c r="AB80" i="2"/>
  <c r="AF80" i="2"/>
  <c r="AB82" i="2"/>
  <c r="AF82" i="2" s="1"/>
  <c r="AB83" i="2"/>
  <c r="AF83" i="2" s="1"/>
  <c r="AB84" i="2"/>
  <c r="AF84" i="2"/>
  <c r="AB85" i="2"/>
  <c r="AF85" i="2" s="1"/>
  <c r="AB86" i="2"/>
  <c r="AF86" i="2" s="1"/>
  <c r="AB87" i="2"/>
  <c r="AF87" i="2" s="1"/>
  <c r="AB88" i="2"/>
  <c r="AF88" i="2" s="1"/>
  <c r="AB89" i="2"/>
  <c r="AF89" i="2"/>
  <c r="AB90" i="2"/>
  <c r="AF90" i="2"/>
  <c r="AB91" i="2"/>
  <c r="AF91" i="2"/>
  <c r="AB92" i="2"/>
  <c r="AF92" i="2"/>
  <c r="AB93" i="2"/>
  <c r="AF93" i="2"/>
  <c r="AB94" i="2"/>
  <c r="AF94" i="2"/>
  <c r="AB95" i="2"/>
  <c r="AF95" i="2"/>
  <c r="AB96" i="2"/>
  <c r="AF96" i="2"/>
  <c r="AB97" i="2"/>
  <c r="AF97" i="2"/>
  <c r="AB98" i="2"/>
  <c r="AF98" i="2"/>
  <c r="AB99" i="2"/>
  <c r="AF99" i="2"/>
  <c r="AB100" i="2"/>
  <c r="AF100" i="2"/>
  <c r="AB101" i="2"/>
  <c r="AF101" i="2"/>
  <c r="AB102" i="2"/>
  <c r="AF102" i="2"/>
  <c r="AB103" i="2"/>
  <c r="AF103" i="2" s="1"/>
  <c r="AB104" i="2"/>
  <c r="AF104" i="2"/>
  <c r="AB105" i="2"/>
  <c r="AF105" i="2"/>
  <c r="AB106" i="2"/>
  <c r="AF106" i="2"/>
  <c r="AB107" i="2"/>
  <c r="AF107" i="2"/>
  <c r="AF108" i="2"/>
  <c r="AB109" i="2"/>
  <c r="AF109" i="2" s="1"/>
  <c r="AF110" i="2"/>
  <c r="AA112" i="2"/>
  <c r="AE112" i="2"/>
  <c r="O89" i="2"/>
  <c r="N89" i="2"/>
  <c r="O88" i="2"/>
  <c r="O87" i="2"/>
  <c r="Q87" i="2" s="1"/>
  <c r="U87" i="2" s="1"/>
  <c r="O86" i="2"/>
  <c r="O85" i="2"/>
  <c r="O84" i="2"/>
  <c r="Q84" i="2" s="1"/>
  <c r="U84" i="2" s="1"/>
  <c r="O83" i="2"/>
  <c r="O82" i="2"/>
  <c r="O81" i="2"/>
  <c r="O80" i="2"/>
  <c r="Q80" i="2"/>
  <c r="U80" i="2" s="1"/>
  <c r="O79" i="2"/>
  <c r="Q79" i="2" s="1"/>
  <c r="U79" i="2" s="1"/>
  <c r="O78" i="2"/>
  <c r="O77" i="2"/>
  <c r="O76" i="2"/>
  <c r="S75" i="2"/>
  <c r="O75" i="2"/>
  <c r="O74" i="2"/>
  <c r="O73" i="2"/>
  <c r="Q73" i="2" s="1"/>
  <c r="U73" i="2" s="1"/>
  <c r="O72" i="2"/>
  <c r="O71" i="2"/>
  <c r="Q71" i="2" s="1"/>
  <c r="U71" i="2" s="1"/>
  <c r="O70" i="2"/>
  <c r="T112" i="2"/>
  <c r="O69" i="2"/>
  <c r="N71" i="2"/>
  <c r="N72" i="2"/>
  <c r="N73" i="2"/>
  <c r="N74" i="2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69" i="2"/>
  <c r="Q69" i="2"/>
  <c r="N70" i="2"/>
  <c r="Q70" i="2"/>
  <c r="U70" i="2" s="1"/>
  <c r="Q72" i="2"/>
  <c r="U72" i="2" s="1"/>
  <c r="Q74" i="2"/>
  <c r="U74" i="2" s="1"/>
  <c r="Q75" i="2"/>
  <c r="U75" i="2" s="1"/>
  <c r="Q76" i="2"/>
  <c r="U76" i="2" s="1"/>
  <c r="Q77" i="2"/>
  <c r="U77" i="2" s="1"/>
  <c r="Q78" i="2"/>
  <c r="U78" i="2" s="1"/>
  <c r="Q81" i="2"/>
  <c r="U81" i="2" s="1"/>
  <c r="Q82" i="2"/>
  <c r="U82" i="2" s="1"/>
  <c r="Q83" i="2"/>
  <c r="U83" i="2" s="1"/>
  <c r="Q85" i="2"/>
  <c r="U85" i="2" s="1"/>
  <c r="Q86" i="2"/>
  <c r="U86" i="2" s="1"/>
  <c r="Q88" i="2"/>
  <c r="U88" i="2" s="1"/>
  <c r="Q89" i="2"/>
  <c r="U89" i="2" s="1"/>
  <c r="Q90" i="2"/>
  <c r="U90" i="2"/>
  <c r="Q91" i="2"/>
  <c r="U91" i="2" s="1"/>
  <c r="Q92" i="2"/>
  <c r="U92" i="2" s="1"/>
  <c r="Q93" i="2"/>
  <c r="U93" i="2"/>
  <c r="Q94" i="2"/>
  <c r="U94" i="2"/>
  <c r="Q95" i="2"/>
  <c r="U95" i="2" s="1"/>
  <c r="Q96" i="2"/>
  <c r="U96" i="2"/>
  <c r="Q97" i="2"/>
  <c r="U97" i="2" s="1"/>
  <c r="Q98" i="2"/>
  <c r="U98" i="2"/>
  <c r="Q99" i="2"/>
  <c r="U99" i="2" s="1"/>
  <c r="Q100" i="2"/>
  <c r="U100" i="2" s="1"/>
  <c r="Q101" i="2"/>
  <c r="U101" i="2"/>
  <c r="Q102" i="2"/>
  <c r="U102" i="2"/>
  <c r="Q103" i="2"/>
  <c r="U103" i="2" s="1"/>
  <c r="Q104" i="2"/>
  <c r="U104" i="2"/>
  <c r="Q105" i="2"/>
  <c r="U105" i="2" s="1"/>
  <c r="Q106" i="2"/>
  <c r="U106" i="2"/>
  <c r="Q107" i="2"/>
  <c r="U107" i="2" s="1"/>
  <c r="U108" i="2"/>
  <c r="Q109" i="2"/>
  <c r="U109" i="2" s="1"/>
  <c r="U110" i="2"/>
  <c r="P112" i="2"/>
  <c r="S112" i="2"/>
  <c r="D82" i="2"/>
  <c r="F82" i="2" s="1"/>
  <c r="J82" i="2" s="1"/>
  <c r="D81" i="2"/>
  <c r="D80" i="2"/>
  <c r="D79" i="2"/>
  <c r="D78" i="2"/>
  <c r="D77" i="2"/>
  <c r="D76" i="2"/>
  <c r="F76" i="2" s="1"/>
  <c r="J76" i="2" s="1"/>
  <c r="D75" i="2"/>
  <c r="D112" i="2" s="1"/>
  <c r="D74" i="2"/>
  <c r="F74" i="2" s="1"/>
  <c r="J74" i="2" s="1"/>
  <c r="D73" i="2"/>
  <c r="F73" i="2" s="1"/>
  <c r="J73" i="2" s="1"/>
  <c r="D72" i="2"/>
  <c r="F72" i="2" s="1"/>
  <c r="J72" i="2" s="1"/>
  <c r="I71" i="2"/>
  <c r="I112" i="2" s="1"/>
  <c r="D71" i="2"/>
  <c r="D70" i="2"/>
  <c r="D69" i="2"/>
  <c r="C71" i="2"/>
  <c r="C72" i="2" s="1"/>
  <c r="C73" i="2" s="1"/>
  <c r="C75" i="2" s="1"/>
  <c r="C76" i="2" s="1"/>
  <c r="C77" i="2" s="1"/>
  <c r="C78" i="2" s="1"/>
  <c r="C80" i="2" s="1"/>
  <c r="C81" i="2" s="1"/>
  <c r="F69" i="2"/>
  <c r="J69" i="2" s="1"/>
  <c r="C70" i="2"/>
  <c r="F70" i="2"/>
  <c r="J70" i="2"/>
  <c r="F71" i="2"/>
  <c r="F77" i="2"/>
  <c r="J77" i="2" s="1"/>
  <c r="F78" i="2"/>
  <c r="J78" i="2" s="1"/>
  <c r="F79" i="2"/>
  <c r="J79" i="2" s="1"/>
  <c r="F80" i="2"/>
  <c r="J80" i="2" s="1"/>
  <c r="F81" i="2"/>
  <c r="J81" i="2"/>
  <c r="F83" i="2"/>
  <c r="J83" i="2"/>
  <c r="F84" i="2"/>
  <c r="J84" i="2"/>
  <c r="F85" i="2"/>
  <c r="J85" i="2"/>
  <c r="F86" i="2"/>
  <c r="J86" i="2"/>
  <c r="F87" i="2"/>
  <c r="J87" i="2"/>
  <c r="F88" i="2"/>
  <c r="J88" i="2"/>
  <c r="F89" i="2"/>
  <c r="J89" i="2"/>
  <c r="F90" i="2"/>
  <c r="J90" i="2"/>
  <c r="F91" i="2"/>
  <c r="J91" i="2"/>
  <c r="F92" i="2"/>
  <c r="J92" i="2"/>
  <c r="F93" i="2"/>
  <c r="J93" i="2"/>
  <c r="F94" i="2"/>
  <c r="J94" i="2"/>
  <c r="F95" i="2"/>
  <c r="J95" i="2"/>
  <c r="F96" i="2"/>
  <c r="J96" i="2"/>
  <c r="F97" i="2"/>
  <c r="J97" i="2"/>
  <c r="F98" i="2"/>
  <c r="J98" i="2"/>
  <c r="F99" i="2"/>
  <c r="J99" i="2"/>
  <c r="F100" i="2"/>
  <c r="J100" i="2"/>
  <c r="F101" i="2"/>
  <c r="J101" i="2"/>
  <c r="F102" i="2"/>
  <c r="J102" i="2"/>
  <c r="F109" i="2"/>
  <c r="J109" i="2"/>
  <c r="E112" i="2"/>
  <c r="H112" i="2"/>
  <c r="Z31" i="2"/>
  <c r="Z30" i="2"/>
  <c r="AD29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AD12" i="2"/>
  <c r="Z12" i="2"/>
  <c r="Y14" i="2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N14" i="2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C14" i="2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D12" i="2"/>
  <c r="AB169" i="2" l="1"/>
  <c r="AQ70" i="2"/>
  <c r="AQ112" i="2" s="1"/>
  <c r="AM112" i="2"/>
  <c r="AK112" i="2"/>
  <c r="Z112" i="2"/>
  <c r="AF69" i="2"/>
  <c r="AF112" i="2" s="1"/>
  <c r="U69" i="2"/>
  <c r="U112" i="2" s="1"/>
  <c r="Q112" i="2"/>
  <c r="O112" i="2"/>
  <c r="F75" i="2"/>
  <c r="J75" i="2" s="1"/>
  <c r="J112" i="2" s="1"/>
  <c r="J71" i="2"/>
  <c r="F112" i="2"/>
  <c r="J23" i="1" l="1"/>
  <c r="D23" i="1" s="1"/>
  <c r="AB15" i="2" l="1"/>
  <c r="AF15" i="2" s="1"/>
  <c r="AB19" i="2"/>
  <c r="AF19" i="2" s="1"/>
  <c r="AB18" i="2"/>
  <c r="AF18" i="2" s="1"/>
  <c r="AB16" i="2"/>
  <c r="AF16" i="2" s="1"/>
  <c r="AB13" i="2"/>
  <c r="AF13" i="2" s="1"/>
  <c r="AB12" i="2"/>
  <c r="AE55" i="2"/>
  <c r="AA55" i="2"/>
  <c r="AF53" i="2"/>
  <c r="AB52" i="2"/>
  <c r="AF52" i="2" s="1"/>
  <c r="AF51" i="2"/>
  <c r="AF50" i="2"/>
  <c r="AB50" i="2"/>
  <c r="AB49" i="2"/>
  <c r="AF49" i="2" s="1"/>
  <c r="AB48" i="2"/>
  <c r="AF48" i="2" s="1"/>
  <c r="AB47" i="2"/>
  <c r="AF47" i="2" s="1"/>
  <c r="AB46" i="2"/>
  <c r="AF46" i="2" s="1"/>
  <c r="AB45" i="2"/>
  <c r="AF45" i="2" s="1"/>
  <c r="AB44" i="2"/>
  <c r="AF44" i="2" s="1"/>
  <c r="AB43" i="2"/>
  <c r="AF43" i="2" s="1"/>
  <c r="AB42" i="2"/>
  <c r="AF42" i="2" s="1"/>
  <c r="AB41" i="2"/>
  <c r="AF41" i="2" s="1"/>
  <c r="AB40" i="2"/>
  <c r="AF40" i="2" s="1"/>
  <c r="AB39" i="2"/>
  <c r="AF39" i="2" s="1"/>
  <c r="AB38" i="2"/>
  <c r="AF38" i="2" s="1"/>
  <c r="AB37" i="2"/>
  <c r="AF37" i="2" s="1"/>
  <c r="AB36" i="2"/>
  <c r="AF36" i="2" s="1"/>
  <c r="AB35" i="2"/>
  <c r="AF35" i="2" s="1"/>
  <c r="AB34" i="2"/>
  <c r="AF34" i="2" s="1"/>
  <c r="AB33" i="2"/>
  <c r="AF33" i="2" s="1"/>
  <c r="AB32" i="2"/>
  <c r="AF32" i="2" s="1"/>
  <c r="AB31" i="2"/>
  <c r="AF31" i="2" s="1"/>
  <c r="AB30" i="2"/>
  <c r="AF30" i="2" s="1"/>
  <c r="AB29" i="2"/>
  <c r="AF29" i="2" s="1"/>
  <c r="AB28" i="2"/>
  <c r="AF28" i="2" s="1"/>
  <c r="AB27" i="2"/>
  <c r="AF27" i="2" s="1"/>
  <c r="AB26" i="2"/>
  <c r="AF26" i="2" s="1"/>
  <c r="AB25" i="2"/>
  <c r="AF25" i="2" s="1"/>
  <c r="AB24" i="2"/>
  <c r="AF24" i="2" s="1"/>
  <c r="AB23" i="2"/>
  <c r="AF23" i="2" s="1"/>
  <c r="AB22" i="2"/>
  <c r="AF22" i="2" s="1"/>
  <c r="AB21" i="2"/>
  <c r="AF21" i="2" s="1"/>
  <c r="AB20" i="2"/>
  <c r="AF20" i="2" s="1"/>
  <c r="AB17" i="2"/>
  <c r="AF17" i="2" s="1"/>
  <c r="AB14" i="2"/>
  <c r="Y13" i="2"/>
  <c r="J16" i="1"/>
  <c r="T55" i="2"/>
  <c r="Q17" i="2"/>
  <c r="U17" i="2" s="1"/>
  <c r="Q16" i="2"/>
  <c r="U16" i="2" s="1"/>
  <c r="Q14" i="2"/>
  <c r="U14" i="2" s="1"/>
  <c r="Q12" i="2"/>
  <c r="U12" i="2" s="1"/>
  <c r="N13" i="2"/>
  <c r="Q13" i="2"/>
  <c r="U13" i="2" s="1"/>
  <c r="Q18" i="2"/>
  <c r="U18" i="2" s="1"/>
  <c r="Q19" i="2"/>
  <c r="U19" i="2" s="1"/>
  <c r="Q20" i="2"/>
  <c r="U20" i="2" s="1"/>
  <c r="Q21" i="2"/>
  <c r="U21" i="2" s="1"/>
  <c r="Q22" i="2"/>
  <c r="U22" i="2" s="1"/>
  <c r="Q23" i="2"/>
  <c r="U23" i="2" s="1"/>
  <c r="Q24" i="2"/>
  <c r="U24" i="2" s="1"/>
  <c r="Q25" i="2"/>
  <c r="U25" i="2" s="1"/>
  <c r="Q26" i="2"/>
  <c r="U26" i="2" s="1"/>
  <c r="Q27" i="2"/>
  <c r="U27" i="2"/>
  <c r="Q28" i="2"/>
  <c r="U28" i="2" s="1"/>
  <c r="Q29" i="2"/>
  <c r="U29" i="2" s="1"/>
  <c r="Q30" i="2"/>
  <c r="U30" i="2" s="1"/>
  <c r="Q31" i="2"/>
  <c r="U31" i="2" s="1"/>
  <c r="Q32" i="2"/>
  <c r="U32" i="2"/>
  <c r="Q33" i="2"/>
  <c r="U33" i="2"/>
  <c r="Q34" i="2"/>
  <c r="U34" i="2" s="1"/>
  <c r="Q35" i="2"/>
  <c r="U35" i="2"/>
  <c r="Q36" i="2"/>
  <c r="U36" i="2" s="1"/>
  <c r="Q37" i="2"/>
  <c r="U37" i="2"/>
  <c r="Q38" i="2"/>
  <c r="U38" i="2" s="1"/>
  <c r="Q39" i="2"/>
  <c r="U39" i="2" s="1"/>
  <c r="Q40" i="2"/>
  <c r="U40" i="2"/>
  <c r="Q41" i="2"/>
  <c r="U41" i="2"/>
  <c r="Q42" i="2"/>
  <c r="U42" i="2" s="1"/>
  <c r="Q43" i="2"/>
  <c r="U43" i="2" s="1"/>
  <c r="Q44" i="2"/>
  <c r="U44" i="2" s="1"/>
  <c r="Q45" i="2"/>
  <c r="U45" i="2" s="1"/>
  <c r="Q46" i="2"/>
  <c r="U46" i="2" s="1"/>
  <c r="Q47" i="2"/>
  <c r="U47" i="2" s="1"/>
  <c r="Q48" i="2"/>
  <c r="U48" i="2" s="1"/>
  <c r="Q49" i="2"/>
  <c r="U49" i="2" s="1"/>
  <c r="Q50" i="2"/>
  <c r="U50" i="2" s="1"/>
  <c r="U51" i="2"/>
  <c r="Q52" i="2"/>
  <c r="U52" i="2"/>
  <c r="U53" i="2"/>
  <c r="P55" i="2"/>
  <c r="S55" i="2"/>
  <c r="F35" i="2"/>
  <c r="J35" i="2" s="1"/>
  <c r="F34" i="2"/>
  <c r="J34" i="2" s="1"/>
  <c r="F33" i="2"/>
  <c r="J33" i="2" s="1"/>
  <c r="F28" i="2"/>
  <c r="J28" i="2" s="1"/>
  <c r="F27" i="2"/>
  <c r="J27" i="2" s="1"/>
  <c r="F26" i="2"/>
  <c r="J26" i="2" s="1"/>
  <c r="F25" i="2"/>
  <c r="J25" i="2" s="1"/>
  <c r="F24" i="2"/>
  <c r="J24" i="2" s="1"/>
  <c r="F23" i="2"/>
  <c r="J23" i="2" s="1"/>
  <c r="F22" i="2"/>
  <c r="J22" i="2" s="1"/>
  <c r="F21" i="2"/>
  <c r="J21" i="2" s="1"/>
  <c r="F20" i="2"/>
  <c r="J20" i="2" s="1"/>
  <c r="F19" i="2"/>
  <c r="J19" i="2" s="1"/>
  <c r="F18" i="2"/>
  <c r="J18" i="2" s="1"/>
  <c r="F17" i="2"/>
  <c r="J17" i="2" s="1"/>
  <c r="F14" i="2"/>
  <c r="J14" i="2" s="1"/>
  <c r="C13" i="2"/>
  <c r="F12" i="2"/>
  <c r="J12" i="2" s="1"/>
  <c r="F13" i="2"/>
  <c r="J13" i="2" s="1"/>
  <c r="F15" i="2"/>
  <c r="J15" i="2" s="1"/>
  <c r="F16" i="2"/>
  <c r="J16" i="2" s="1"/>
  <c r="F29" i="2"/>
  <c r="J29" i="2" s="1"/>
  <c r="F30" i="2"/>
  <c r="J30" i="2" s="1"/>
  <c r="F31" i="2"/>
  <c r="J31" i="2"/>
  <c r="F32" i="2"/>
  <c r="J32" i="2" s="1"/>
  <c r="F36" i="2"/>
  <c r="J36" i="2" s="1"/>
  <c r="F37" i="2"/>
  <c r="J37" i="2"/>
  <c r="F38" i="2"/>
  <c r="J38" i="2"/>
  <c r="F39" i="2"/>
  <c r="J39" i="2" s="1"/>
  <c r="F40" i="2"/>
  <c r="J40" i="2" s="1"/>
  <c r="F41" i="2"/>
  <c r="J41" i="2" s="1"/>
  <c r="F42" i="2"/>
  <c r="J42" i="2" s="1"/>
  <c r="F43" i="2"/>
  <c r="J43" i="2"/>
  <c r="F44" i="2"/>
  <c r="J44" i="2" s="1"/>
  <c r="F45" i="2"/>
  <c r="J45" i="2" s="1"/>
  <c r="F52" i="2"/>
  <c r="J52" i="2"/>
  <c r="E55" i="2"/>
  <c r="H55" i="2"/>
  <c r="I55" i="2"/>
  <c r="O55" i="2" l="1"/>
  <c r="Q15" i="2"/>
  <c r="U15" i="2" s="1"/>
  <c r="U55" i="2" s="1"/>
  <c r="AF14" i="2"/>
  <c r="Z55" i="2"/>
  <c r="AD55" i="2"/>
  <c r="AB55" i="2"/>
  <c r="AF12" i="2"/>
  <c r="D55" i="2"/>
  <c r="F55" i="2"/>
  <c r="J55" i="2"/>
  <c r="AF55" i="2" l="1"/>
  <c r="Q55" i="2"/>
  <c r="D16" i="1"/>
  <c r="J18" i="1" l="1"/>
  <c r="D18" i="1" s="1"/>
  <c r="J19" i="1"/>
  <c r="D19" i="1" s="1"/>
  <c r="J21" i="1"/>
  <c r="D21" i="1" s="1"/>
  <c r="J22" i="1"/>
  <c r="D22" i="1" s="1"/>
  <c r="J12" i="1"/>
  <c r="D12" i="1" s="1"/>
  <c r="D14" i="1"/>
  <c r="J15" i="1"/>
  <c r="D15" i="1" s="1"/>
  <c r="J11" i="1" l="1"/>
  <c r="D11" i="1" s="1"/>
  <c r="J42" i="1" l="1"/>
  <c r="D42" i="1" l="1"/>
</calcChain>
</file>

<file path=xl/sharedStrings.xml><?xml version="1.0" encoding="utf-8"?>
<sst xmlns="http://schemas.openxmlformats.org/spreadsheetml/2006/main" count="1597" uniqueCount="101">
  <si>
    <t>GUILLERMO BEVERAGE DISTRIBUTION SERVICES</t>
  </si>
  <si>
    <t>MONTHLY SALES INVOICES SUMMARY</t>
  </si>
  <si>
    <t>SALES INVOICE NO.</t>
  </si>
  <si>
    <t>AMOUNT SOLD</t>
  </si>
  <si>
    <t>FRI</t>
  </si>
  <si>
    <t>SAT</t>
  </si>
  <si>
    <t>SUN</t>
  </si>
  <si>
    <t>MON</t>
  </si>
  <si>
    <t>TUE</t>
  </si>
  <si>
    <t>WED</t>
  </si>
  <si>
    <t>TOTAL MONTHLY SALES:</t>
  </si>
  <si>
    <t>R1</t>
  </si>
  <si>
    <t>R2</t>
  </si>
  <si>
    <t>R3</t>
  </si>
  <si>
    <t>TOTAL</t>
  </si>
  <si>
    <t>DAILY SALES INVOICES SUMMARY</t>
  </si>
  <si>
    <t>ROUTE NO. :</t>
  </si>
  <si>
    <t>DSP                  :</t>
  </si>
  <si>
    <t>CONTENTS  DELIVERED</t>
  </si>
  <si>
    <t>EXTRA  CONTAINERS</t>
  </si>
  <si>
    <t>TOTAL AMOUNT</t>
  </si>
  <si>
    <t>DATE</t>
  </si>
  <si>
    <t>S.I. NO.</t>
  </si>
  <si>
    <t>AMOUNT</t>
  </si>
  <si>
    <t xml:space="preserve"> -DISCOUNT</t>
  </si>
  <si>
    <t>AMOUNT DUE</t>
  </si>
  <si>
    <t xml:space="preserve">  +        DELIVERED </t>
  </si>
  <si>
    <t xml:space="preserve">  -       RETURNED</t>
  </si>
  <si>
    <t>*****Nothing Follows*****</t>
  </si>
  <si>
    <t>DINOY, CHRISTINE F.</t>
  </si>
  <si>
    <t>TIN 166-562-025-00005</t>
  </si>
  <si>
    <t>SUNDAY</t>
  </si>
  <si>
    <t>MONDAY</t>
  </si>
  <si>
    <t>THUR</t>
  </si>
  <si>
    <t>TOPEZ, FERMIN</t>
  </si>
  <si>
    <t>TUESDAY</t>
  </si>
  <si>
    <t>WEDNESDAY</t>
  </si>
  <si>
    <t>THURSDAY</t>
  </si>
  <si>
    <t>FRIDAY</t>
  </si>
  <si>
    <t>SATURDAY</t>
  </si>
  <si>
    <t>R4</t>
  </si>
  <si>
    <t>JANUARY 2025</t>
  </si>
  <si>
    <t>JANUARY 02. 2025</t>
  </si>
  <si>
    <t>DACULA, PAQUITO</t>
  </si>
  <si>
    <t>GICA, GRACE</t>
  </si>
  <si>
    <t>JANUARY 03. 2025</t>
  </si>
  <si>
    <t>DINOY, CHRISTINE</t>
  </si>
  <si>
    <t>DANDAYO, RONNEL</t>
  </si>
  <si>
    <t>6854-6867/6951-6971/6925-6944</t>
  </si>
  <si>
    <t>6396-6400,6946-6950,7051-7054/6644-6664/6869-6881</t>
  </si>
  <si>
    <t>JANUARY 04. 2025</t>
  </si>
  <si>
    <t>7055-7062/6986-6992/7004-7007</t>
  </si>
  <si>
    <t>JANUARY 06. 2025</t>
  </si>
  <si>
    <t>ESPIGA, JESIL</t>
  </si>
  <si>
    <t>7064-7088/6993-7169/7008-7012/6753-6754</t>
  </si>
  <si>
    <t>JANUARY 07, 2025</t>
  </si>
  <si>
    <t>7089-7100/7170-7197/7013-7018</t>
  </si>
  <si>
    <t>JANUARY 08, 2025</t>
  </si>
  <si>
    <t>7268-7285/7198-7204/7019-7028</t>
  </si>
  <si>
    <t>JANUARY 09, 2025</t>
  </si>
  <si>
    <t>7286-7295/7306-7332/7029-7042</t>
  </si>
  <si>
    <t>JANUARY 10, 2025</t>
  </si>
  <si>
    <t>7296-7315/7043-7048/7334-7360</t>
  </si>
  <si>
    <t>JANUARY 13, 2025</t>
  </si>
  <si>
    <t>JANUARY 11, 2025</t>
  </si>
  <si>
    <t>7451,7415-7450/7361-7376/7049-7108</t>
  </si>
  <si>
    <t>7452-7470/7377-7400/7109-7116</t>
  </si>
  <si>
    <t>JANUARY 14, 2025</t>
  </si>
  <si>
    <t>GICA, GRACE B.</t>
  </si>
  <si>
    <t>7471-7494/7201-7214/7501-7505</t>
  </si>
  <si>
    <t>JANUARY 15, 2025</t>
  </si>
  <si>
    <t>7551-7582/7601-7607/7117-7126</t>
  </si>
  <si>
    <t>JANUARY 16, 2025</t>
  </si>
  <si>
    <t>7583-7595/7608-7622/7127-7147</t>
  </si>
  <si>
    <t>JANUARY 17, 2025</t>
  </si>
  <si>
    <t>7596-7611/7506-7544/7148-7153</t>
  </si>
  <si>
    <t>JANUARY 18, 2025</t>
  </si>
  <si>
    <t>6760-6780/7623-7638/6885-6892</t>
  </si>
  <si>
    <t>JANUARY 20, 2025</t>
  </si>
  <si>
    <t>6780-6799/7639-7650/6893-6903</t>
  </si>
  <si>
    <t>JANUARY 21, 2025</t>
  </si>
  <si>
    <t>7751-7766/7215-7234/7654-7677</t>
  </si>
  <si>
    <t>JANUARY 22, 2025</t>
  </si>
  <si>
    <t>7767-7793/7235-7262/7678-7687</t>
  </si>
  <si>
    <t>JANUARY 23, 2025</t>
  </si>
  <si>
    <t>7794-7803/6714-6737/7801-7809</t>
  </si>
  <si>
    <t>JANUARY 24, 2025</t>
  </si>
  <si>
    <t>7704-7718/6738-6763/7810-7815</t>
  </si>
  <si>
    <t>JANUARY 25, 2025</t>
  </si>
  <si>
    <t>7951-7968/7914-7937/7545-7550,7719-7733</t>
  </si>
  <si>
    <t>JANUARY 27, 2025</t>
  </si>
  <si>
    <t>DANDAYO, RONEL</t>
  </si>
  <si>
    <t>7969-7984/7938-7950/7688-7693</t>
  </si>
  <si>
    <t>JANUARY 28, 2025</t>
  </si>
  <si>
    <t>7985-8000,7851-7856/9551-9574/7695-7697,7816-7818</t>
  </si>
  <si>
    <t>JANUARY 29, 2025</t>
  </si>
  <si>
    <t>7857-7852/9575-9580/7698-7829</t>
  </si>
  <si>
    <t>JANUARY 30, 2025</t>
  </si>
  <si>
    <t>7734-7746/9581-9600,9651-9654/7830-7827</t>
  </si>
  <si>
    <t>JANUARY 31, 2025</t>
  </si>
  <si>
    <t>7748-7757/9601-9637/7842-7850,9701-9702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</si>
</sst>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0" fontId="2" fillId="0" borderId="1" xfId="0" applyFont="1" applyBorder="1" applyAlignment="1">
      <alignment horizontal="left"/>
    </xf>
    <xf numFmtId="4" fontId="0" fillId="0" borderId="0" xfId="0" applyNumberFormat="1"/>
    <xf numFmtId="4" fontId="5" fillId="0" borderId="0" xfId="1" applyNumberFormat="1" applyFont="1" applyBorder="1"/>
    <xf numFmtId="4" fontId="0" fillId="0" borderId="1" xfId="0" applyNumberFormat="1" applyFont="1" applyBorder="1" applyAlignment="1"/>
    <xf numFmtId="4" fontId="0" fillId="3" borderId="0" xfId="0" applyNumberFormat="1" applyFill="1"/>
    <xf numFmtId="0" fontId="0" fillId="6" borderId="0" xfId="0" applyFill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5" xfId="0" applyNumberFormat="1" applyFont="1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9" xfId="0" applyFill="1" applyBorder="1" applyAlignment="1">
      <alignment horizontal="center" wrapText="1"/>
    </xf>
    <xf numFmtId="0" fontId="0" fillId="4" borderId="9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0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3" fillId="5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3" fillId="7" borderId="0" xfId="0" applyNumberFormat="1" applyFont="1" applyFill="1"/>
    <xf numFmtId="164" fontId="0" fillId="0" borderId="0" xfId="0" applyNumberFormat="1" applyAlignment="1">
      <alignment horizontal="center"/>
    </xf>
    <xf numFmtId="4" fontId="0" fillId="0" borderId="1" xfId="1" applyNumberFormat="1" applyFont="1" applyBorder="1" applyAlignment="1">
      <alignment horizontal="right"/>
    </xf>
    <xf numFmtId="0" fontId="0" fillId="0" borderId="1" xfId="0" applyFont="1" applyBorder="1" applyAlignment="1"/>
    <xf numFmtId="43" fontId="2" fillId="0" borderId="1" xfId="1" applyFon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4" fontId="0" fillId="0" borderId="1" xfId="0" applyNumberFormat="1" applyBorder="1" applyAlignment="1"/>
    <xf numFmtId="43" fontId="3" fillId="5" borderId="1" xfId="1" applyFont="1" applyFill="1" applyBorder="1"/>
    <xf numFmtId="4" fontId="8" fillId="5" borderId="0" xfId="0" applyNumberFormat="1" applyFont="1" applyFill="1"/>
    <xf numFmtId="0" fontId="6" fillId="0" borderId="0" xfId="0" applyFont="1" applyFill="1"/>
    <xf numFmtId="4" fontId="0" fillId="0" borderId="0" xfId="0" applyNumberForma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43" fontId="10" fillId="0" borderId="1" xfId="1" applyFont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3" fontId="0" fillId="0" borderId="10" xfId="1" applyFont="1" applyFill="1" applyBorder="1"/>
    <xf numFmtId="4" fontId="0" fillId="8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4" fillId="0" borderId="0" xfId="0" applyNumberFormat="1" applyFont="1" applyAlignment="1">
      <alignment horizontal="left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C5A-C2AE-40FC-B67D-96CF2C50A498}">
  <dimension ref="A1:J42"/>
  <sheetViews>
    <sheetView zoomScaleNormal="100" workbookViewId="0">
      <selection activeCell="H39" sqref="H39"/>
    </sheetView>
  </sheetViews>
  <sheetFormatPr defaultRowHeight="15" x14ac:dyDescent="0.25"/>
  <cols>
    <col min="2" max="2" width="15.7109375" customWidth="1"/>
    <col min="3" max="3" width="52.85546875" bestFit="1" customWidth="1"/>
    <col min="4" max="4" width="26.42578125" customWidth="1"/>
    <col min="5" max="5" width="2.7109375" customWidth="1"/>
    <col min="6" max="6" width="12.7109375" bestFit="1" customWidth="1"/>
    <col min="7" max="7" width="11.5703125" bestFit="1" customWidth="1"/>
    <col min="8" max="8" width="12.28515625" bestFit="1" customWidth="1"/>
    <col min="9" max="9" width="12.28515625" customWidth="1"/>
    <col min="10" max="10" width="12.7109375" bestFit="1" customWidth="1"/>
  </cols>
  <sheetData>
    <row r="1" spans="1:10" x14ac:dyDescent="0.25">
      <c r="A1" s="1" t="s">
        <v>0</v>
      </c>
      <c r="B1" s="1"/>
      <c r="C1" s="2"/>
    </row>
    <row r="2" spans="1:10" x14ac:dyDescent="0.25">
      <c r="A2" t="s">
        <v>30</v>
      </c>
      <c r="C2" s="3"/>
    </row>
    <row r="3" spans="1:10" x14ac:dyDescent="0.25">
      <c r="C3" s="3"/>
    </row>
    <row r="4" spans="1:10" x14ac:dyDescent="0.25">
      <c r="A4" s="4" t="s">
        <v>1</v>
      </c>
      <c r="B4" s="4"/>
      <c r="C4" s="3"/>
    </row>
    <row r="5" spans="1:10" x14ac:dyDescent="0.25">
      <c r="C5" s="3"/>
    </row>
    <row r="6" spans="1:10" x14ac:dyDescent="0.25">
      <c r="A6" s="71" t="s">
        <v>41</v>
      </c>
      <c r="B6" s="71"/>
      <c r="C6" s="3"/>
    </row>
    <row r="7" spans="1:10" x14ac:dyDescent="0.25">
      <c r="A7" s="5"/>
      <c r="B7" s="5"/>
      <c r="C7" s="3"/>
    </row>
    <row r="8" spans="1:10" ht="15.75" x14ac:dyDescent="0.25">
      <c r="C8" s="6"/>
      <c r="D8" s="7"/>
      <c r="F8" s="56" t="s">
        <v>11</v>
      </c>
      <c r="G8" s="56" t="s">
        <v>12</v>
      </c>
      <c r="H8" s="56" t="s">
        <v>13</v>
      </c>
      <c r="I8" s="56" t="s">
        <v>40</v>
      </c>
      <c r="J8" s="57" t="s">
        <v>14</v>
      </c>
    </row>
    <row r="9" spans="1:10" x14ac:dyDescent="0.25">
      <c r="C9" s="8" t="s">
        <v>2</v>
      </c>
      <c r="D9" s="9" t="s">
        <v>3</v>
      </c>
      <c r="J9" s="54"/>
    </row>
    <row r="10" spans="1:10" x14ac:dyDescent="0.25">
      <c r="A10" s="10">
        <v>2</v>
      </c>
      <c r="B10" s="61" t="s">
        <v>33</v>
      </c>
      <c r="C10" s="12" t="s">
        <v>48</v>
      </c>
      <c r="D10" s="16">
        <f>J10</f>
        <v>638037</v>
      </c>
      <c r="F10" s="14">
        <v>189649.5</v>
      </c>
      <c r="G10" s="14">
        <v>113902</v>
      </c>
      <c r="H10" s="14">
        <v>334485.5</v>
      </c>
      <c r="I10" s="14"/>
      <c r="J10" s="17">
        <f t="shared" ref="J10:J19" si="0">F10+G10+H10</f>
        <v>638037</v>
      </c>
    </row>
    <row r="11" spans="1:10" x14ac:dyDescent="0.25">
      <c r="A11" s="10">
        <f>A10+1</f>
        <v>3</v>
      </c>
      <c r="B11" s="11" t="s">
        <v>4</v>
      </c>
      <c r="C11" s="12" t="s">
        <v>49</v>
      </c>
      <c r="D11" s="16">
        <f>J11</f>
        <v>679058.5</v>
      </c>
      <c r="F11" s="14">
        <v>192787.5</v>
      </c>
      <c r="G11" s="14">
        <v>204933</v>
      </c>
      <c r="H11" s="14">
        <v>281338</v>
      </c>
      <c r="I11" s="14">
        <v>308791</v>
      </c>
      <c r="J11" s="17">
        <f t="shared" si="0"/>
        <v>679058.5</v>
      </c>
    </row>
    <row r="12" spans="1:10" x14ac:dyDescent="0.25">
      <c r="A12" s="10">
        <f t="shared" ref="A12:A40" si="1">A11+1</f>
        <v>4</v>
      </c>
      <c r="B12" s="60" t="s">
        <v>5</v>
      </c>
      <c r="C12" s="62" t="s">
        <v>51</v>
      </c>
      <c r="D12" s="16">
        <f t="shared" ref="D12:D26" si="2">J12</f>
        <v>1116974.5</v>
      </c>
      <c r="F12" s="14">
        <v>358766</v>
      </c>
      <c r="G12" s="14">
        <v>437121.5</v>
      </c>
      <c r="H12" s="14">
        <v>321087</v>
      </c>
      <c r="I12" s="14"/>
      <c r="J12" s="17">
        <f t="shared" si="0"/>
        <v>1116974.5</v>
      </c>
    </row>
    <row r="13" spans="1:10" x14ac:dyDescent="0.25">
      <c r="A13" s="10">
        <f t="shared" si="1"/>
        <v>5</v>
      </c>
      <c r="B13" s="13" t="s">
        <v>6</v>
      </c>
      <c r="C13" s="48" t="s">
        <v>31</v>
      </c>
      <c r="D13" s="59" t="s">
        <v>31</v>
      </c>
      <c r="F13" s="14"/>
      <c r="G13" s="14"/>
      <c r="H13" s="14"/>
      <c r="I13" s="14"/>
      <c r="J13" s="67"/>
    </row>
    <row r="14" spans="1:10" x14ac:dyDescent="0.25">
      <c r="A14" s="10">
        <f t="shared" si="1"/>
        <v>6</v>
      </c>
      <c r="B14" s="11" t="s">
        <v>7</v>
      </c>
      <c r="C14" s="12" t="s">
        <v>54</v>
      </c>
      <c r="D14" s="16">
        <f t="shared" si="2"/>
        <v>713101</v>
      </c>
      <c r="F14" s="14">
        <v>274566.5</v>
      </c>
      <c r="G14" s="14">
        <v>137973.5</v>
      </c>
      <c r="H14" s="14">
        <v>294701</v>
      </c>
      <c r="I14" s="14">
        <v>5860</v>
      </c>
      <c r="J14" s="17">
        <f>F14+G14+H14+I14</f>
        <v>713101</v>
      </c>
    </row>
    <row r="15" spans="1:10" x14ac:dyDescent="0.25">
      <c r="A15" s="10">
        <f t="shared" si="1"/>
        <v>7</v>
      </c>
      <c r="B15" s="47" t="s">
        <v>8</v>
      </c>
      <c r="C15" s="12" t="s">
        <v>56</v>
      </c>
      <c r="D15" s="16">
        <f t="shared" si="2"/>
        <v>922430.5</v>
      </c>
      <c r="F15" s="14">
        <v>191423</v>
      </c>
      <c r="G15" s="14">
        <v>225894</v>
      </c>
      <c r="H15" s="14">
        <v>505113.5</v>
      </c>
      <c r="I15" s="14"/>
      <c r="J15" s="17">
        <f t="shared" si="0"/>
        <v>922430.5</v>
      </c>
    </row>
    <row r="16" spans="1:10" x14ac:dyDescent="0.25">
      <c r="A16" s="10">
        <f t="shared" si="1"/>
        <v>8</v>
      </c>
      <c r="B16" s="61" t="s">
        <v>9</v>
      </c>
      <c r="C16" s="62" t="s">
        <v>58</v>
      </c>
      <c r="D16" s="16">
        <f t="shared" si="2"/>
        <v>694733</v>
      </c>
      <c r="F16" s="14">
        <v>239712.5</v>
      </c>
      <c r="G16" s="14">
        <v>224659</v>
      </c>
      <c r="H16" s="14">
        <v>230361.5</v>
      </c>
      <c r="I16" s="14"/>
      <c r="J16" s="17">
        <f t="shared" si="0"/>
        <v>694733</v>
      </c>
    </row>
    <row r="17" spans="1:10" x14ac:dyDescent="0.25">
      <c r="A17" s="10">
        <f t="shared" si="1"/>
        <v>9</v>
      </c>
      <c r="B17" s="11" t="s">
        <v>33</v>
      </c>
      <c r="C17" s="12" t="s">
        <v>60</v>
      </c>
      <c r="D17" s="16">
        <f t="shared" si="2"/>
        <v>518922.5</v>
      </c>
      <c r="F17" s="14">
        <v>172366.5</v>
      </c>
      <c r="G17" s="14">
        <v>135760.5</v>
      </c>
      <c r="H17" s="14">
        <v>210795.5</v>
      </c>
      <c r="I17" s="14"/>
      <c r="J17" s="17">
        <f t="shared" si="0"/>
        <v>518922.5</v>
      </c>
    </row>
    <row r="18" spans="1:10" x14ac:dyDescent="0.25">
      <c r="A18" s="10">
        <f t="shared" si="1"/>
        <v>10</v>
      </c>
      <c r="B18" s="47" t="s">
        <v>4</v>
      </c>
      <c r="C18" s="12" t="s">
        <v>62</v>
      </c>
      <c r="D18" s="16">
        <f t="shared" si="2"/>
        <v>829676.5</v>
      </c>
      <c r="F18" s="14">
        <v>347142.5</v>
      </c>
      <c r="G18" s="14">
        <v>291826.5</v>
      </c>
      <c r="H18" s="14">
        <v>190707.5</v>
      </c>
      <c r="I18" s="14"/>
      <c r="J18" s="17">
        <f t="shared" si="0"/>
        <v>829676.5</v>
      </c>
    </row>
    <row r="19" spans="1:10" x14ac:dyDescent="0.25">
      <c r="A19" s="10">
        <f t="shared" si="1"/>
        <v>11</v>
      </c>
      <c r="B19" s="61" t="s">
        <v>5</v>
      </c>
      <c r="C19" s="62" t="s">
        <v>65</v>
      </c>
      <c r="D19" s="16">
        <f t="shared" si="2"/>
        <v>767998.5</v>
      </c>
      <c r="F19" s="14">
        <v>311376</v>
      </c>
      <c r="G19" s="14">
        <v>216724</v>
      </c>
      <c r="H19" s="14">
        <v>239898.5</v>
      </c>
      <c r="I19" s="14"/>
      <c r="J19" s="17">
        <f t="shared" si="0"/>
        <v>767998.5</v>
      </c>
    </row>
    <row r="20" spans="1:10" x14ac:dyDescent="0.25">
      <c r="A20" s="10">
        <f t="shared" si="1"/>
        <v>12</v>
      </c>
      <c r="B20" s="13" t="s">
        <v>6</v>
      </c>
      <c r="C20" s="48" t="s">
        <v>31</v>
      </c>
      <c r="D20" s="59" t="s">
        <v>31</v>
      </c>
      <c r="F20" s="14"/>
      <c r="G20" s="14"/>
      <c r="H20" s="14"/>
      <c r="I20" s="14"/>
      <c r="J20" s="67"/>
    </row>
    <row r="21" spans="1:10" x14ac:dyDescent="0.25">
      <c r="A21" s="10">
        <f t="shared" si="1"/>
        <v>13</v>
      </c>
      <c r="B21" s="11" t="s">
        <v>7</v>
      </c>
      <c r="C21" s="12" t="s">
        <v>66</v>
      </c>
      <c r="D21" s="16">
        <f t="shared" si="2"/>
        <v>729840</v>
      </c>
      <c r="F21" s="14">
        <v>251695.5</v>
      </c>
      <c r="G21" s="14">
        <v>240038.5</v>
      </c>
      <c r="H21" s="14">
        <v>238106</v>
      </c>
      <c r="I21" s="14"/>
      <c r="J21" s="17">
        <f>F21+G21+H21</f>
        <v>729840</v>
      </c>
    </row>
    <row r="22" spans="1:10" x14ac:dyDescent="0.25">
      <c r="A22" s="10">
        <f t="shared" si="1"/>
        <v>14</v>
      </c>
      <c r="B22" s="47" t="s">
        <v>8</v>
      </c>
      <c r="C22" s="12" t="s">
        <v>69</v>
      </c>
      <c r="D22" s="16">
        <f t="shared" si="2"/>
        <v>947169.5</v>
      </c>
      <c r="F22" s="14">
        <v>221563</v>
      </c>
      <c r="G22" s="14">
        <v>319361.5</v>
      </c>
      <c r="H22" s="14">
        <v>406245</v>
      </c>
      <c r="I22" s="14"/>
      <c r="J22" s="17">
        <f>F22+G22+H22</f>
        <v>947169.5</v>
      </c>
    </row>
    <row r="23" spans="1:10" x14ac:dyDescent="0.25">
      <c r="A23" s="10">
        <f t="shared" si="1"/>
        <v>15</v>
      </c>
      <c r="B23" s="61" t="s">
        <v>9</v>
      </c>
      <c r="C23" s="62" t="s">
        <v>71</v>
      </c>
      <c r="D23" s="16">
        <f t="shared" si="2"/>
        <v>800187</v>
      </c>
      <c r="F23" s="14">
        <v>266592</v>
      </c>
      <c r="G23" s="14">
        <v>276499</v>
      </c>
      <c r="H23" s="14">
        <v>257096</v>
      </c>
      <c r="I23" s="14"/>
      <c r="J23" s="17">
        <f>F23+G23+H23</f>
        <v>800187</v>
      </c>
    </row>
    <row r="24" spans="1:10" x14ac:dyDescent="0.25">
      <c r="A24" s="10">
        <f t="shared" si="1"/>
        <v>16</v>
      </c>
      <c r="B24" s="11" t="s">
        <v>33</v>
      </c>
      <c r="C24" s="12" t="s">
        <v>73</v>
      </c>
      <c r="D24" s="16">
        <f t="shared" si="2"/>
        <v>756194.5</v>
      </c>
      <c r="F24" s="14">
        <v>391419</v>
      </c>
      <c r="G24" s="14">
        <v>162085.5</v>
      </c>
      <c r="H24" s="14">
        <v>202690</v>
      </c>
      <c r="I24" s="14"/>
      <c r="J24" s="17">
        <f t="shared" ref="J24:J40" si="3">F24+G24+H24</f>
        <v>756194.5</v>
      </c>
    </row>
    <row r="25" spans="1:10" x14ac:dyDescent="0.25">
      <c r="A25" s="10">
        <f t="shared" si="1"/>
        <v>17</v>
      </c>
      <c r="B25" s="47" t="s">
        <v>4</v>
      </c>
      <c r="C25" s="12" t="s">
        <v>75</v>
      </c>
      <c r="D25" s="16">
        <f t="shared" si="2"/>
        <v>773481</v>
      </c>
      <c r="F25" s="14">
        <v>337269.5</v>
      </c>
      <c r="G25" s="14">
        <v>153561.5</v>
      </c>
      <c r="H25" s="14">
        <v>282650</v>
      </c>
      <c r="I25" s="14"/>
      <c r="J25" s="17">
        <f t="shared" si="3"/>
        <v>773481</v>
      </c>
    </row>
    <row r="26" spans="1:10" x14ac:dyDescent="0.25">
      <c r="A26" s="10">
        <f t="shared" si="1"/>
        <v>18</v>
      </c>
      <c r="B26" s="61" t="s">
        <v>5</v>
      </c>
      <c r="C26" s="62" t="s">
        <v>77</v>
      </c>
      <c r="D26" s="16">
        <f t="shared" si="2"/>
        <v>695932</v>
      </c>
      <c r="F26" s="14">
        <v>278079</v>
      </c>
      <c r="G26" s="14">
        <v>183122</v>
      </c>
      <c r="H26" s="14">
        <v>234731</v>
      </c>
      <c r="I26" s="14"/>
      <c r="J26" s="17">
        <f t="shared" si="3"/>
        <v>695932</v>
      </c>
    </row>
    <row r="27" spans="1:10" x14ac:dyDescent="0.25">
      <c r="A27" s="10">
        <f t="shared" si="1"/>
        <v>19</v>
      </c>
      <c r="B27" s="13" t="s">
        <v>6</v>
      </c>
      <c r="C27" s="48" t="s">
        <v>31</v>
      </c>
      <c r="D27" s="59" t="s">
        <v>31</v>
      </c>
      <c r="F27" s="14"/>
      <c r="G27" s="14"/>
      <c r="H27" s="14"/>
      <c r="I27" s="14"/>
      <c r="J27" s="67"/>
    </row>
    <row r="28" spans="1:10" x14ac:dyDescent="0.25">
      <c r="A28" s="10">
        <f t="shared" si="1"/>
        <v>20</v>
      </c>
      <c r="B28" s="11" t="s">
        <v>7</v>
      </c>
      <c r="C28" s="12" t="s">
        <v>79</v>
      </c>
      <c r="D28" s="12">
        <f>J28</f>
        <v>759268</v>
      </c>
      <c r="F28" s="14">
        <v>207583</v>
      </c>
      <c r="G28" s="14">
        <v>302518</v>
      </c>
      <c r="H28" s="14">
        <v>249167</v>
      </c>
      <c r="I28" s="14"/>
      <c r="J28" s="17">
        <f t="shared" si="3"/>
        <v>759268</v>
      </c>
    </row>
    <row r="29" spans="1:10" x14ac:dyDescent="0.25">
      <c r="A29" s="10">
        <f t="shared" si="1"/>
        <v>21</v>
      </c>
      <c r="B29" s="47" t="s">
        <v>8</v>
      </c>
      <c r="C29" s="12" t="s">
        <v>81</v>
      </c>
      <c r="D29" s="12">
        <f t="shared" ref="D29:D40" si="4">J29</f>
        <v>798734.5</v>
      </c>
      <c r="F29" s="14">
        <v>212084.5</v>
      </c>
      <c r="G29" s="14">
        <v>363194.5</v>
      </c>
      <c r="H29" s="14">
        <v>223455.5</v>
      </c>
      <c r="I29" s="14"/>
      <c r="J29" s="17">
        <f t="shared" si="3"/>
        <v>798734.5</v>
      </c>
    </row>
    <row r="30" spans="1:10" x14ac:dyDescent="0.25">
      <c r="A30" s="10">
        <f t="shared" si="1"/>
        <v>22</v>
      </c>
      <c r="B30" s="61" t="s">
        <v>9</v>
      </c>
      <c r="C30" s="62" t="s">
        <v>83</v>
      </c>
      <c r="D30" s="12">
        <f t="shared" si="4"/>
        <v>616607</v>
      </c>
      <c r="F30" s="14">
        <v>159573</v>
      </c>
      <c r="G30" s="14">
        <v>150194</v>
      </c>
      <c r="H30" s="14">
        <v>306840</v>
      </c>
      <c r="I30" s="14"/>
      <c r="J30" s="17">
        <f t="shared" si="3"/>
        <v>616607</v>
      </c>
    </row>
    <row r="31" spans="1:10" x14ac:dyDescent="0.25">
      <c r="A31" s="10">
        <f t="shared" si="1"/>
        <v>23</v>
      </c>
      <c r="B31" s="11" t="s">
        <v>33</v>
      </c>
      <c r="C31" s="12" t="s">
        <v>85</v>
      </c>
      <c r="D31" s="12">
        <f t="shared" si="4"/>
        <v>648154.5</v>
      </c>
      <c r="E31" s="14"/>
      <c r="F31" s="14">
        <v>251406</v>
      </c>
      <c r="G31" s="14">
        <v>73836</v>
      </c>
      <c r="H31" s="14">
        <v>322912.5</v>
      </c>
      <c r="I31" s="14"/>
      <c r="J31" s="17">
        <f t="shared" si="3"/>
        <v>648154.5</v>
      </c>
    </row>
    <row r="32" spans="1:10" x14ac:dyDescent="0.25">
      <c r="A32" s="10">
        <f t="shared" si="1"/>
        <v>24</v>
      </c>
      <c r="B32" s="47" t="s">
        <v>4</v>
      </c>
      <c r="C32" s="12" t="s">
        <v>87</v>
      </c>
      <c r="D32" s="12">
        <f t="shared" si="4"/>
        <v>733066.5</v>
      </c>
      <c r="E32" s="15"/>
      <c r="F32" s="15">
        <v>206033</v>
      </c>
      <c r="G32" s="14">
        <v>206128</v>
      </c>
      <c r="H32" s="58">
        <v>320905.5</v>
      </c>
      <c r="I32" s="58"/>
      <c r="J32" s="17">
        <f t="shared" si="3"/>
        <v>733066.5</v>
      </c>
    </row>
    <row r="33" spans="1:10" x14ac:dyDescent="0.25">
      <c r="A33" s="10">
        <f t="shared" si="1"/>
        <v>25</v>
      </c>
      <c r="B33" s="61" t="s">
        <v>5</v>
      </c>
      <c r="C33" s="62" t="s">
        <v>89</v>
      </c>
      <c r="D33" s="12">
        <f t="shared" si="4"/>
        <v>484885.5</v>
      </c>
      <c r="E33" s="15"/>
      <c r="F33" s="15">
        <v>138571</v>
      </c>
      <c r="G33" s="14">
        <v>176457.5</v>
      </c>
      <c r="H33" s="14">
        <v>169857</v>
      </c>
      <c r="I33" s="14"/>
      <c r="J33" s="17">
        <f t="shared" si="3"/>
        <v>484885.5</v>
      </c>
    </row>
    <row r="34" spans="1:10" x14ac:dyDescent="0.25">
      <c r="A34" s="10">
        <f>A33+1</f>
        <v>26</v>
      </c>
      <c r="B34" s="13" t="s">
        <v>6</v>
      </c>
      <c r="C34" s="48" t="s">
        <v>31</v>
      </c>
      <c r="D34" s="59" t="s">
        <v>31</v>
      </c>
      <c r="E34" s="14"/>
      <c r="F34" s="14"/>
      <c r="G34" s="14"/>
      <c r="H34" s="14"/>
      <c r="I34" s="14"/>
      <c r="J34" s="67"/>
    </row>
    <row r="35" spans="1:10" x14ac:dyDescent="0.25">
      <c r="A35" s="10">
        <f t="shared" si="1"/>
        <v>27</v>
      </c>
      <c r="B35" s="11" t="s">
        <v>7</v>
      </c>
      <c r="C35" s="12" t="s">
        <v>92</v>
      </c>
      <c r="D35" s="46">
        <f t="shared" si="4"/>
        <v>914090</v>
      </c>
      <c r="E35" s="14"/>
      <c r="F35" s="14">
        <v>221887</v>
      </c>
      <c r="G35" s="14">
        <v>380680.5</v>
      </c>
      <c r="H35" s="14">
        <v>311522.5</v>
      </c>
      <c r="I35" s="14"/>
      <c r="J35" s="17">
        <f t="shared" si="3"/>
        <v>914090</v>
      </c>
    </row>
    <row r="36" spans="1:10" x14ac:dyDescent="0.25">
      <c r="A36" s="10">
        <f t="shared" si="1"/>
        <v>28</v>
      </c>
      <c r="B36" s="47" t="s">
        <v>8</v>
      </c>
      <c r="C36" s="12" t="s">
        <v>94</v>
      </c>
      <c r="D36" s="46">
        <f t="shared" si="4"/>
        <v>1034155</v>
      </c>
      <c r="E36" s="14"/>
      <c r="F36" s="14">
        <v>197659</v>
      </c>
      <c r="G36" s="14">
        <v>200643</v>
      </c>
      <c r="H36" s="14">
        <v>635853</v>
      </c>
      <c r="I36" s="14"/>
      <c r="J36" s="17">
        <f t="shared" si="3"/>
        <v>1034155</v>
      </c>
    </row>
    <row r="37" spans="1:10" x14ac:dyDescent="0.25">
      <c r="A37" s="10">
        <f t="shared" si="1"/>
        <v>29</v>
      </c>
      <c r="B37" s="61" t="s">
        <v>9</v>
      </c>
      <c r="C37" s="62" t="s">
        <v>96</v>
      </c>
      <c r="D37" s="46">
        <f t="shared" si="4"/>
        <v>785055.5</v>
      </c>
      <c r="E37" s="14"/>
      <c r="F37" s="14">
        <v>246587</v>
      </c>
      <c r="G37" s="14">
        <v>289869</v>
      </c>
      <c r="H37" s="14">
        <v>248599.5</v>
      </c>
      <c r="I37" s="14"/>
      <c r="J37" s="17">
        <f t="shared" si="3"/>
        <v>785055.5</v>
      </c>
    </row>
    <row r="38" spans="1:10" x14ac:dyDescent="0.25">
      <c r="A38" s="10">
        <f t="shared" si="1"/>
        <v>30</v>
      </c>
      <c r="B38" s="11" t="s">
        <v>33</v>
      </c>
      <c r="C38" s="12" t="s">
        <v>98</v>
      </c>
      <c r="D38" s="46">
        <f t="shared" si="4"/>
        <v>475561.5</v>
      </c>
      <c r="E38" s="14"/>
      <c r="F38" s="14">
        <v>177143</v>
      </c>
      <c r="G38" s="14">
        <v>107861</v>
      </c>
      <c r="H38" s="14">
        <v>190557.5</v>
      </c>
      <c r="I38" s="14"/>
      <c r="J38" s="17">
        <f t="shared" si="3"/>
        <v>475561.5</v>
      </c>
    </row>
    <row r="39" spans="1:10" x14ac:dyDescent="0.25">
      <c r="A39" s="10">
        <f t="shared" si="1"/>
        <v>31</v>
      </c>
      <c r="B39" s="47" t="s">
        <v>4</v>
      </c>
      <c r="C39" s="12" t="s">
        <v>100</v>
      </c>
      <c r="D39" s="46">
        <f t="shared" si="4"/>
        <v>855234</v>
      </c>
      <c r="E39" s="14"/>
      <c r="F39" s="14">
        <v>528646</v>
      </c>
      <c r="G39" s="14">
        <v>115020.5</v>
      </c>
      <c r="H39" s="14">
        <v>211567.5</v>
      </c>
      <c r="I39" s="14"/>
      <c r="J39" s="17">
        <f t="shared" si="3"/>
        <v>855234</v>
      </c>
    </row>
    <row r="40" spans="1:10" x14ac:dyDescent="0.25">
      <c r="A40" s="10">
        <f t="shared" si="1"/>
        <v>32</v>
      </c>
      <c r="B40" s="61" t="s">
        <v>5</v>
      </c>
      <c r="C40" s="62"/>
      <c r="D40" s="46">
        <f t="shared" si="4"/>
        <v>0</v>
      </c>
      <c r="E40" s="14"/>
      <c r="F40" s="14"/>
      <c r="G40" s="14"/>
      <c r="H40" s="14"/>
      <c r="I40" s="14"/>
      <c r="J40" s="17">
        <f t="shared" si="3"/>
        <v>0</v>
      </c>
    </row>
    <row r="41" spans="1:10" x14ac:dyDescent="0.25">
      <c r="A41" s="10"/>
      <c r="B41" s="13"/>
      <c r="C41" s="12"/>
      <c r="D41" s="12"/>
      <c r="E41" s="14"/>
      <c r="F41" s="14"/>
      <c r="G41" s="14"/>
      <c r="H41" s="14"/>
      <c r="I41" s="14"/>
      <c r="J41" s="55"/>
    </row>
    <row r="42" spans="1:10" x14ac:dyDescent="0.25">
      <c r="A42" s="72" t="s">
        <v>10</v>
      </c>
      <c r="B42" s="73"/>
      <c r="C42" s="74"/>
      <c r="D42" s="52">
        <f>SUM(D2:D39)</f>
        <v>19688548</v>
      </c>
      <c r="J42" s="53">
        <f>SUM(J10:J41)</f>
        <v>19688548</v>
      </c>
    </row>
  </sheetData>
  <mergeCells count="2">
    <mergeCell ref="A6:B6"/>
    <mergeCell ref="A42:C42"/>
  </mergeCells>
  <phoneticPr fontId="1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6C7A-3258-4EBB-AC49-90A5F4A303C4}">
  <sheetPr>
    <pageSetUpPr fitToPage="1"/>
  </sheetPr>
  <dimension ref="A1:AR1483"/>
  <sheetViews>
    <sheetView tabSelected="1" topLeftCell="A1441" zoomScale="85" zoomScaleNormal="85" workbookViewId="0">
      <selection activeCell="O742" sqref="O742"/>
    </sheetView>
  </sheetViews>
  <sheetFormatPr defaultRowHeight="15" x14ac:dyDescent="0.25"/>
  <cols>
    <col min="1" max="1" width="5.28515625" customWidth="1"/>
    <col min="2" max="4" width="13.28515625" style="3" customWidth="1"/>
    <col min="5" max="5" width="11.85546875" style="3" customWidth="1"/>
    <col min="6" max="6" width="13.28515625" style="3" customWidth="1"/>
    <col min="7" max="7" width="2.5703125" customWidth="1"/>
    <col min="8" max="10" width="13.28515625" customWidth="1"/>
    <col min="11" max="11" width="5.85546875" style="18" customWidth="1"/>
    <col min="12" max="12" width="5.140625" customWidth="1"/>
    <col min="13" max="15" width="13.28515625" customWidth="1"/>
    <col min="16" max="16" width="11.85546875" customWidth="1"/>
    <col min="17" max="17" width="13.28515625" customWidth="1"/>
    <col min="18" max="18" width="2.5703125" customWidth="1"/>
    <col min="19" max="20" width="13" customWidth="1"/>
    <col min="21" max="21" width="13.28515625" customWidth="1"/>
    <col min="22" max="22" width="5.5703125" style="18" customWidth="1"/>
    <col min="23" max="23" width="5.140625" customWidth="1"/>
    <col min="24" max="26" width="13.28515625" customWidth="1"/>
    <col min="27" max="27" width="12.28515625" customWidth="1"/>
    <col min="28" max="28" width="13.28515625" customWidth="1"/>
    <col min="29" max="29" width="2.5703125" customWidth="1"/>
    <col min="30" max="31" width="13.140625" customWidth="1"/>
    <col min="32" max="32" width="13.28515625" customWidth="1"/>
    <col min="33" max="33" width="5.42578125" style="18" customWidth="1"/>
    <col min="34" max="34" width="5" customWidth="1"/>
    <col min="35" max="35" width="12" bestFit="1" customWidth="1"/>
    <col min="36" max="37" width="13.28515625" customWidth="1"/>
    <col min="38" max="38" width="12.140625" customWidth="1"/>
    <col min="39" max="39" width="13.28515625" customWidth="1"/>
    <col min="40" max="40" width="2.5703125" customWidth="1"/>
    <col min="41" max="42" width="13" customWidth="1"/>
    <col min="43" max="43" width="13.28515625" customWidth="1"/>
  </cols>
  <sheetData>
    <row r="1" spans="1:32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L1" s="18"/>
      <c r="M1" s="18"/>
      <c r="N1" s="18"/>
      <c r="O1" s="18"/>
      <c r="P1" s="18"/>
      <c r="Q1" s="18"/>
      <c r="R1" s="18"/>
      <c r="S1" s="18"/>
      <c r="T1" s="18"/>
      <c r="U1" s="18"/>
      <c r="W1" s="18"/>
      <c r="X1" s="18"/>
      <c r="Y1" s="18"/>
      <c r="Z1" s="18"/>
      <c r="AA1" s="18"/>
      <c r="AB1" s="18"/>
      <c r="AC1" s="18"/>
      <c r="AD1" s="18"/>
      <c r="AE1" s="18"/>
      <c r="AF1" s="18"/>
    </row>
    <row r="2" spans="1:32" x14ac:dyDescent="0.25">
      <c r="A2" t="s">
        <v>0</v>
      </c>
      <c r="B2" s="63"/>
      <c r="C2" s="63"/>
      <c r="D2" s="63"/>
      <c r="E2" s="63"/>
      <c r="F2" s="63"/>
      <c r="L2" t="s">
        <v>0</v>
      </c>
      <c r="M2" s="63"/>
      <c r="N2" s="63"/>
      <c r="O2" s="63"/>
      <c r="P2" s="63"/>
      <c r="Q2" s="63"/>
      <c r="W2" t="s">
        <v>0</v>
      </c>
      <c r="X2" s="63"/>
      <c r="Y2" s="63"/>
      <c r="Z2" s="63"/>
      <c r="AA2" s="63"/>
      <c r="AB2" s="63"/>
    </row>
    <row r="3" spans="1:32" x14ac:dyDescent="0.25">
      <c r="A3" t="s">
        <v>30</v>
      </c>
      <c r="B3" s="63"/>
      <c r="C3" s="63"/>
      <c r="D3" s="63"/>
      <c r="E3" s="63"/>
      <c r="F3" s="63"/>
      <c r="L3" t="s">
        <v>30</v>
      </c>
      <c r="M3" s="63"/>
      <c r="N3" s="63"/>
      <c r="O3" s="63"/>
      <c r="P3" s="63"/>
      <c r="Q3" s="63"/>
      <c r="W3" t="s">
        <v>30</v>
      </c>
      <c r="X3" s="63"/>
      <c r="Y3" s="63"/>
      <c r="Z3" s="63"/>
      <c r="AA3" s="63"/>
      <c r="AB3" s="63"/>
    </row>
    <row r="4" spans="1:32" x14ac:dyDescent="0.25">
      <c r="B4" s="63"/>
      <c r="C4" s="63"/>
      <c r="D4" s="63"/>
      <c r="E4" s="63"/>
      <c r="F4" s="63"/>
      <c r="M4" s="63"/>
      <c r="N4" s="63"/>
      <c r="O4" s="63"/>
      <c r="P4" s="63"/>
      <c r="Q4" s="63"/>
      <c r="X4" s="63"/>
      <c r="Y4" s="63"/>
      <c r="Z4" s="63"/>
      <c r="AA4" s="63"/>
      <c r="AB4" s="63"/>
    </row>
    <row r="5" spans="1:32" x14ac:dyDescent="0.25">
      <c r="A5" s="4" t="s">
        <v>15</v>
      </c>
      <c r="B5" s="63"/>
      <c r="C5" s="63"/>
      <c r="D5" s="63"/>
      <c r="E5" s="63"/>
      <c r="F5" s="63"/>
      <c r="L5" s="4" t="s">
        <v>15</v>
      </c>
      <c r="M5" s="63"/>
      <c r="N5" s="63"/>
      <c r="O5" s="63"/>
      <c r="P5" s="63"/>
      <c r="Q5" s="63"/>
      <c r="W5" s="4" t="s">
        <v>15</v>
      </c>
      <c r="X5" s="63"/>
      <c r="Y5" s="63"/>
      <c r="Z5" s="63"/>
      <c r="AA5" s="63"/>
      <c r="AB5" s="63"/>
    </row>
    <row r="6" spans="1:32" x14ac:dyDescent="0.25">
      <c r="B6" s="63"/>
      <c r="C6" s="63"/>
      <c r="D6" s="63"/>
      <c r="E6" s="63"/>
      <c r="F6" s="63"/>
      <c r="M6" s="63"/>
      <c r="N6" s="63"/>
      <c r="O6" s="63"/>
      <c r="P6" s="63"/>
      <c r="Q6" s="63"/>
      <c r="X6" s="63"/>
      <c r="Y6" s="63"/>
      <c r="Z6" s="63"/>
      <c r="AA6" s="63"/>
      <c r="AB6" s="63"/>
    </row>
    <row r="7" spans="1:32" ht="15.75" x14ac:dyDescent="0.25">
      <c r="A7" t="s">
        <v>37</v>
      </c>
      <c r="B7" s="63"/>
      <c r="C7" s="63"/>
      <c r="D7" s="63"/>
      <c r="E7" s="63"/>
      <c r="F7" s="63"/>
      <c r="H7" s="63" t="s">
        <v>16</v>
      </c>
      <c r="I7" s="19">
        <v>1</v>
      </c>
      <c r="L7" t="s">
        <v>37</v>
      </c>
      <c r="M7" s="63"/>
      <c r="N7" s="63"/>
      <c r="O7" s="63"/>
      <c r="P7" s="63"/>
      <c r="Q7" s="63"/>
      <c r="S7" s="63" t="s">
        <v>16</v>
      </c>
      <c r="T7" s="19">
        <v>2</v>
      </c>
      <c r="W7" t="s">
        <v>37</v>
      </c>
      <c r="X7" s="63"/>
      <c r="Y7" s="63"/>
      <c r="Z7" s="63"/>
      <c r="AA7" s="63"/>
      <c r="AB7" s="63"/>
      <c r="AD7" s="63" t="s">
        <v>16</v>
      </c>
      <c r="AE7" s="20">
        <v>3</v>
      </c>
    </row>
    <row r="8" spans="1:32" x14ac:dyDescent="0.25">
      <c r="A8" s="21" t="s">
        <v>42</v>
      </c>
      <c r="B8" s="20"/>
      <c r="C8" s="63"/>
      <c r="D8" s="63"/>
      <c r="E8" s="63"/>
      <c r="F8" s="63"/>
      <c r="H8" s="22" t="s">
        <v>17</v>
      </c>
      <c r="I8" s="23" t="s">
        <v>44</v>
      </c>
      <c r="J8" s="24"/>
      <c r="L8" s="21" t="s">
        <v>42</v>
      </c>
      <c r="M8" s="20"/>
      <c r="N8" s="63"/>
      <c r="O8" s="63"/>
      <c r="P8" s="63"/>
      <c r="Q8" s="63"/>
      <c r="S8" s="22" t="s">
        <v>17</v>
      </c>
      <c r="T8" s="23" t="s">
        <v>43</v>
      </c>
      <c r="U8" s="24"/>
      <c r="W8" s="21" t="s">
        <v>42</v>
      </c>
      <c r="X8" s="20"/>
      <c r="Y8" s="63"/>
      <c r="Z8" s="63"/>
      <c r="AA8" s="63"/>
      <c r="AB8" s="63"/>
      <c r="AD8" s="22" t="s">
        <v>17</v>
      </c>
      <c r="AE8" s="23" t="s">
        <v>29</v>
      </c>
      <c r="AF8" s="24"/>
    </row>
    <row r="9" spans="1:32" x14ac:dyDescent="0.25">
      <c r="B9" s="63"/>
      <c r="C9" s="63"/>
      <c r="D9" s="63"/>
      <c r="E9" s="63"/>
      <c r="F9" s="63"/>
      <c r="M9" s="63"/>
      <c r="N9" s="63"/>
      <c r="O9" s="63"/>
      <c r="P9" s="63"/>
      <c r="Q9" s="63"/>
      <c r="X9" s="63"/>
      <c r="Y9" s="63"/>
      <c r="Z9" s="63"/>
      <c r="AA9" s="63"/>
      <c r="AB9" s="63"/>
    </row>
    <row r="10" spans="1:32" x14ac:dyDescent="0.25">
      <c r="B10" s="25"/>
      <c r="C10" s="26"/>
      <c r="D10" s="79" t="s">
        <v>18</v>
      </c>
      <c r="E10" s="79"/>
      <c r="F10" s="27"/>
      <c r="H10" s="77" t="s">
        <v>19</v>
      </c>
      <c r="I10" s="78"/>
      <c r="J10" s="75" t="s">
        <v>20</v>
      </c>
      <c r="M10" s="25"/>
      <c r="N10" s="26"/>
      <c r="O10" s="79" t="s">
        <v>18</v>
      </c>
      <c r="P10" s="79"/>
      <c r="Q10" s="27"/>
      <c r="S10" s="77" t="s">
        <v>19</v>
      </c>
      <c r="T10" s="78"/>
      <c r="U10" s="75" t="s">
        <v>20</v>
      </c>
      <c r="X10" s="25"/>
      <c r="Y10" s="26"/>
      <c r="Z10" s="79" t="s">
        <v>18</v>
      </c>
      <c r="AA10" s="79"/>
      <c r="AB10" s="27"/>
      <c r="AD10" s="77" t="s">
        <v>19</v>
      </c>
      <c r="AE10" s="78"/>
      <c r="AF10" s="75" t="s">
        <v>20</v>
      </c>
    </row>
    <row r="11" spans="1:32" ht="30" x14ac:dyDescent="0.25">
      <c r="B11" s="28" t="s">
        <v>21</v>
      </c>
      <c r="C11" s="28" t="s">
        <v>22</v>
      </c>
      <c r="D11" s="29" t="s">
        <v>23</v>
      </c>
      <c r="E11" s="30" t="s">
        <v>24</v>
      </c>
      <c r="F11" s="30" t="s">
        <v>25</v>
      </c>
      <c r="H11" s="31" t="s">
        <v>26</v>
      </c>
      <c r="I11" s="31" t="s">
        <v>27</v>
      </c>
      <c r="J11" s="76"/>
      <c r="M11" s="28" t="s">
        <v>21</v>
      </c>
      <c r="N11" s="28" t="s">
        <v>22</v>
      </c>
      <c r="O11" s="29" t="s">
        <v>23</v>
      </c>
      <c r="P11" s="30" t="s">
        <v>24</v>
      </c>
      <c r="Q11" s="30" t="s">
        <v>25</v>
      </c>
      <c r="S11" s="31" t="s">
        <v>26</v>
      </c>
      <c r="T11" s="31" t="s">
        <v>27</v>
      </c>
      <c r="U11" s="76"/>
      <c r="X11" s="28" t="s">
        <v>21</v>
      </c>
      <c r="Y11" s="28" t="s">
        <v>22</v>
      </c>
      <c r="Z11" s="29" t="s">
        <v>23</v>
      </c>
      <c r="AA11" s="30" t="s">
        <v>24</v>
      </c>
      <c r="AB11" s="30" t="s">
        <v>25</v>
      </c>
      <c r="AD11" s="31" t="s">
        <v>26</v>
      </c>
      <c r="AE11" s="31" t="s">
        <v>27</v>
      </c>
      <c r="AF11" s="76"/>
    </row>
    <row r="12" spans="1:32" x14ac:dyDescent="0.25">
      <c r="A12" s="10">
        <v>1</v>
      </c>
      <c r="B12" s="32">
        <v>45293</v>
      </c>
      <c r="C12" s="33">
        <v>6854</v>
      </c>
      <c r="D12" s="34">
        <f>626*80+2*614+596*10+205*3</f>
        <v>57883</v>
      </c>
      <c r="E12" s="34"/>
      <c r="F12" s="34">
        <f t="shared" ref="F12:F45" si="0">SUM(D12:E12)</f>
        <v>57883</v>
      </c>
      <c r="G12" s="12"/>
      <c r="H12" s="12"/>
      <c r="I12" s="12"/>
      <c r="J12" s="12">
        <f t="shared" ref="J12:J45" si="1">SUM(F12:I12)</f>
        <v>57883</v>
      </c>
      <c r="L12" s="10">
        <v>1</v>
      </c>
      <c r="M12" s="32">
        <v>45293</v>
      </c>
      <c r="N12" s="33">
        <v>6951</v>
      </c>
      <c r="O12" s="34">
        <f>626*12+596*3+10*8.5</f>
        <v>9385</v>
      </c>
      <c r="P12" s="34"/>
      <c r="Q12" s="34">
        <f>SUM(O12:P12)</f>
        <v>9385</v>
      </c>
      <c r="R12" s="12"/>
      <c r="S12" s="12"/>
      <c r="T12" s="12"/>
      <c r="U12" s="12">
        <f>SUM(Q12:T12)</f>
        <v>9385</v>
      </c>
      <c r="W12" s="10">
        <v>1</v>
      </c>
      <c r="X12" s="32">
        <v>45293</v>
      </c>
      <c r="Y12" s="33">
        <v>6925</v>
      </c>
      <c r="Z12" s="34">
        <f>626*120+596*80+852+832+205*8+8.5*8</f>
        <v>126192</v>
      </c>
      <c r="AA12" s="34">
        <v>-1818</v>
      </c>
      <c r="AB12" s="34">
        <f>SUM(Z12:AA12)</f>
        <v>124374</v>
      </c>
      <c r="AC12" s="12"/>
      <c r="AD12" s="12">
        <f>312-72</f>
        <v>240</v>
      </c>
      <c r="AE12" s="12"/>
      <c r="AF12" s="12">
        <f>SUM(AB12:AE12)</f>
        <v>124614</v>
      </c>
    </row>
    <row r="13" spans="1:32" x14ac:dyDescent="0.25">
      <c r="A13" s="10">
        <v>2</v>
      </c>
      <c r="B13" s="32">
        <v>45293</v>
      </c>
      <c r="C13" s="33">
        <f>C12+1</f>
        <v>6855</v>
      </c>
      <c r="D13" s="34">
        <f>626*30+596*5+205+8.5*11</f>
        <v>22058.5</v>
      </c>
      <c r="E13" s="34"/>
      <c r="F13" s="34">
        <f t="shared" si="0"/>
        <v>22058.5</v>
      </c>
      <c r="G13" s="12"/>
      <c r="H13" s="12"/>
      <c r="I13" s="12"/>
      <c r="J13" s="12">
        <f t="shared" si="1"/>
        <v>22058.5</v>
      </c>
      <c r="L13" s="10">
        <v>2</v>
      </c>
      <c r="M13" s="32">
        <v>45293</v>
      </c>
      <c r="N13" s="33">
        <f>N12+1</f>
        <v>6952</v>
      </c>
      <c r="O13" s="34">
        <f>1252+17</f>
        <v>1269</v>
      </c>
      <c r="P13" s="34"/>
      <c r="Q13" s="34">
        <f t="shared" ref="Q13:Q44" si="2">SUM(O13:P13)</f>
        <v>1269</v>
      </c>
      <c r="R13" s="12"/>
      <c r="S13" s="12"/>
      <c r="T13" s="12"/>
      <c r="U13" s="12">
        <f t="shared" ref="U13:U44" si="3">SUM(Q13:T13)</f>
        <v>1269</v>
      </c>
      <c r="W13" s="10">
        <v>2</v>
      </c>
      <c r="X13" s="32">
        <v>45293</v>
      </c>
      <c r="Y13" s="33">
        <f>Y12+1</f>
        <v>6926</v>
      </c>
      <c r="Z13" s="34">
        <f>626*54+205*2+8.5*6</f>
        <v>34265</v>
      </c>
      <c r="AA13" s="34"/>
      <c r="AB13" s="34">
        <f t="shared" ref="AB13:AB44" si="4">SUM(Z13:AA13)</f>
        <v>34265</v>
      </c>
      <c r="AC13" s="12"/>
      <c r="AD13" s="12">
        <v>99</v>
      </c>
      <c r="AE13" s="12"/>
      <c r="AF13" s="12">
        <f t="shared" ref="AF13:AF44" si="5">SUM(AB13:AE13)</f>
        <v>34364</v>
      </c>
    </row>
    <row r="14" spans="1:32" x14ac:dyDescent="0.25">
      <c r="A14" s="10">
        <v>3</v>
      </c>
      <c r="B14" s="32">
        <v>45293</v>
      </c>
      <c r="C14" s="33">
        <f t="shared" ref="C14:C25" si="6">C13+1</f>
        <v>6856</v>
      </c>
      <c r="D14" s="35">
        <f>626*10+3*596+10*8.5</f>
        <v>8133</v>
      </c>
      <c r="E14" s="35"/>
      <c r="F14" s="35">
        <f t="shared" si="0"/>
        <v>8133</v>
      </c>
      <c r="G14" s="36"/>
      <c r="H14" s="36"/>
      <c r="I14" s="36"/>
      <c r="J14" s="36">
        <f t="shared" si="1"/>
        <v>8133</v>
      </c>
      <c r="L14" s="10">
        <v>3</v>
      </c>
      <c r="M14" s="32">
        <v>45293</v>
      </c>
      <c r="N14" s="33">
        <f t="shared" ref="N14:N32" si="7">N13+1</f>
        <v>6953</v>
      </c>
      <c r="O14" s="34">
        <f>626*4+8.5*4</f>
        <v>2538</v>
      </c>
      <c r="P14" s="34"/>
      <c r="Q14" s="34">
        <f t="shared" si="2"/>
        <v>2538</v>
      </c>
      <c r="R14" s="12"/>
      <c r="S14" s="12">
        <v>4.5</v>
      </c>
      <c r="T14" s="12"/>
      <c r="U14" s="12">
        <f t="shared" si="3"/>
        <v>2542.5</v>
      </c>
      <c r="W14" s="10">
        <v>3</v>
      </c>
      <c r="X14" s="32">
        <v>45293</v>
      </c>
      <c r="Y14" s="33">
        <f t="shared" ref="Y14:Y31" si="8">Y13+1</f>
        <v>6927</v>
      </c>
      <c r="Z14" s="34">
        <f>626*15+614*3+596*3+205</f>
        <v>13225</v>
      </c>
      <c r="AA14" s="34"/>
      <c r="AB14" s="34">
        <f t="shared" si="4"/>
        <v>13225</v>
      </c>
      <c r="AC14" s="12"/>
      <c r="AD14" s="12">
        <v>6</v>
      </c>
      <c r="AE14" s="12"/>
      <c r="AF14" s="12">
        <f t="shared" si="5"/>
        <v>13231</v>
      </c>
    </row>
    <row r="15" spans="1:32" x14ac:dyDescent="0.25">
      <c r="A15" s="10">
        <v>4</v>
      </c>
      <c r="B15" s="32">
        <v>45293</v>
      </c>
      <c r="C15" s="33">
        <f t="shared" si="6"/>
        <v>6857</v>
      </c>
      <c r="D15" s="34">
        <f>626*28+205</f>
        <v>17733</v>
      </c>
      <c r="E15" s="34"/>
      <c r="F15" s="34">
        <f t="shared" si="0"/>
        <v>17733</v>
      </c>
      <c r="G15" s="12"/>
      <c r="H15" s="12"/>
      <c r="I15" s="12"/>
      <c r="J15" s="12">
        <f t="shared" si="1"/>
        <v>17733</v>
      </c>
      <c r="L15" s="10">
        <v>4</v>
      </c>
      <c r="M15" s="32">
        <v>45293</v>
      </c>
      <c r="N15" s="33">
        <f t="shared" si="7"/>
        <v>6954</v>
      </c>
      <c r="O15" s="34">
        <f>1252+17</f>
        <v>1269</v>
      </c>
      <c r="P15" s="34"/>
      <c r="Q15" s="34">
        <f t="shared" si="2"/>
        <v>1269</v>
      </c>
      <c r="R15" s="12"/>
      <c r="S15" s="12"/>
      <c r="T15" s="12"/>
      <c r="U15" s="12">
        <f t="shared" si="3"/>
        <v>1269</v>
      </c>
      <c r="W15" s="10">
        <v>4</v>
      </c>
      <c r="X15" s="32">
        <v>45293</v>
      </c>
      <c r="Y15" s="33">
        <f t="shared" si="8"/>
        <v>6928</v>
      </c>
      <c r="Z15">
        <f>626*14+14*8.5</f>
        <v>8883</v>
      </c>
      <c r="AA15" s="34"/>
      <c r="AB15" s="34">
        <f t="shared" si="4"/>
        <v>8883</v>
      </c>
      <c r="AC15" s="12"/>
      <c r="AD15">
        <v>9</v>
      </c>
      <c r="AE15" s="12"/>
      <c r="AF15" s="12">
        <f t="shared" si="5"/>
        <v>8892</v>
      </c>
    </row>
    <row r="16" spans="1:32" x14ac:dyDescent="0.25">
      <c r="A16" s="10">
        <v>5</v>
      </c>
      <c r="B16" s="32">
        <v>45293</v>
      </c>
      <c r="C16" s="33">
        <f t="shared" si="6"/>
        <v>6858</v>
      </c>
      <c r="D16" s="34">
        <f>3756+51</f>
        <v>3807</v>
      </c>
      <c r="E16" s="34"/>
      <c r="F16" s="34">
        <f t="shared" si="0"/>
        <v>3807</v>
      </c>
      <c r="G16" s="12"/>
      <c r="H16" s="12"/>
      <c r="I16" s="12"/>
      <c r="J16" s="12">
        <f t="shared" si="1"/>
        <v>3807</v>
      </c>
      <c r="L16" s="10">
        <v>5</v>
      </c>
      <c r="M16" s="32">
        <v>45293</v>
      </c>
      <c r="N16" s="33">
        <f t="shared" si="7"/>
        <v>6955</v>
      </c>
      <c r="O16" s="34">
        <f>2504+596+34</f>
        <v>3134</v>
      </c>
      <c r="P16" s="34"/>
      <c r="Q16" s="34">
        <f t="shared" si="2"/>
        <v>3134</v>
      </c>
      <c r="R16" s="12"/>
      <c r="S16" s="12"/>
      <c r="T16" s="12"/>
      <c r="U16" s="12">
        <f t="shared" si="3"/>
        <v>3134</v>
      </c>
      <c r="W16" s="10">
        <v>5</v>
      </c>
      <c r="X16" s="32">
        <v>45293</v>
      </c>
      <c r="Y16" s="33">
        <f t="shared" si="8"/>
        <v>6929</v>
      </c>
      <c r="Z16" s="34">
        <f>626+8.5</f>
        <v>634.5</v>
      </c>
      <c r="AA16" s="34"/>
      <c r="AB16" s="34">
        <f t="shared" ref="AB16:AB21" si="9">SUM(Z16:AA16)</f>
        <v>634.5</v>
      </c>
      <c r="AC16" s="12"/>
      <c r="AD16" s="12">
        <v>1.5</v>
      </c>
      <c r="AE16" s="12"/>
      <c r="AF16" s="12">
        <f t="shared" si="5"/>
        <v>636</v>
      </c>
    </row>
    <row r="17" spans="1:32" x14ac:dyDescent="0.25">
      <c r="A17" s="10">
        <v>6</v>
      </c>
      <c r="B17" s="32">
        <v>45293</v>
      </c>
      <c r="C17" s="33">
        <f t="shared" si="6"/>
        <v>6859</v>
      </c>
      <c r="D17" s="34">
        <f>3130+42.5</f>
        <v>3172.5</v>
      </c>
      <c r="E17" s="34"/>
      <c r="F17" s="34">
        <f t="shared" si="0"/>
        <v>3172.5</v>
      </c>
      <c r="G17" s="12"/>
      <c r="H17" s="12"/>
      <c r="I17" s="12"/>
      <c r="J17" s="12">
        <f t="shared" si="1"/>
        <v>3172.5</v>
      </c>
      <c r="L17" s="10">
        <v>6</v>
      </c>
      <c r="M17" s="32">
        <v>45293</v>
      </c>
      <c r="N17" s="33">
        <f t="shared" si="7"/>
        <v>6956</v>
      </c>
      <c r="O17" s="34">
        <f>1252+17</f>
        <v>1269</v>
      </c>
      <c r="P17" s="34"/>
      <c r="Q17" s="34">
        <f t="shared" si="2"/>
        <v>1269</v>
      </c>
      <c r="R17" s="12"/>
      <c r="S17" s="12"/>
      <c r="T17" s="10"/>
      <c r="U17" s="12">
        <f t="shared" si="3"/>
        <v>1269</v>
      </c>
      <c r="W17" s="10">
        <v>6</v>
      </c>
      <c r="X17" s="32">
        <v>45293</v>
      </c>
      <c r="Y17" s="33">
        <f t="shared" si="8"/>
        <v>6930</v>
      </c>
      <c r="Z17" s="34">
        <f>626*4+596+42.5</f>
        <v>3142.5</v>
      </c>
      <c r="AA17" s="34"/>
      <c r="AB17" s="34">
        <f t="shared" si="9"/>
        <v>3142.5</v>
      </c>
      <c r="AC17" s="12"/>
      <c r="AD17" s="12"/>
      <c r="AE17" s="10">
        <v>-1.1000000000000001</v>
      </c>
      <c r="AF17" s="12">
        <f t="shared" si="5"/>
        <v>3141.4</v>
      </c>
    </row>
    <row r="18" spans="1:32" x14ac:dyDescent="0.25">
      <c r="A18" s="10">
        <v>7</v>
      </c>
      <c r="B18" s="32">
        <v>45293</v>
      </c>
      <c r="C18" s="33">
        <f t="shared" si="6"/>
        <v>6860</v>
      </c>
      <c r="D18" s="34">
        <f>626*14+8.5*14</f>
        <v>8883</v>
      </c>
      <c r="E18" s="34"/>
      <c r="F18" s="34">
        <f t="shared" si="0"/>
        <v>8883</v>
      </c>
      <c r="G18" s="12"/>
      <c r="H18" s="12"/>
      <c r="I18" s="12"/>
      <c r="J18" s="12">
        <f t="shared" si="1"/>
        <v>8883</v>
      </c>
      <c r="L18" s="10">
        <v>7</v>
      </c>
      <c r="M18" s="32">
        <v>45293</v>
      </c>
      <c r="N18" s="33">
        <f t="shared" si="7"/>
        <v>6957</v>
      </c>
      <c r="O18" s="34">
        <f>5008+68</f>
        <v>5076</v>
      </c>
      <c r="P18" s="34"/>
      <c r="Q18" s="34">
        <f t="shared" si="2"/>
        <v>5076</v>
      </c>
      <c r="R18" s="12"/>
      <c r="S18" s="12"/>
      <c r="T18" s="12"/>
      <c r="U18" s="12">
        <f t="shared" si="3"/>
        <v>5076</v>
      </c>
      <c r="W18" s="10">
        <v>7</v>
      </c>
      <c r="X18" s="32">
        <v>45293</v>
      </c>
      <c r="Y18" s="33">
        <f t="shared" si="8"/>
        <v>6931</v>
      </c>
      <c r="Z18" s="34">
        <f>596+832+8.5</f>
        <v>1436.5</v>
      </c>
      <c r="AA18" s="34"/>
      <c r="AB18" s="34">
        <f t="shared" si="9"/>
        <v>1436.5</v>
      </c>
      <c r="AC18" s="12"/>
      <c r="AD18" s="66">
        <v>12</v>
      </c>
      <c r="AE18" s="12"/>
      <c r="AF18" s="12">
        <f t="shared" si="5"/>
        <v>1448.5</v>
      </c>
    </row>
    <row r="19" spans="1:32" x14ac:dyDescent="0.25">
      <c r="A19" s="10">
        <v>8</v>
      </c>
      <c r="B19" s="32">
        <v>45293</v>
      </c>
      <c r="C19" s="33">
        <f t="shared" si="6"/>
        <v>6861</v>
      </c>
      <c r="D19" s="34">
        <f>626*25+674*2+614+596*6+832+205</f>
        <v>22225</v>
      </c>
      <c r="E19" s="34"/>
      <c r="F19" s="34">
        <f t="shared" si="0"/>
        <v>22225</v>
      </c>
      <c r="G19" s="12"/>
      <c r="H19" s="12">
        <v>267</v>
      </c>
      <c r="I19" s="12"/>
      <c r="J19" s="12">
        <f t="shared" si="1"/>
        <v>22492</v>
      </c>
      <c r="L19" s="10">
        <v>8</v>
      </c>
      <c r="M19" s="32">
        <v>45293</v>
      </c>
      <c r="N19" s="33">
        <f t="shared" si="7"/>
        <v>6958</v>
      </c>
      <c r="O19" s="34">
        <f>5008+1788+25.5</f>
        <v>6821.5</v>
      </c>
      <c r="P19" s="34"/>
      <c r="Q19" s="34">
        <f t="shared" si="2"/>
        <v>6821.5</v>
      </c>
      <c r="R19" s="12"/>
      <c r="S19" s="12"/>
      <c r="T19" s="12"/>
      <c r="U19" s="12">
        <f t="shared" si="3"/>
        <v>6821.5</v>
      </c>
      <c r="W19" s="10">
        <v>8</v>
      </c>
      <c r="X19" s="32">
        <v>45293</v>
      </c>
      <c r="Y19" s="33">
        <f t="shared" si="8"/>
        <v>6932</v>
      </c>
      <c r="Z19" s="34">
        <f>1192+17</f>
        <v>1209</v>
      </c>
      <c r="AB19" s="34">
        <f t="shared" si="9"/>
        <v>1209</v>
      </c>
      <c r="AC19" s="12"/>
      <c r="AD19" s="12">
        <v>3</v>
      </c>
      <c r="AE19" s="12"/>
      <c r="AF19" s="12">
        <f t="shared" si="5"/>
        <v>1212</v>
      </c>
    </row>
    <row r="20" spans="1:32" x14ac:dyDescent="0.25">
      <c r="A20" s="10">
        <v>9</v>
      </c>
      <c r="B20" s="32">
        <v>45293</v>
      </c>
      <c r="C20" s="33">
        <f t="shared" si="6"/>
        <v>6862</v>
      </c>
      <c r="D20" s="34">
        <f>626*20+674*2+596*10+832+205</f>
        <v>20865</v>
      </c>
      <c r="E20" s="34"/>
      <c r="F20" s="34">
        <f t="shared" si="0"/>
        <v>20865</v>
      </c>
      <c r="G20" s="12"/>
      <c r="H20" s="12"/>
      <c r="I20" s="12"/>
      <c r="J20" s="12">
        <f t="shared" si="1"/>
        <v>20865</v>
      </c>
      <c r="L20" s="10">
        <v>9</v>
      </c>
      <c r="M20" s="32">
        <v>45293</v>
      </c>
      <c r="N20" s="33">
        <f t="shared" si="7"/>
        <v>6959</v>
      </c>
      <c r="O20" s="34">
        <f>1878+1192+42.5</f>
        <v>3112.5</v>
      </c>
      <c r="P20" s="34"/>
      <c r="Q20" s="34">
        <f t="shared" si="2"/>
        <v>3112.5</v>
      </c>
      <c r="R20" s="12"/>
      <c r="S20" s="12">
        <v>6</v>
      </c>
      <c r="T20" s="12"/>
      <c r="U20" s="12">
        <f t="shared" si="3"/>
        <v>3118.5</v>
      </c>
      <c r="W20" s="10">
        <v>9</v>
      </c>
      <c r="X20" s="32">
        <v>45293</v>
      </c>
      <c r="Y20" s="33">
        <f t="shared" si="8"/>
        <v>6933</v>
      </c>
      <c r="Z20">
        <f>626+8.5</f>
        <v>634.5</v>
      </c>
      <c r="AA20" s="34"/>
      <c r="AB20" s="34">
        <f t="shared" si="9"/>
        <v>634.5</v>
      </c>
      <c r="AC20" s="12"/>
      <c r="AE20" s="12"/>
      <c r="AF20" s="12">
        <f t="shared" si="5"/>
        <v>634.5</v>
      </c>
    </row>
    <row r="21" spans="1:32" x14ac:dyDescent="0.25">
      <c r="A21" s="10">
        <v>10</v>
      </c>
      <c r="B21" s="32">
        <v>45293</v>
      </c>
      <c r="C21" s="33">
        <f t="shared" si="6"/>
        <v>6863</v>
      </c>
      <c r="D21" s="34">
        <f>750</f>
        <v>750</v>
      </c>
      <c r="E21" s="34"/>
      <c r="F21" s="34">
        <f t="shared" si="0"/>
        <v>750</v>
      </c>
      <c r="G21" s="12"/>
      <c r="H21" s="12"/>
      <c r="I21" s="12"/>
      <c r="J21" s="12">
        <f t="shared" si="1"/>
        <v>750</v>
      </c>
      <c r="L21" s="10">
        <v>10</v>
      </c>
      <c r="M21" s="32">
        <v>45293</v>
      </c>
      <c r="N21" s="33">
        <f t="shared" si="7"/>
        <v>6960</v>
      </c>
      <c r="O21" s="34">
        <f>3756+51</f>
        <v>3807</v>
      </c>
      <c r="P21" s="34"/>
      <c r="Q21" s="34">
        <f t="shared" si="2"/>
        <v>3807</v>
      </c>
      <c r="R21" s="12"/>
      <c r="S21" s="12"/>
      <c r="T21" s="12"/>
      <c r="U21" s="12">
        <f t="shared" si="3"/>
        <v>3807</v>
      </c>
      <c r="W21" s="10">
        <v>10</v>
      </c>
      <c r="X21" s="32">
        <v>45293</v>
      </c>
      <c r="Y21" s="33">
        <f t="shared" si="8"/>
        <v>6934</v>
      </c>
      <c r="Z21" s="34">
        <f>626*5+596+51</f>
        <v>3777</v>
      </c>
      <c r="AA21" s="34"/>
      <c r="AB21" s="34">
        <f t="shared" si="9"/>
        <v>3777</v>
      </c>
      <c r="AC21" s="12"/>
      <c r="AD21" s="12"/>
      <c r="AE21" s="12"/>
      <c r="AF21" s="12">
        <f t="shared" si="5"/>
        <v>3777</v>
      </c>
    </row>
    <row r="22" spans="1:32" x14ac:dyDescent="0.25">
      <c r="A22" s="10">
        <v>11</v>
      </c>
      <c r="B22" s="32">
        <v>45293</v>
      </c>
      <c r="C22" s="33">
        <f t="shared" si="6"/>
        <v>6864</v>
      </c>
      <c r="D22" s="34">
        <f>626*14+596*5+832+205</f>
        <v>12781</v>
      </c>
      <c r="E22" s="34"/>
      <c r="F22" s="34">
        <f t="shared" si="0"/>
        <v>12781</v>
      </c>
      <c r="G22" s="12"/>
      <c r="H22" s="12">
        <v>87</v>
      </c>
      <c r="I22" s="12"/>
      <c r="J22" s="12">
        <f t="shared" si="1"/>
        <v>12868</v>
      </c>
      <c r="L22" s="10">
        <v>11</v>
      </c>
      <c r="M22" s="32">
        <v>45293</v>
      </c>
      <c r="N22" s="33">
        <f t="shared" si="7"/>
        <v>6961</v>
      </c>
      <c r="O22" s="34">
        <f>626</f>
        <v>626</v>
      </c>
      <c r="P22" s="34"/>
      <c r="Q22" s="34">
        <f t="shared" si="2"/>
        <v>626</v>
      </c>
      <c r="R22" s="12"/>
      <c r="S22" s="12"/>
      <c r="T22" s="12"/>
      <c r="U22" s="12">
        <f t="shared" si="3"/>
        <v>626</v>
      </c>
      <c r="W22" s="10">
        <v>11</v>
      </c>
      <c r="X22" s="32">
        <v>45293</v>
      </c>
      <c r="Y22" s="33">
        <f t="shared" si="8"/>
        <v>6935</v>
      </c>
      <c r="Z22" s="34">
        <f>1878+596+34</f>
        <v>2508</v>
      </c>
      <c r="AA22" s="34"/>
      <c r="AB22" s="34">
        <f t="shared" si="4"/>
        <v>2508</v>
      </c>
      <c r="AC22" s="12"/>
      <c r="AD22" s="12"/>
      <c r="AE22" s="12"/>
      <c r="AF22" s="12">
        <f t="shared" si="5"/>
        <v>2508</v>
      </c>
    </row>
    <row r="23" spans="1:32" x14ac:dyDescent="0.25">
      <c r="A23" s="10">
        <v>12</v>
      </c>
      <c r="B23" s="32">
        <v>45293</v>
      </c>
      <c r="C23" s="33">
        <f t="shared" si="6"/>
        <v>6865</v>
      </c>
      <c r="D23" s="34">
        <f>5634+614+596+85</f>
        <v>6929</v>
      </c>
      <c r="E23" s="34"/>
      <c r="F23" s="34">
        <f t="shared" si="0"/>
        <v>6929</v>
      </c>
      <c r="G23" s="12"/>
      <c r="H23" s="12">
        <v>15</v>
      </c>
      <c r="I23" s="10"/>
      <c r="J23" s="12">
        <f t="shared" si="1"/>
        <v>6944</v>
      </c>
      <c r="L23" s="10">
        <v>12</v>
      </c>
      <c r="M23" s="32">
        <v>45293</v>
      </c>
      <c r="N23" s="33">
        <f t="shared" si="7"/>
        <v>6962</v>
      </c>
      <c r="O23" s="34">
        <f>1878+25.5</f>
        <v>1903.5</v>
      </c>
      <c r="P23" s="34"/>
      <c r="Q23" s="34">
        <f t="shared" si="2"/>
        <v>1903.5</v>
      </c>
      <c r="R23" s="12"/>
      <c r="S23" s="12"/>
      <c r="T23" s="12"/>
      <c r="U23" s="12">
        <f t="shared" si="3"/>
        <v>1903.5</v>
      </c>
      <c r="W23" s="10">
        <v>12</v>
      </c>
      <c r="X23" s="32">
        <v>45293</v>
      </c>
      <c r="Y23" s="33">
        <f t="shared" si="8"/>
        <v>6936</v>
      </c>
      <c r="Z23" s="34">
        <f>626+614+8.5</f>
        <v>1248.5</v>
      </c>
      <c r="AA23" s="34"/>
      <c r="AB23" s="34">
        <f t="shared" si="4"/>
        <v>1248.5</v>
      </c>
      <c r="AC23" s="12"/>
      <c r="AD23" s="12"/>
      <c r="AE23" s="12"/>
      <c r="AF23" s="12">
        <f t="shared" si="5"/>
        <v>1248.5</v>
      </c>
    </row>
    <row r="24" spans="1:32" x14ac:dyDescent="0.25">
      <c r="A24" s="10">
        <v>13</v>
      </c>
      <c r="B24" s="32">
        <v>45293</v>
      </c>
      <c r="C24" s="33">
        <f t="shared" si="6"/>
        <v>6866</v>
      </c>
      <c r="D24" s="34">
        <f>1878+25.5</f>
        <v>1903.5</v>
      </c>
      <c r="E24" s="34"/>
      <c r="F24" s="34">
        <f t="shared" si="0"/>
        <v>1903.5</v>
      </c>
      <c r="G24" s="12"/>
      <c r="H24" s="12"/>
      <c r="I24" s="12"/>
      <c r="J24" s="12">
        <f t="shared" si="1"/>
        <v>1903.5</v>
      </c>
      <c r="L24" s="10">
        <v>13</v>
      </c>
      <c r="M24" s="32">
        <v>45293</v>
      </c>
      <c r="N24" s="33">
        <f t="shared" si="7"/>
        <v>6963</v>
      </c>
      <c r="O24" s="34">
        <f>3130+8.5</f>
        <v>3138.5</v>
      </c>
      <c r="P24" s="34"/>
      <c r="Q24" s="34">
        <f t="shared" si="2"/>
        <v>3138.5</v>
      </c>
      <c r="R24" s="12"/>
      <c r="S24" s="12"/>
      <c r="T24" s="12"/>
      <c r="U24" s="12">
        <f t="shared" si="3"/>
        <v>3138.5</v>
      </c>
      <c r="W24" s="10">
        <v>13</v>
      </c>
      <c r="X24" s="32">
        <v>45293</v>
      </c>
      <c r="Y24" s="33">
        <f t="shared" si="8"/>
        <v>6937</v>
      </c>
      <c r="Z24" s="34">
        <f>5008+614+1192+416+85</f>
        <v>7315</v>
      </c>
      <c r="AA24" s="34"/>
      <c r="AB24" s="34">
        <f t="shared" si="4"/>
        <v>7315</v>
      </c>
      <c r="AC24" s="12"/>
      <c r="AD24" s="12"/>
      <c r="AE24" s="12"/>
      <c r="AF24" s="12">
        <f t="shared" si="5"/>
        <v>7315</v>
      </c>
    </row>
    <row r="25" spans="1:32" x14ac:dyDescent="0.25">
      <c r="A25" s="10">
        <v>14</v>
      </c>
      <c r="B25" s="32">
        <v>45293</v>
      </c>
      <c r="C25" s="33">
        <f t="shared" si="6"/>
        <v>6867</v>
      </c>
      <c r="D25" s="34">
        <f>1878+614+34</f>
        <v>2526</v>
      </c>
      <c r="E25" s="34"/>
      <c r="F25" s="34">
        <f t="shared" si="0"/>
        <v>2526</v>
      </c>
      <c r="G25" s="12"/>
      <c r="H25" s="12">
        <v>18</v>
      </c>
      <c r="I25" s="12"/>
      <c r="J25" s="12">
        <f t="shared" si="1"/>
        <v>2544</v>
      </c>
      <c r="L25" s="10">
        <v>14</v>
      </c>
      <c r="M25" s="32">
        <v>45293</v>
      </c>
      <c r="N25" s="33">
        <f t="shared" si="7"/>
        <v>6964</v>
      </c>
      <c r="O25" s="34">
        <f>32552+2980+410</f>
        <v>35942</v>
      </c>
      <c r="P25" s="34"/>
      <c r="Q25" s="34">
        <f t="shared" si="2"/>
        <v>35942</v>
      </c>
      <c r="R25" s="12"/>
      <c r="S25" s="12"/>
      <c r="T25" s="12"/>
      <c r="U25" s="12">
        <f t="shared" si="3"/>
        <v>35942</v>
      </c>
      <c r="W25" s="10">
        <v>14</v>
      </c>
      <c r="X25" s="32">
        <v>45293</v>
      </c>
      <c r="Y25" s="33">
        <f t="shared" si="8"/>
        <v>6938</v>
      </c>
      <c r="Z25" s="34">
        <f>2504+1192+51</f>
        <v>3747</v>
      </c>
      <c r="AA25" s="34"/>
      <c r="AB25" s="34">
        <f t="shared" si="4"/>
        <v>3747</v>
      </c>
      <c r="AC25" s="12"/>
      <c r="AD25" s="12">
        <v>9</v>
      </c>
      <c r="AE25" s="12"/>
      <c r="AF25" s="12">
        <f t="shared" si="5"/>
        <v>3756</v>
      </c>
    </row>
    <row r="26" spans="1:32" x14ac:dyDescent="0.25">
      <c r="A26" s="10">
        <v>15</v>
      </c>
      <c r="B26" s="32"/>
      <c r="C26" s="11" t="s">
        <v>28</v>
      </c>
      <c r="D26" s="34"/>
      <c r="E26" s="34"/>
      <c r="F26" s="34">
        <f t="shared" si="0"/>
        <v>0</v>
      </c>
      <c r="G26" s="12"/>
      <c r="H26" s="12"/>
      <c r="I26" s="12"/>
      <c r="J26" s="12">
        <f t="shared" si="1"/>
        <v>0</v>
      </c>
      <c r="L26" s="10">
        <v>15</v>
      </c>
      <c r="M26" s="32">
        <v>45293</v>
      </c>
      <c r="N26" s="33">
        <f t="shared" si="7"/>
        <v>6965</v>
      </c>
      <c r="O26" s="34">
        <f>626*2+17</f>
        <v>1269</v>
      </c>
      <c r="P26" s="34"/>
      <c r="Q26" s="34">
        <f t="shared" si="2"/>
        <v>1269</v>
      </c>
      <c r="R26" s="12"/>
      <c r="S26" s="12">
        <v>16.5</v>
      </c>
      <c r="T26" s="12"/>
      <c r="U26" s="12">
        <f t="shared" si="3"/>
        <v>1285.5</v>
      </c>
      <c r="W26" s="10">
        <v>15</v>
      </c>
      <c r="X26" s="32">
        <v>45293</v>
      </c>
      <c r="Y26" s="33">
        <f t="shared" si="8"/>
        <v>6939</v>
      </c>
      <c r="Z26" s="34">
        <f>410</f>
        <v>410</v>
      </c>
      <c r="AA26" s="34"/>
      <c r="AB26" s="34">
        <f t="shared" si="4"/>
        <v>410</v>
      </c>
      <c r="AC26" s="12"/>
      <c r="AD26" s="12">
        <v>156</v>
      </c>
      <c r="AE26" s="12"/>
      <c r="AF26" s="12">
        <f t="shared" si="5"/>
        <v>566</v>
      </c>
    </row>
    <row r="27" spans="1:32" x14ac:dyDescent="0.25">
      <c r="A27" s="10">
        <v>16</v>
      </c>
      <c r="B27" s="32"/>
      <c r="C27" s="33"/>
      <c r="D27" s="34"/>
      <c r="E27" s="34"/>
      <c r="F27" s="34">
        <f t="shared" si="0"/>
        <v>0</v>
      </c>
      <c r="G27" s="12"/>
      <c r="H27" s="12"/>
      <c r="I27" s="12"/>
      <c r="J27" s="12">
        <f t="shared" si="1"/>
        <v>0</v>
      </c>
      <c r="L27" s="10">
        <v>16</v>
      </c>
      <c r="M27" s="32">
        <v>45293</v>
      </c>
      <c r="N27" s="33">
        <f t="shared" si="7"/>
        <v>6966</v>
      </c>
      <c r="O27" s="34">
        <f>1878+25.5</f>
        <v>1903.5</v>
      </c>
      <c r="P27" s="34"/>
      <c r="Q27" s="34">
        <f t="shared" si="2"/>
        <v>1903.5</v>
      </c>
      <c r="R27" s="12"/>
      <c r="S27" s="12"/>
      <c r="T27" s="12"/>
      <c r="U27" s="12">
        <f t="shared" si="3"/>
        <v>1903.5</v>
      </c>
      <c r="W27" s="10">
        <v>16</v>
      </c>
      <c r="X27" s="32">
        <v>45293</v>
      </c>
      <c r="Y27" s="33">
        <f t="shared" si="8"/>
        <v>6940</v>
      </c>
      <c r="Z27" s="34">
        <f>1878+1192+42.5</f>
        <v>3112.5</v>
      </c>
      <c r="AA27" s="34"/>
      <c r="AB27" s="34">
        <f t="shared" si="4"/>
        <v>3112.5</v>
      </c>
      <c r="AC27" s="12"/>
      <c r="AD27" s="12"/>
      <c r="AE27" s="12"/>
      <c r="AF27" s="12">
        <f t="shared" si="5"/>
        <v>3112.5</v>
      </c>
    </row>
    <row r="28" spans="1:32" x14ac:dyDescent="0.25">
      <c r="A28" s="10">
        <v>17</v>
      </c>
      <c r="B28" s="32"/>
      <c r="C28" s="33"/>
      <c r="D28" s="34"/>
      <c r="E28" s="34"/>
      <c r="F28" s="34">
        <f t="shared" si="0"/>
        <v>0</v>
      </c>
      <c r="G28" s="12"/>
      <c r="H28" s="12"/>
      <c r="I28" s="12"/>
      <c r="J28" s="12">
        <f t="shared" si="1"/>
        <v>0</v>
      </c>
      <c r="L28" s="10">
        <v>17</v>
      </c>
      <c r="M28" s="32">
        <v>45293</v>
      </c>
      <c r="N28" s="33">
        <f t="shared" si="7"/>
        <v>6967</v>
      </c>
      <c r="O28" s="37">
        <f>12520+3576+205</f>
        <v>16301</v>
      </c>
      <c r="P28" s="34"/>
      <c r="Q28" s="34">
        <f t="shared" si="2"/>
        <v>16301</v>
      </c>
      <c r="R28" s="12"/>
      <c r="S28" s="12"/>
      <c r="T28" s="12"/>
      <c r="U28" s="12">
        <f t="shared" si="3"/>
        <v>16301</v>
      </c>
      <c r="W28" s="10">
        <v>17</v>
      </c>
      <c r="X28" s="32">
        <v>45293</v>
      </c>
      <c r="Y28" s="33">
        <f t="shared" si="8"/>
        <v>6941</v>
      </c>
      <c r="Z28" s="37">
        <f>1192+17</f>
        <v>1209</v>
      </c>
      <c r="AA28" s="34"/>
      <c r="AB28" s="34">
        <f t="shared" si="4"/>
        <v>1209</v>
      </c>
      <c r="AC28" s="12"/>
      <c r="AD28" s="12"/>
      <c r="AE28" s="12"/>
      <c r="AF28" s="12">
        <f t="shared" si="5"/>
        <v>1209</v>
      </c>
    </row>
    <row r="29" spans="1:32" x14ac:dyDescent="0.25">
      <c r="A29" s="10">
        <v>18</v>
      </c>
      <c r="B29" s="32"/>
      <c r="C29" s="33"/>
      <c r="D29" s="34"/>
      <c r="E29" s="34"/>
      <c r="F29" s="34">
        <f t="shared" si="0"/>
        <v>0</v>
      </c>
      <c r="G29" s="12"/>
      <c r="H29" s="12"/>
      <c r="I29" s="12"/>
      <c r="J29" s="12">
        <f t="shared" si="1"/>
        <v>0</v>
      </c>
      <c r="L29" s="10">
        <v>18</v>
      </c>
      <c r="M29" s="32">
        <v>45293</v>
      </c>
      <c r="N29" s="33">
        <f t="shared" si="7"/>
        <v>6968</v>
      </c>
      <c r="O29" s="34">
        <f>1252+596+17</f>
        <v>1865</v>
      </c>
      <c r="P29" s="34"/>
      <c r="Q29" s="34">
        <f t="shared" si="2"/>
        <v>1865</v>
      </c>
      <c r="R29" s="12"/>
      <c r="S29" s="12"/>
      <c r="T29" s="12"/>
      <c r="U29" s="12">
        <f t="shared" si="3"/>
        <v>1865</v>
      </c>
      <c r="W29" s="10">
        <v>18</v>
      </c>
      <c r="X29" s="32">
        <v>45293</v>
      </c>
      <c r="Y29" s="33">
        <f t="shared" si="8"/>
        <v>6942</v>
      </c>
      <c r="Z29" s="34">
        <f>626*102+596*98+205*6</f>
        <v>123490</v>
      </c>
      <c r="AA29" s="34">
        <v>-1800</v>
      </c>
      <c r="AB29" s="34">
        <f t="shared" si="4"/>
        <v>121690</v>
      </c>
      <c r="AC29" s="12"/>
      <c r="AD29" s="12">
        <f>78+33</f>
        <v>111</v>
      </c>
      <c r="AE29" s="12"/>
      <c r="AF29" s="12">
        <f t="shared" si="5"/>
        <v>121801</v>
      </c>
    </row>
    <row r="30" spans="1:32" x14ac:dyDescent="0.25">
      <c r="A30" s="10">
        <v>19</v>
      </c>
      <c r="B30" s="32"/>
      <c r="C30" s="33"/>
      <c r="D30" s="34"/>
      <c r="E30" s="34"/>
      <c r="F30" s="34">
        <f t="shared" si="0"/>
        <v>0</v>
      </c>
      <c r="G30" s="12"/>
      <c r="H30" s="12"/>
      <c r="I30" s="12"/>
      <c r="J30" s="12">
        <f t="shared" si="1"/>
        <v>0</v>
      </c>
      <c r="L30" s="10">
        <v>19</v>
      </c>
      <c r="M30" s="32">
        <v>45293</v>
      </c>
      <c r="N30" s="33">
        <f t="shared" si="7"/>
        <v>6969</v>
      </c>
      <c r="O30" s="34">
        <f>626+614+596+17</f>
        <v>1853</v>
      </c>
      <c r="P30" s="34"/>
      <c r="Q30" s="34">
        <f t="shared" si="2"/>
        <v>1853</v>
      </c>
      <c r="R30" s="12"/>
      <c r="S30" s="12"/>
      <c r="T30" s="12"/>
      <c r="U30" s="12">
        <f t="shared" si="3"/>
        <v>1853</v>
      </c>
      <c r="W30" s="10">
        <v>19</v>
      </c>
      <c r="X30" s="32">
        <v>45293</v>
      </c>
      <c r="Y30" s="33">
        <f t="shared" si="8"/>
        <v>6943</v>
      </c>
      <c r="Z30" s="34">
        <f>614+416</f>
        <v>1030</v>
      </c>
      <c r="AA30" s="34"/>
      <c r="AB30" s="34">
        <f t="shared" si="4"/>
        <v>1030</v>
      </c>
      <c r="AC30" s="12"/>
      <c r="AD30" s="12"/>
      <c r="AE30" s="12"/>
      <c r="AF30" s="12">
        <f t="shared" si="5"/>
        <v>1030</v>
      </c>
    </row>
    <row r="31" spans="1:32" x14ac:dyDescent="0.25">
      <c r="A31" s="10">
        <v>20</v>
      </c>
      <c r="B31" s="32"/>
      <c r="C31" s="33"/>
      <c r="D31" s="34"/>
      <c r="E31" s="34"/>
      <c r="F31" s="34">
        <f t="shared" si="0"/>
        <v>0</v>
      </c>
      <c r="G31" s="12"/>
      <c r="H31" s="12"/>
      <c r="I31" s="12"/>
      <c r="J31" s="12">
        <f t="shared" si="1"/>
        <v>0</v>
      </c>
      <c r="L31" s="10">
        <v>20</v>
      </c>
      <c r="M31" s="32">
        <v>45293</v>
      </c>
      <c r="N31" s="33">
        <f t="shared" si="7"/>
        <v>6970</v>
      </c>
      <c r="O31" s="34">
        <f>4382+59.5</f>
        <v>4441.5</v>
      </c>
      <c r="P31" s="34"/>
      <c r="Q31" s="34">
        <f t="shared" si="2"/>
        <v>4441.5</v>
      </c>
      <c r="R31" s="12"/>
      <c r="S31" s="12"/>
      <c r="T31" s="12"/>
      <c r="U31" s="12">
        <f t="shared" si="3"/>
        <v>4441.5</v>
      </c>
      <c r="W31" s="10">
        <v>20</v>
      </c>
      <c r="X31" s="32">
        <v>45293</v>
      </c>
      <c r="Y31" s="33">
        <f t="shared" si="8"/>
        <v>6944</v>
      </c>
      <c r="Z31" s="34">
        <f>626+8.5</f>
        <v>634.5</v>
      </c>
      <c r="AA31" s="34"/>
      <c r="AB31" s="34">
        <f t="shared" si="4"/>
        <v>634.5</v>
      </c>
      <c r="AC31" s="12"/>
      <c r="AD31" s="12"/>
      <c r="AE31" s="12"/>
      <c r="AF31" s="12">
        <f t="shared" si="5"/>
        <v>634.5</v>
      </c>
    </row>
    <row r="32" spans="1:32" x14ac:dyDescent="0.25">
      <c r="A32" s="10">
        <v>21</v>
      </c>
      <c r="B32" s="32"/>
      <c r="C32" s="33"/>
      <c r="D32" s="34"/>
      <c r="E32" s="34"/>
      <c r="F32" s="34">
        <f t="shared" si="0"/>
        <v>0</v>
      </c>
      <c r="G32" s="10"/>
      <c r="H32" s="10"/>
      <c r="I32" s="10"/>
      <c r="J32" s="12">
        <f t="shared" si="1"/>
        <v>0</v>
      </c>
      <c r="L32" s="10">
        <v>21</v>
      </c>
      <c r="M32" s="32">
        <v>45293</v>
      </c>
      <c r="N32" s="33">
        <f t="shared" si="7"/>
        <v>6971</v>
      </c>
      <c r="O32" s="50">
        <f>2504+2384+68+2022</f>
        <v>6978</v>
      </c>
      <c r="P32" s="33"/>
      <c r="Q32" s="34">
        <f t="shared" si="2"/>
        <v>6978</v>
      </c>
      <c r="R32" s="10"/>
      <c r="S32" s="10"/>
      <c r="T32" s="10"/>
      <c r="U32" s="12">
        <f t="shared" si="3"/>
        <v>6978</v>
      </c>
      <c r="W32" s="10">
        <v>21</v>
      </c>
      <c r="X32" s="32"/>
      <c r="Y32" s="11" t="s">
        <v>28</v>
      </c>
      <c r="Z32" s="50"/>
      <c r="AA32" s="33"/>
      <c r="AB32" s="34">
        <f t="shared" si="4"/>
        <v>0</v>
      </c>
      <c r="AC32" s="10"/>
      <c r="AD32" s="10"/>
      <c r="AE32" s="10"/>
      <c r="AF32" s="12">
        <f t="shared" si="5"/>
        <v>0</v>
      </c>
    </row>
    <row r="33" spans="1:32" x14ac:dyDescent="0.25">
      <c r="A33" s="10">
        <v>22</v>
      </c>
      <c r="B33" s="32"/>
      <c r="C33" s="33"/>
      <c r="D33" s="34"/>
      <c r="E33" s="34"/>
      <c r="F33" s="34">
        <f t="shared" si="0"/>
        <v>0</v>
      </c>
      <c r="G33" s="10"/>
      <c r="H33" s="10"/>
      <c r="I33" s="10"/>
      <c r="J33" s="12">
        <f t="shared" si="1"/>
        <v>0</v>
      </c>
      <c r="L33" s="10">
        <v>22</v>
      </c>
      <c r="M33" s="32"/>
      <c r="N33" s="11" t="s">
        <v>28</v>
      </c>
      <c r="O33" s="49"/>
      <c r="P33" s="33"/>
      <c r="Q33" s="34">
        <f t="shared" si="2"/>
        <v>0</v>
      </c>
      <c r="R33" s="10"/>
      <c r="S33" s="10"/>
      <c r="T33" s="10"/>
      <c r="U33" s="12">
        <f t="shared" si="3"/>
        <v>0</v>
      </c>
      <c r="W33" s="10">
        <v>22</v>
      </c>
      <c r="X33" s="32"/>
      <c r="Y33" s="33"/>
      <c r="Z33" s="49"/>
      <c r="AA33" s="33"/>
      <c r="AB33" s="34">
        <f t="shared" si="4"/>
        <v>0</v>
      </c>
      <c r="AC33" s="10"/>
      <c r="AD33" s="10"/>
      <c r="AE33" s="10"/>
      <c r="AF33" s="12">
        <f t="shared" si="5"/>
        <v>0</v>
      </c>
    </row>
    <row r="34" spans="1:32" x14ac:dyDescent="0.25">
      <c r="A34" s="10">
        <v>23</v>
      </c>
      <c r="B34" s="32"/>
      <c r="C34" s="33"/>
      <c r="D34" s="34"/>
      <c r="E34" s="34"/>
      <c r="F34" s="34">
        <f t="shared" si="0"/>
        <v>0</v>
      </c>
      <c r="G34" s="10"/>
      <c r="H34" s="10"/>
      <c r="I34" s="12"/>
      <c r="J34" s="12">
        <f t="shared" si="1"/>
        <v>0</v>
      </c>
      <c r="L34" s="10">
        <v>23</v>
      </c>
      <c r="M34" s="32"/>
      <c r="N34" s="33"/>
      <c r="O34" s="51"/>
      <c r="Q34" s="34">
        <f t="shared" si="2"/>
        <v>0</v>
      </c>
      <c r="R34" s="10"/>
      <c r="S34" s="10"/>
      <c r="T34" s="10"/>
      <c r="U34" s="12">
        <f t="shared" si="3"/>
        <v>0</v>
      </c>
      <c r="W34" s="10">
        <v>23</v>
      </c>
      <c r="X34" s="32"/>
      <c r="Y34" s="33"/>
      <c r="Z34" s="51"/>
      <c r="AB34" s="34">
        <f t="shared" si="4"/>
        <v>0</v>
      </c>
      <c r="AC34" s="10"/>
      <c r="AD34" s="10"/>
      <c r="AE34" s="10"/>
      <c r="AF34" s="12">
        <f t="shared" si="5"/>
        <v>0</v>
      </c>
    </row>
    <row r="35" spans="1:32" x14ac:dyDescent="0.25">
      <c r="A35" s="10">
        <v>24</v>
      </c>
      <c r="B35" s="32"/>
      <c r="C35" s="33"/>
      <c r="D35" s="34"/>
      <c r="E35" s="34"/>
      <c r="F35" s="34">
        <f t="shared" si="0"/>
        <v>0</v>
      </c>
      <c r="G35" s="10"/>
      <c r="H35" s="10"/>
      <c r="I35" s="10"/>
      <c r="J35" s="12">
        <f t="shared" si="1"/>
        <v>0</v>
      </c>
      <c r="L35" s="10">
        <v>24</v>
      </c>
      <c r="M35" s="32"/>
      <c r="N35" s="33"/>
      <c r="O35" s="51"/>
      <c r="P35" s="33"/>
      <c r="Q35" s="34">
        <f t="shared" si="2"/>
        <v>0</v>
      </c>
      <c r="R35" s="10"/>
      <c r="S35" s="10"/>
      <c r="T35" s="10"/>
      <c r="U35" s="12">
        <f t="shared" si="3"/>
        <v>0</v>
      </c>
      <c r="W35" s="10">
        <v>24</v>
      </c>
      <c r="X35" s="32"/>
      <c r="Y35" s="33"/>
      <c r="Z35" s="51"/>
      <c r="AA35" s="33"/>
      <c r="AB35" s="34">
        <f t="shared" si="4"/>
        <v>0</v>
      </c>
      <c r="AC35" s="10"/>
      <c r="AD35" s="10"/>
      <c r="AE35" s="10"/>
      <c r="AF35" s="12">
        <f t="shared" si="5"/>
        <v>0</v>
      </c>
    </row>
    <row r="36" spans="1:32" x14ac:dyDescent="0.25">
      <c r="A36" s="10">
        <v>25</v>
      </c>
      <c r="B36" s="32"/>
      <c r="C36" s="33"/>
      <c r="D36" s="34"/>
      <c r="E36" s="34"/>
      <c r="F36" s="34">
        <f t="shared" si="0"/>
        <v>0</v>
      </c>
      <c r="G36" s="10"/>
      <c r="H36" s="10"/>
      <c r="I36" s="10"/>
      <c r="J36" s="12">
        <f t="shared" si="1"/>
        <v>0</v>
      </c>
      <c r="L36" s="10">
        <v>25</v>
      </c>
      <c r="M36" s="32"/>
      <c r="N36" s="33"/>
      <c r="O36" s="51"/>
      <c r="P36" s="33"/>
      <c r="Q36" s="34">
        <f t="shared" si="2"/>
        <v>0</v>
      </c>
      <c r="R36" s="10"/>
      <c r="S36" s="10"/>
      <c r="T36" s="10"/>
      <c r="U36" s="12">
        <f t="shared" si="3"/>
        <v>0</v>
      </c>
      <c r="W36" s="10">
        <v>25</v>
      </c>
      <c r="X36" s="32"/>
      <c r="Y36" s="33"/>
      <c r="Z36" s="51"/>
      <c r="AA36" s="33"/>
      <c r="AB36" s="34">
        <f t="shared" si="4"/>
        <v>0</v>
      </c>
      <c r="AC36" s="10"/>
      <c r="AD36" s="10"/>
      <c r="AE36" s="10"/>
      <c r="AF36" s="12">
        <f t="shared" si="5"/>
        <v>0</v>
      </c>
    </row>
    <row r="37" spans="1:32" x14ac:dyDescent="0.25">
      <c r="A37" s="10">
        <v>26</v>
      </c>
      <c r="B37" s="32"/>
      <c r="D37" s="34"/>
      <c r="E37" s="34"/>
      <c r="F37" s="34">
        <f t="shared" si="0"/>
        <v>0</v>
      </c>
      <c r="G37" s="10"/>
      <c r="H37" s="10"/>
      <c r="I37" s="10"/>
      <c r="J37" s="12">
        <f t="shared" si="1"/>
        <v>0</v>
      </c>
      <c r="L37" s="10">
        <v>26</v>
      </c>
      <c r="M37" s="32"/>
      <c r="N37" s="33"/>
      <c r="O37" s="51"/>
      <c r="P37" s="33"/>
      <c r="Q37" s="34">
        <f t="shared" si="2"/>
        <v>0</v>
      </c>
      <c r="R37" s="10"/>
      <c r="S37" s="10"/>
      <c r="T37" s="10"/>
      <c r="U37" s="12">
        <f t="shared" si="3"/>
        <v>0</v>
      </c>
      <c r="W37" s="10">
        <v>26</v>
      </c>
      <c r="X37" s="32"/>
      <c r="Z37" s="51"/>
      <c r="AA37" s="33"/>
      <c r="AB37" s="34">
        <f t="shared" si="4"/>
        <v>0</v>
      </c>
      <c r="AC37" s="10"/>
      <c r="AD37" s="10"/>
      <c r="AE37" s="10"/>
      <c r="AF37" s="12">
        <f t="shared" si="5"/>
        <v>0</v>
      </c>
    </row>
    <row r="38" spans="1:32" x14ac:dyDescent="0.25">
      <c r="A38" s="10">
        <v>27</v>
      </c>
      <c r="B38" s="32"/>
      <c r="C38" s="33"/>
      <c r="D38" s="34"/>
      <c r="E38" s="34"/>
      <c r="F38" s="34">
        <f t="shared" si="0"/>
        <v>0</v>
      </c>
      <c r="G38" s="10"/>
      <c r="H38" s="10"/>
      <c r="I38" s="10"/>
      <c r="J38" s="12">
        <f t="shared" si="1"/>
        <v>0</v>
      </c>
      <c r="L38" s="10">
        <v>27</v>
      </c>
      <c r="M38" s="32"/>
      <c r="O38" s="51"/>
      <c r="P38" s="33"/>
      <c r="Q38" s="34">
        <f t="shared" si="2"/>
        <v>0</v>
      </c>
      <c r="R38" s="10"/>
      <c r="S38" s="10"/>
      <c r="T38" s="10"/>
      <c r="U38" s="12">
        <f t="shared" si="3"/>
        <v>0</v>
      </c>
      <c r="W38" s="10">
        <v>27</v>
      </c>
      <c r="X38" s="32"/>
      <c r="Y38" s="33"/>
      <c r="Z38" s="51"/>
      <c r="AA38" s="33"/>
      <c r="AB38" s="34">
        <f t="shared" si="4"/>
        <v>0</v>
      </c>
      <c r="AC38" s="10"/>
      <c r="AD38" s="10"/>
      <c r="AE38" s="10"/>
      <c r="AF38" s="12">
        <f t="shared" si="5"/>
        <v>0</v>
      </c>
    </row>
    <row r="39" spans="1:32" x14ac:dyDescent="0.25">
      <c r="A39" s="10">
        <v>28</v>
      </c>
      <c r="B39" s="32"/>
      <c r="C39" s="33"/>
      <c r="D39" s="34"/>
      <c r="E39" s="34"/>
      <c r="F39" s="34">
        <f t="shared" si="0"/>
        <v>0</v>
      </c>
      <c r="G39" s="10"/>
      <c r="H39" s="10"/>
      <c r="I39" s="10"/>
      <c r="J39" s="12">
        <f t="shared" si="1"/>
        <v>0</v>
      </c>
      <c r="L39" s="10">
        <v>28</v>
      </c>
      <c r="M39" s="32"/>
      <c r="N39" s="33"/>
      <c r="O39" s="51"/>
      <c r="P39" s="33"/>
      <c r="Q39" s="34">
        <f t="shared" si="2"/>
        <v>0</v>
      </c>
      <c r="R39" s="10"/>
      <c r="S39" s="10"/>
      <c r="T39" s="10"/>
      <c r="U39" s="12">
        <f t="shared" si="3"/>
        <v>0</v>
      </c>
      <c r="W39" s="10">
        <v>28</v>
      </c>
      <c r="X39" s="32"/>
      <c r="Y39" s="33"/>
      <c r="Z39" s="51"/>
      <c r="AA39" s="33"/>
      <c r="AB39" s="34">
        <f t="shared" si="4"/>
        <v>0</v>
      </c>
      <c r="AC39" s="10"/>
      <c r="AD39" s="10"/>
      <c r="AE39" s="10"/>
      <c r="AF39" s="12">
        <f t="shared" si="5"/>
        <v>0</v>
      </c>
    </row>
    <row r="40" spans="1:32" x14ac:dyDescent="0.25">
      <c r="A40" s="10">
        <v>29</v>
      </c>
      <c r="B40" s="32"/>
      <c r="C40" s="33"/>
      <c r="D40" s="34"/>
      <c r="E40" s="34"/>
      <c r="F40" s="34">
        <f t="shared" si="0"/>
        <v>0</v>
      </c>
      <c r="G40" s="10"/>
      <c r="H40" s="10"/>
      <c r="I40" s="10"/>
      <c r="J40" s="12">
        <f t="shared" si="1"/>
        <v>0</v>
      </c>
      <c r="L40" s="10">
        <v>29</v>
      </c>
      <c r="M40" s="32"/>
      <c r="N40" s="33"/>
      <c r="O40" s="51"/>
      <c r="P40" s="33"/>
      <c r="Q40" s="34">
        <f t="shared" si="2"/>
        <v>0</v>
      </c>
      <c r="R40" s="10"/>
      <c r="S40" s="10"/>
      <c r="T40" s="10"/>
      <c r="U40" s="12">
        <f t="shared" si="3"/>
        <v>0</v>
      </c>
      <c r="W40" s="10">
        <v>29</v>
      </c>
      <c r="X40" s="32"/>
      <c r="Y40" s="33"/>
      <c r="Z40" s="51"/>
      <c r="AA40" s="33"/>
      <c r="AB40" s="34">
        <f t="shared" si="4"/>
        <v>0</v>
      </c>
      <c r="AC40" s="10"/>
      <c r="AD40" s="10"/>
      <c r="AE40" s="10"/>
      <c r="AF40" s="12">
        <f t="shared" si="5"/>
        <v>0</v>
      </c>
    </row>
    <row r="41" spans="1:32" x14ac:dyDescent="0.25">
      <c r="A41" s="10">
        <v>30</v>
      </c>
      <c r="B41" s="32"/>
      <c r="C41" s="33"/>
      <c r="D41" s="34"/>
      <c r="E41" s="34"/>
      <c r="F41" s="34">
        <f t="shared" si="0"/>
        <v>0</v>
      </c>
      <c r="G41" s="10"/>
      <c r="H41" s="10"/>
      <c r="I41" s="10"/>
      <c r="J41" s="12">
        <f t="shared" si="1"/>
        <v>0</v>
      </c>
      <c r="L41" s="10">
        <v>30</v>
      </c>
      <c r="M41" s="32"/>
      <c r="N41" s="33"/>
      <c r="O41" s="51"/>
      <c r="P41" s="33"/>
      <c r="Q41" s="34">
        <f t="shared" si="2"/>
        <v>0</v>
      </c>
      <c r="R41" s="10"/>
      <c r="S41" s="10"/>
      <c r="T41" s="10"/>
      <c r="U41" s="12">
        <f t="shared" si="3"/>
        <v>0</v>
      </c>
      <c r="W41" s="10">
        <v>30</v>
      </c>
      <c r="X41" s="32"/>
      <c r="Y41" s="33"/>
      <c r="Z41" s="51"/>
      <c r="AA41" s="33"/>
      <c r="AB41" s="34">
        <f t="shared" si="4"/>
        <v>0</v>
      </c>
      <c r="AC41" s="10"/>
      <c r="AD41" s="10"/>
      <c r="AE41" s="10"/>
      <c r="AF41" s="12">
        <f t="shared" si="5"/>
        <v>0</v>
      </c>
    </row>
    <row r="42" spans="1:32" x14ac:dyDescent="0.25">
      <c r="A42" s="10">
        <v>31</v>
      </c>
      <c r="B42" s="32"/>
      <c r="C42" s="33"/>
      <c r="D42" s="34"/>
      <c r="E42" s="34"/>
      <c r="F42" s="34">
        <f t="shared" si="0"/>
        <v>0</v>
      </c>
      <c r="G42" s="10"/>
      <c r="H42" s="10"/>
      <c r="I42" s="10"/>
      <c r="J42" s="12">
        <f t="shared" si="1"/>
        <v>0</v>
      </c>
      <c r="L42" s="10">
        <v>31</v>
      </c>
      <c r="M42" s="32"/>
      <c r="N42" s="33"/>
      <c r="O42" s="51"/>
      <c r="P42" s="33"/>
      <c r="Q42" s="34">
        <f t="shared" si="2"/>
        <v>0</v>
      </c>
      <c r="R42" s="10"/>
      <c r="S42" s="10"/>
      <c r="T42" s="10"/>
      <c r="U42" s="12">
        <f t="shared" si="3"/>
        <v>0</v>
      </c>
      <c r="W42" s="10">
        <v>31</v>
      </c>
      <c r="X42" s="32"/>
      <c r="Y42" s="33"/>
      <c r="Z42" s="51"/>
      <c r="AA42" s="33"/>
      <c r="AB42" s="34">
        <f t="shared" si="4"/>
        <v>0</v>
      </c>
      <c r="AC42" s="10"/>
      <c r="AD42" s="10"/>
      <c r="AE42" s="10"/>
      <c r="AF42" s="12">
        <f t="shared" si="5"/>
        <v>0</v>
      </c>
    </row>
    <row r="43" spans="1:32" x14ac:dyDescent="0.25">
      <c r="A43" s="10">
        <v>32</v>
      </c>
      <c r="B43" s="32"/>
      <c r="C43" s="33"/>
      <c r="D43" s="34"/>
      <c r="E43" s="34"/>
      <c r="F43" s="34">
        <f t="shared" si="0"/>
        <v>0</v>
      </c>
      <c r="G43" s="10"/>
      <c r="H43" s="10"/>
      <c r="I43" s="10"/>
      <c r="J43" s="12">
        <f t="shared" si="1"/>
        <v>0</v>
      </c>
      <c r="L43" s="10">
        <v>32</v>
      </c>
      <c r="M43" s="32"/>
      <c r="N43" s="33"/>
      <c r="O43" s="51"/>
      <c r="P43" s="33"/>
      <c r="Q43" s="34">
        <f t="shared" si="2"/>
        <v>0</v>
      </c>
      <c r="R43" s="10"/>
      <c r="S43" s="10"/>
      <c r="T43" s="10"/>
      <c r="U43" s="12">
        <f t="shared" si="3"/>
        <v>0</v>
      </c>
      <c r="W43" s="10">
        <v>32</v>
      </c>
      <c r="X43" s="32"/>
      <c r="Y43" s="33"/>
      <c r="Z43" s="51"/>
      <c r="AA43" s="33"/>
      <c r="AB43" s="34">
        <f t="shared" si="4"/>
        <v>0</v>
      </c>
      <c r="AC43" s="10"/>
      <c r="AD43" s="10"/>
      <c r="AE43" s="10"/>
      <c r="AF43" s="12">
        <f t="shared" si="5"/>
        <v>0</v>
      </c>
    </row>
    <row r="44" spans="1:32" x14ac:dyDescent="0.25">
      <c r="A44" s="10">
        <v>33</v>
      </c>
      <c r="B44" s="32"/>
      <c r="D44" s="34"/>
      <c r="E44" s="34"/>
      <c r="F44" s="34">
        <f t="shared" si="0"/>
        <v>0</v>
      </c>
      <c r="G44" s="10"/>
      <c r="H44" s="10"/>
      <c r="I44" s="10"/>
      <c r="J44" s="12">
        <f t="shared" si="1"/>
        <v>0</v>
      </c>
      <c r="L44" s="10">
        <v>33</v>
      </c>
      <c r="M44" s="32"/>
      <c r="N44" s="33"/>
      <c r="O44" s="51"/>
      <c r="P44" s="33"/>
      <c r="Q44" s="34">
        <f t="shared" si="2"/>
        <v>0</v>
      </c>
      <c r="R44" s="10"/>
      <c r="S44" s="10"/>
      <c r="T44" s="10"/>
      <c r="U44" s="12">
        <f t="shared" si="3"/>
        <v>0</v>
      </c>
      <c r="W44" s="10">
        <v>33</v>
      </c>
      <c r="X44" s="32"/>
      <c r="Y44" s="33"/>
      <c r="Z44" s="51"/>
      <c r="AA44" s="33"/>
      <c r="AB44" s="34">
        <f t="shared" si="4"/>
        <v>0</v>
      </c>
      <c r="AC44" s="10"/>
      <c r="AD44" s="10"/>
      <c r="AE44" s="10"/>
      <c r="AF44" s="12">
        <f t="shared" si="5"/>
        <v>0</v>
      </c>
    </row>
    <row r="45" spans="1:32" x14ac:dyDescent="0.25">
      <c r="A45" s="10"/>
      <c r="B45" s="32"/>
      <c r="C45" s="33"/>
      <c r="D45" s="34"/>
      <c r="E45" s="34"/>
      <c r="F45" s="34">
        <f t="shared" si="0"/>
        <v>0</v>
      </c>
      <c r="G45" s="10"/>
      <c r="H45" s="10"/>
      <c r="I45" s="10"/>
      <c r="J45" s="12">
        <f t="shared" si="1"/>
        <v>0</v>
      </c>
      <c r="L45" s="10">
        <v>34</v>
      </c>
      <c r="M45" s="32"/>
      <c r="N45" s="33"/>
      <c r="O45" s="51"/>
      <c r="P45" s="33"/>
      <c r="Q45" s="34">
        <f t="shared" ref="Q45:Q50" si="10">SUM(O45:P45)</f>
        <v>0</v>
      </c>
      <c r="R45" s="10"/>
      <c r="S45" s="10"/>
      <c r="T45" s="10"/>
      <c r="U45" s="12">
        <f t="shared" ref="U45:U53" si="11">SUM(Q45:T45)</f>
        <v>0</v>
      </c>
      <c r="W45" s="10">
        <v>34</v>
      </c>
      <c r="X45" s="32"/>
      <c r="Y45" s="33"/>
      <c r="Z45" s="51"/>
      <c r="AA45" s="33"/>
      <c r="AB45" s="34">
        <f t="shared" ref="AB45:AB50" si="12">SUM(Z45:AA45)</f>
        <v>0</v>
      </c>
      <c r="AC45" s="10"/>
      <c r="AD45" s="10"/>
      <c r="AE45" s="10"/>
      <c r="AF45" s="12">
        <f t="shared" ref="AF45:AF53" si="13">SUM(AB45:AE45)</f>
        <v>0</v>
      </c>
    </row>
    <row r="46" spans="1:32" x14ac:dyDescent="0.25">
      <c r="A46" s="10"/>
      <c r="B46" s="32"/>
      <c r="C46" s="33"/>
      <c r="D46" s="34"/>
      <c r="E46" s="34"/>
      <c r="F46" s="34"/>
      <c r="G46" s="10"/>
      <c r="H46" s="10"/>
      <c r="I46" s="10"/>
      <c r="J46" s="12"/>
      <c r="L46" s="10">
        <v>35</v>
      </c>
      <c r="M46" s="32"/>
      <c r="N46" s="33"/>
      <c r="O46" s="51"/>
      <c r="P46" s="33"/>
      <c r="Q46" s="34">
        <f t="shared" si="10"/>
        <v>0</v>
      </c>
      <c r="R46" s="10"/>
      <c r="S46" s="10"/>
      <c r="T46" s="10"/>
      <c r="U46" s="12">
        <f t="shared" si="11"/>
        <v>0</v>
      </c>
      <c r="W46" s="10">
        <v>35</v>
      </c>
      <c r="X46" s="32"/>
      <c r="Y46" s="33"/>
      <c r="Z46" s="51"/>
      <c r="AA46" s="33"/>
      <c r="AB46" s="34">
        <f t="shared" si="12"/>
        <v>0</v>
      </c>
      <c r="AC46" s="10"/>
      <c r="AD46" s="10"/>
      <c r="AE46" s="10"/>
      <c r="AF46" s="12">
        <f t="shared" si="13"/>
        <v>0</v>
      </c>
    </row>
    <row r="47" spans="1:32" x14ac:dyDescent="0.25">
      <c r="A47" s="10"/>
      <c r="B47" s="32"/>
      <c r="C47" s="33"/>
      <c r="D47" s="34"/>
      <c r="E47" s="34"/>
      <c r="F47" s="34"/>
      <c r="G47" s="10"/>
      <c r="H47" s="10"/>
      <c r="I47" s="10"/>
      <c r="J47" s="12"/>
      <c r="L47" s="10">
        <v>36</v>
      </c>
      <c r="M47" s="32"/>
      <c r="N47" s="33"/>
      <c r="O47" s="51"/>
      <c r="P47" s="33"/>
      <c r="Q47" s="34">
        <f t="shared" si="10"/>
        <v>0</v>
      </c>
      <c r="R47" s="10"/>
      <c r="S47" s="10"/>
      <c r="T47" s="10"/>
      <c r="U47" s="12">
        <f t="shared" si="11"/>
        <v>0</v>
      </c>
      <c r="W47" s="10">
        <v>36</v>
      </c>
      <c r="X47" s="32"/>
      <c r="Y47" s="33"/>
      <c r="Z47" s="51"/>
      <c r="AA47" s="33"/>
      <c r="AB47" s="34">
        <f t="shared" si="12"/>
        <v>0</v>
      </c>
      <c r="AC47" s="10"/>
      <c r="AD47" s="10"/>
      <c r="AE47" s="10"/>
      <c r="AF47" s="12">
        <f t="shared" si="13"/>
        <v>0</v>
      </c>
    </row>
    <row r="48" spans="1:32" x14ac:dyDescent="0.25">
      <c r="A48" s="10"/>
      <c r="B48" s="32"/>
      <c r="C48" s="33"/>
      <c r="D48" s="34"/>
      <c r="E48" s="34"/>
      <c r="F48" s="34"/>
      <c r="G48" s="10"/>
      <c r="H48" s="10"/>
      <c r="I48" s="10"/>
      <c r="J48" s="12"/>
      <c r="L48" s="10">
        <v>37</v>
      </c>
      <c r="M48" s="32"/>
      <c r="N48" s="33"/>
      <c r="O48" s="51"/>
      <c r="P48" s="33"/>
      <c r="Q48" s="34">
        <f t="shared" si="10"/>
        <v>0</v>
      </c>
      <c r="R48" s="10"/>
      <c r="S48" s="10"/>
      <c r="T48" s="10"/>
      <c r="U48" s="12">
        <f t="shared" si="11"/>
        <v>0</v>
      </c>
      <c r="W48" s="10">
        <v>37</v>
      </c>
      <c r="X48" s="32"/>
      <c r="Y48" s="33"/>
      <c r="Z48" s="51"/>
      <c r="AA48" s="33"/>
      <c r="AB48" s="34">
        <f t="shared" si="12"/>
        <v>0</v>
      </c>
      <c r="AC48" s="10"/>
      <c r="AD48" s="10"/>
      <c r="AE48" s="10"/>
      <c r="AF48" s="12">
        <f t="shared" si="13"/>
        <v>0</v>
      </c>
    </row>
    <row r="49" spans="1:44" x14ac:dyDescent="0.25">
      <c r="A49" s="10"/>
      <c r="B49" s="32"/>
      <c r="C49" s="33"/>
      <c r="D49" s="34"/>
      <c r="E49" s="34"/>
      <c r="F49" s="34"/>
      <c r="G49" s="10"/>
      <c r="H49" s="10"/>
      <c r="I49" s="10"/>
      <c r="J49" s="12"/>
      <c r="L49" s="10">
        <v>38</v>
      </c>
      <c r="M49" s="32"/>
      <c r="N49" s="33"/>
      <c r="O49" s="51"/>
      <c r="P49" s="33"/>
      <c r="Q49" s="34">
        <f t="shared" si="10"/>
        <v>0</v>
      </c>
      <c r="R49" s="10"/>
      <c r="S49" s="10"/>
      <c r="T49" s="10"/>
      <c r="U49" s="12">
        <f t="shared" si="11"/>
        <v>0</v>
      </c>
      <c r="W49" s="10">
        <v>38</v>
      </c>
      <c r="X49" s="32"/>
      <c r="Y49" s="33"/>
      <c r="Z49" s="51"/>
      <c r="AA49" s="33"/>
      <c r="AB49" s="34">
        <f t="shared" si="12"/>
        <v>0</v>
      </c>
      <c r="AC49" s="10"/>
      <c r="AD49" s="10"/>
      <c r="AE49" s="10"/>
      <c r="AF49" s="12">
        <f t="shared" si="13"/>
        <v>0</v>
      </c>
    </row>
    <row r="50" spans="1:44" x14ac:dyDescent="0.25">
      <c r="A50" s="10"/>
      <c r="B50" s="32"/>
      <c r="C50" s="33"/>
      <c r="D50" s="34"/>
      <c r="E50" s="34"/>
      <c r="F50" s="34"/>
      <c r="G50" s="10"/>
      <c r="H50" s="10"/>
      <c r="I50" s="10"/>
      <c r="J50" s="12"/>
      <c r="L50" s="10">
        <v>39</v>
      </c>
      <c r="M50" s="32"/>
      <c r="N50" s="33"/>
      <c r="O50" s="51"/>
      <c r="P50" s="33"/>
      <c r="Q50" s="34">
        <f t="shared" si="10"/>
        <v>0</v>
      </c>
      <c r="R50" s="10"/>
      <c r="S50" s="10"/>
      <c r="T50" s="10"/>
      <c r="U50" s="12">
        <f t="shared" si="11"/>
        <v>0</v>
      </c>
      <c r="W50" s="10">
        <v>39</v>
      </c>
      <c r="X50" s="32"/>
      <c r="Y50" s="33"/>
      <c r="Z50" s="51"/>
      <c r="AA50" s="33"/>
      <c r="AB50" s="34">
        <f t="shared" si="12"/>
        <v>0</v>
      </c>
      <c r="AC50" s="10"/>
      <c r="AD50" s="10"/>
      <c r="AE50" s="10"/>
      <c r="AF50" s="12">
        <f t="shared" si="13"/>
        <v>0</v>
      </c>
    </row>
    <row r="51" spans="1:44" x14ac:dyDescent="0.25">
      <c r="A51" s="10"/>
      <c r="B51" s="32"/>
      <c r="C51" s="33"/>
      <c r="D51" s="34"/>
      <c r="E51" s="34"/>
      <c r="F51" s="34"/>
      <c r="G51" s="10"/>
      <c r="H51" s="10"/>
      <c r="I51" s="10"/>
      <c r="J51" s="12"/>
      <c r="L51" s="10"/>
      <c r="M51" s="32"/>
      <c r="O51" s="51"/>
      <c r="P51" s="33"/>
      <c r="Q51" s="34"/>
      <c r="R51" s="10"/>
      <c r="S51" s="10"/>
      <c r="T51" s="10"/>
      <c r="U51" s="12">
        <f t="shared" si="11"/>
        <v>0</v>
      </c>
      <c r="W51" s="10"/>
      <c r="X51" s="32"/>
      <c r="Z51" s="51"/>
      <c r="AA51" s="33"/>
      <c r="AB51" s="34"/>
      <c r="AC51" s="10"/>
      <c r="AD51" s="10"/>
      <c r="AE51" s="10"/>
      <c r="AF51" s="12">
        <f t="shared" si="13"/>
        <v>0</v>
      </c>
    </row>
    <row r="52" spans="1:44" x14ac:dyDescent="0.25">
      <c r="A52" s="10"/>
      <c r="B52" s="32"/>
      <c r="C52" s="33"/>
      <c r="D52" s="34"/>
      <c r="E52" s="34"/>
      <c r="F52" s="34">
        <f t="shared" ref="F52" si="14">SUM(D52:E52)</f>
        <v>0</v>
      </c>
      <c r="G52" s="10"/>
      <c r="H52" s="10"/>
      <c r="I52" s="10"/>
      <c r="J52" s="12">
        <f t="shared" ref="J52" si="15">SUM(F52:I52)</f>
        <v>0</v>
      </c>
      <c r="L52" s="10"/>
      <c r="M52" s="32"/>
      <c r="N52" s="33"/>
      <c r="O52" s="51"/>
      <c r="P52" s="33"/>
      <c r="Q52" s="34">
        <f t="shared" ref="Q52" si="16">SUM(O52:P52)</f>
        <v>0</v>
      </c>
      <c r="R52" s="10"/>
      <c r="S52" s="10"/>
      <c r="T52" s="10"/>
      <c r="U52" s="12">
        <f t="shared" si="11"/>
        <v>0</v>
      </c>
      <c r="W52" s="10"/>
      <c r="X52" s="32"/>
      <c r="Y52" s="33"/>
      <c r="Z52" s="51"/>
      <c r="AA52" s="33"/>
      <c r="AB52" s="34">
        <f t="shared" ref="AB52" si="17">SUM(Z52:AA52)</f>
        <v>0</v>
      </c>
      <c r="AC52" s="10"/>
      <c r="AD52" s="10"/>
      <c r="AE52" s="10"/>
      <c r="AF52" s="12">
        <f t="shared" si="13"/>
        <v>0</v>
      </c>
    </row>
    <row r="53" spans="1:44" x14ac:dyDescent="0.25">
      <c r="A53" s="10"/>
      <c r="B53" s="32"/>
      <c r="C53" s="32"/>
      <c r="D53" s="34"/>
      <c r="E53" s="34"/>
      <c r="F53" s="34"/>
      <c r="G53" s="10"/>
      <c r="H53" s="10"/>
      <c r="I53" s="10"/>
      <c r="J53" s="12"/>
      <c r="L53" s="10"/>
      <c r="M53" s="33"/>
      <c r="N53" s="33"/>
      <c r="O53" s="33"/>
      <c r="P53" s="33"/>
      <c r="Q53" s="33"/>
      <c r="R53" s="10"/>
      <c r="S53" s="10"/>
      <c r="T53" s="10"/>
      <c r="U53" s="12">
        <f t="shared" si="11"/>
        <v>0</v>
      </c>
      <c r="W53" s="10"/>
      <c r="X53" s="33"/>
      <c r="Y53" s="33"/>
      <c r="Z53" s="33"/>
      <c r="AA53" s="33"/>
      <c r="AB53" s="33"/>
      <c r="AC53" s="10"/>
      <c r="AD53" s="10"/>
      <c r="AE53" s="10"/>
      <c r="AF53" s="12">
        <f t="shared" si="13"/>
        <v>0</v>
      </c>
    </row>
    <row r="54" spans="1:44" x14ac:dyDescent="0.25">
      <c r="B54" s="63"/>
      <c r="C54" s="63"/>
      <c r="D54" s="38"/>
      <c r="E54" s="38"/>
      <c r="F54" s="38"/>
      <c r="G54" s="39"/>
      <c r="H54" s="39"/>
      <c r="I54" s="39"/>
      <c r="J54" s="39"/>
      <c r="M54" s="63"/>
      <c r="N54" s="63"/>
      <c r="O54" s="38"/>
      <c r="P54" s="38"/>
      <c r="Q54" s="38"/>
      <c r="R54" s="39"/>
      <c r="S54" s="39"/>
      <c r="T54" s="39"/>
      <c r="U54" s="39"/>
      <c r="X54" s="63"/>
      <c r="Y54" s="63"/>
      <c r="Z54" s="38"/>
      <c r="AA54" s="38"/>
      <c r="AB54" s="38"/>
      <c r="AC54" s="39"/>
      <c r="AD54" s="39"/>
      <c r="AE54" s="39"/>
      <c r="AF54" s="39"/>
    </row>
    <row r="55" spans="1:44" x14ac:dyDescent="0.25">
      <c r="B55" s="63"/>
      <c r="C55" s="63"/>
      <c r="D55" s="40">
        <f>SUM(D12:D54)</f>
        <v>189649.5</v>
      </c>
      <c r="E55" s="40">
        <f t="shared" ref="E55" si="18">SUM(E12:E52)</f>
        <v>0</v>
      </c>
      <c r="F55" s="40">
        <f>SUM(F12:F54)</f>
        <v>189649.5</v>
      </c>
      <c r="G55" s="4"/>
      <c r="H55" s="41">
        <f>SUM(H12:H54)</f>
        <v>387</v>
      </c>
      <c r="I55" s="41">
        <f>SUM(I12:I54)</f>
        <v>0</v>
      </c>
      <c r="J55" s="42">
        <f>SUM(J12:J54)</f>
        <v>190036.5</v>
      </c>
      <c r="M55" s="63"/>
      <c r="N55" s="63"/>
      <c r="O55" s="40">
        <f>SUM(O12:O54)</f>
        <v>113902</v>
      </c>
      <c r="P55" s="40">
        <f>SUM(P12:P36)</f>
        <v>0</v>
      </c>
      <c r="Q55" s="40">
        <f>SUM(Q12:Q54)</f>
        <v>113902</v>
      </c>
      <c r="R55" s="4"/>
      <c r="S55" s="43">
        <f>SUM(S12:S54)</f>
        <v>27</v>
      </c>
      <c r="T55" s="43">
        <f>SUM(T12:T36)</f>
        <v>0</v>
      </c>
      <c r="U55" s="44">
        <f>SUM(U12:U54)</f>
        <v>113929</v>
      </c>
      <c r="X55" s="63"/>
      <c r="Y55" s="63"/>
      <c r="Z55" s="40">
        <f>SUM(Z12:Z54)</f>
        <v>338103.5</v>
      </c>
      <c r="AA55" s="40">
        <f>SUM(AA12:AA36)</f>
        <v>-3618</v>
      </c>
      <c r="AB55" s="40">
        <f>SUM(AB12:AB54)</f>
        <v>334485.5</v>
      </c>
      <c r="AC55" s="4"/>
      <c r="AD55" s="43">
        <f>SUM(AD12:AD54)</f>
        <v>646.5</v>
      </c>
      <c r="AE55" s="43">
        <f>SUM(AE12:AE36)</f>
        <v>-1.1000000000000001</v>
      </c>
      <c r="AF55" s="44">
        <f>SUM(AF12:AF54)</f>
        <v>335130.90000000002</v>
      </c>
    </row>
    <row r="56" spans="1:44" x14ac:dyDescent="0.25">
      <c r="B56" s="63"/>
      <c r="C56" s="63"/>
      <c r="D56" s="63"/>
      <c r="E56" s="63"/>
      <c r="F56" s="63"/>
      <c r="M56" s="63"/>
      <c r="N56" s="63"/>
      <c r="O56" s="45"/>
      <c r="P56" s="63"/>
      <c r="Q56" s="63"/>
      <c r="X56" s="63"/>
      <c r="Y56" s="63"/>
      <c r="Z56" s="45"/>
      <c r="AA56" s="63"/>
      <c r="AB56" s="63"/>
    </row>
    <row r="57" spans="1:44" x14ac:dyDescent="0.25">
      <c r="B57" s="63"/>
      <c r="C57" s="63"/>
      <c r="D57" s="63"/>
      <c r="E57" s="63"/>
      <c r="F57" s="63"/>
      <c r="M57" s="63"/>
      <c r="N57" s="63"/>
      <c r="O57" s="63"/>
      <c r="P57" s="63"/>
      <c r="Q57" s="63"/>
      <c r="X57" s="63"/>
      <c r="Y57" s="63"/>
      <c r="Z57" s="63"/>
      <c r="AA57" s="63"/>
      <c r="AB57" s="63"/>
    </row>
    <row r="58" spans="1:44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</row>
    <row r="59" spans="1:44" x14ac:dyDescent="0.25">
      <c r="A59" t="s">
        <v>0</v>
      </c>
      <c r="B59" s="64"/>
      <c r="C59" s="64"/>
      <c r="D59" s="64"/>
      <c r="E59" s="64"/>
      <c r="F59" s="64"/>
      <c r="L59" t="s">
        <v>0</v>
      </c>
      <c r="M59" s="64"/>
      <c r="N59" s="64"/>
      <c r="O59" s="64"/>
      <c r="P59" s="64"/>
      <c r="Q59" s="64"/>
      <c r="W59" t="s">
        <v>0</v>
      </c>
      <c r="X59" s="64"/>
      <c r="Y59" s="64"/>
      <c r="Z59" s="64"/>
      <c r="AA59" s="64"/>
      <c r="AB59" s="64"/>
      <c r="AH59" t="s">
        <v>0</v>
      </c>
      <c r="AI59" s="64"/>
      <c r="AJ59" s="64"/>
      <c r="AK59" s="64"/>
      <c r="AL59" s="64"/>
      <c r="AM59" s="64"/>
      <c r="AR59" s="18"/>
    </row>
    <row r="60" spans="1:44" x14ac:dyDescent="0.25">
      <c r="A60" t="s">
        <v>30</v>
      </c>
      <c r="B60" s="64"/>
      <c r="C60" s="64"/>
      <c r="D60" s="64"/>
      <c r="E60" s="64"/>
      <c r="F60" s="64"/>
      <c r="L60" t="s">
        <v>30</v>
      </c>
      <c r="M60" s="64"/>
      <c r="N60" s="64"/>
      <c r="O60" s="64"/>
      <c r="P60" s="64"/>
      <c r="Q60" s="64"/>
      <c r="W60" t="s">
        <v>30</v>
      </c>
      <c r="X60" s="64"/>
      <c r="Y60" s="64"/>
      <c r="Z60" s="64"/>
      <c r="AA60" s="64"/>
      <c r="AB60" s="64"/>
      <c r="AH60" t="s">
        <v>30</v>
      </c>
      <c r="AI60" s="64"/>
      <c r="AJ60" s="64"/>
      <c r="AK60" s="64"/>
      <c r="AL60" s="64"/>
      <c r="AM60" s="64"/>
      <c r="AR60" s="18"/>
    </row>
    <row r="61" spans="1:44" x14ac:dyDescent="0.25">
      <c r="B61" s="64"/>
      <c r="C61" s="64"/>
      <c r="D61" s="64"/>
      <c r="E61" s="64"/>
      <c r="F61" s="64"/>
      <c r="M61" s="64"/>
      <c r="N61" s="64"/>
      <c r="O61" s="64"/>
      <c r="P61" s="64"/>
      <c r="Q61" s="64"/>
      <c r="X61" s="64"/>
      <c r="Y61" s="64"/>
      <c r="Z61" s="64"/>
      <c r="AA61" s="64"/>
      <c r="AB61" s="64"/>
      <c r="AI61" s="64"/>
      <c r="AJ61" s="64"/>
      <c r="AK61" s="64"/>
      <c r="AL61" s="64"/>
      <c r="AM61" s="64"/>
      <c r="AR61" s="18"/>
    </row>
    <row r="62" spans="1:44" x14ac:dyDescent="0.25">
      <c r="A62" s="4" t="s">
        <v>15</v>
      </c>
      <c r="B62" s="64"/>
      <c r="C62" s="64"/>
      <c r="D62" s="64"/>
      <c r="E62" s="64"/>
      <c r="F62" s="64"/>
      <c r="L62" s="4" t="s">
        <v>15</v>
      </c>
      <c r="M62" s="64"/>
      <c r="N62" s="64"/>
      <c r="O62" s="64"/>
      <c r="P62" s="64"/>
      <c r="Q62" s="64"/>
      <c r="W62" s="4" t="s">
        <v>15</v>
      </c>
      <c r="X62" s="64"/>
      <c r="Y62" s="64"/>
      <c r="Z62" s="64"/>
      <c r="AA62" s="64"/>
      <c r="AB62" s="64"/>
      <c r="AH62" s="4" t="s">
        <v>15</v>
      </c>
      <c r="AI62" s="64"/>
      <c r="AJ62" s="64"/>
      <c r="AK62" s="64"/>
      <c r="AL62" s="64"/>
      <c r="AM62" s="64"/>
      <c r="AR62" s="18"/>
    </row>
    <row r="63" spans="1:44" x14ac:dyDescent="0.25">
      <c r="B63" s="64"/>
      <c r="C63" s="64"/>
      <c r="D63" s="64"/>
      <c r="E63" s="64"/>
      <c r="F63" s="64"/>
      <c r="M63" s="64"/>
      <c r="N63" s="64"/>
      <c r="O63" s="64"/>
      <c r="P63" s="64"/>
      <c r="Q63" s="64"/>
      <c r="X63" s="64"/>
      <c r="Y63" s="64"/>
      <c r="Z63" s="64"/>
      <c r="AA63" s="64"/>
      <c r="AB63" s="64"/>
      <c r="AI63" s="64"/>
      <c r="AJ63" s="64"/>
      <c r="AK63" s="64"/>
      <c r="AL63" s="64"/>
      <c r="AM63" s="64"/>
      <c r="AR63" s="18"/>
    </row>
    <row r="64" spans="1:44" ht="15.75" x14ac:dyDescent="0.25">
      <c r="A64" t="s">
        <v>38</v>
      </c>
      <c r="B64" s="64"/>
      <c r="C64" s="64"/>
      <c r="D64" s="64"/>
      <c r="E64" s="64"/>
      <c r="F64" s="64"/>
      <c r="H64" s="64" t="s">
        <v>16</v>
      </c>
      <c r="I64" s="19">
        <v>1</v>
      </c>
      <c r="L64" t="s">
        <v>38</v>
      </c>
      <c r="M64" s="64"/>
      <c r="N64" s="64"/>
      <c r="O64" s="64"/>
      <c r="P64" s="64"/>
      <c r="Q64" s="64"/>
      <c r="S64" s="64" t="s">
        <v>16</v>
      </c>
      <c r="T64" s="19">
        <v>2</v>
      </c>
      <c r="W64" t="s">
        <v>38</v>
      </c>
      <c r="X64" s="64"/>
      <c r="Y64" s="64"/>
      <c r="Z64" s="64"/>
      <c r="AA64" s="64"/>
      <c r="AB64" s="64"/>
      <c r="AD64" s="64" t="s">
        <v>16</v>
      </c>
      <c r="AE64" s="20">
        <v>3</v>
      </c>
      <c r="AH64" t="s">
        <v>38</v>
      </c>
      <c r="AI64" s="64"/>
      <c r="AJ64" s="64"/>
      <c r="AK64" s="64"/>
      <c r="AL64" s="64"/>
      <c r="AM64" s="64"/>
      <c r="AO64" s="64" t="s">
        <v>16</v>
      </c>
      <c r="AP64" s="20">
        <v>4</v>
      </c>
      <c r="AR64" s="18"/>
    </row>
    <row r="65" spans="1:44" x14ac:dyDescent="0.25">
      <c r="A65" s="21" t="s">
        <v>45</v>
      </c>
      <c r="B65" s="20"/>
      <c r="C65" s="64"/>
      <c r="D65" s="64"/>
      <c r="E65" s="64"/>
      <c r="F65" s="64"/>
      <c r="H65" s="22" t="s">
        <v>17</v>
      </c>
      <c r="I65" s="23" t="s">
        <v>46</v>
      </c>
      <c r="J65" s="24"/>
      <c r="L65" s="21" t="s">
        <v>45</v>
      </c>
      <c r="M65" s="20"/>
      <c r="N65" s="64"/>
      <c r="O65" s="64"/>
      <c r="P65" s="64"/>
      <c r="Q65" s="64"/>
      <c r="S65" s="22" t="s">
        <v>17</v>
      </c>
      <c r="T65" s="23" t="s">
        <v>34</v>
      </c>
      <c r="U65" s="24"/>
      <c r="W65" s="21" t="s">
        <v>45</v>
      </c>
      <c r="X65" s="20"/>
      <c r="Y65" s="64"/>
      <c r="Z65" s="64"/>
      <c r="AA65" s="64"/>
      <c r="AB65" s="64"/>
      <c r="AD65" s="22" t="s">
        <v>17</v>
      </c>
      <c r="AE65" s="23" t="s">
        <v>44</v>
      </c>
      <c r="AF65" s="24"/>
      <c r="AH65" s="21" t="s">
        <v>45</v>
      </c>
      <c r="AI65" s="20"/>
      <c r="AJ65" s="64"/>
      <c r="AK65" s="64"/>
      <c r="AL65" s="64"/>
      <c r="AM65" s="64"/>
      <c r="AO65" s="22" t="s">
        <v>17</v>
      </c>
      <c r="AP65" s="23" t="s">
        <v>47</v>
      </c>
      <c r="AQ65" s="24"/>
      <c r="AR65" s="18"/>
    </row>
    <row r="66" spans="1:44" x14ac:dyDescent="0.25">
      <c r="B66" s="64"/>
      <c r="C66" s="64"/>
      <c r="D66" s="64"/>
      <c r="E66" s="64"/>
      <c r="F66" s="64"/>
      <c r="M66" s="64"/>
      <c r="N66" s="64"/>
      <c r="O66" s="64"/>
      <c r="P66" s="64"/>
      <c r="Q66" s="64"/>
      <c r="X66" s="64"/>
      <c r="Y66" s="64"/>
      <c r="Z66" s="64"/>
      <c r="AA66" s="64"/>
      <c r="AB66" s="64"/>
      <c r="AI66" s="64"/>
      <c r="AJ66" s="64"/>
      <c r="AK66" s="64"/>
      <c r="AL66" s="64"/>
      <c r="AM66" s="64"/>
      <c r="AR66" s="18"/>
    </row>
    <row r="67" spans="1:44" x14ac:dyDescent="0.25">
      <c r="B67" s="25"/>
      <c r="C67" s="26"/>
      <c r="D67" s="79" t="s">
        <v>18</v>
      </c>
      <c r="E67" s="79"/>
      <c r="F67" s="27"/>
      <c r="H67" s="77" t="s">
        <v>19</v>
      </c>
      <c r="I67" s="78"/>
      <c r="J67" s="75" t="s">
        <v>20</v>
      </c>
      <c r="M67" s="25"/>
      <c r="N67" s="26"/>
      <c r="O67" s="79" t="s">
        <v>18</v>
      </c>
      <c r="P67" s="79"/>
      <c r="Q67" s="27"/>
      <c r="S67" s="77" t="s">
        <v>19</v>
      </c>
      <c r="T67" s="78"/>
      <c r="U67" s="75" t="s">
        <v>20</v>
      </c>
      <c r="X67" s="25"/>
      <c r="Y67" s="26"/>
      <c r="Z67" s="79" t="s">
        <v>18</v>
      </c>
      <c r="AA67" s="79"/>
      <c r="AB67" s="27"/>
      <c r="AD67" s="77" t="s">
        <v>19</v>
      </c>
      <c r="AE67" s="78"/>
      <c r="AF67" s="75" t="s">
        <v>20</v>
      </c>
      <c r="AI67" s="25"/>
      <c r="AJ67" s="26"/>
      <c r="AK67" s="79" t="s">
        <v>18</v>
      </c>
      <c r="AL67" s="79"/>
      <c r="AM67" s="27"/>
      <c r="AO67" s="77" t="s">
        <v>19</v>
      </c>
      <c r="AP67" s="78"/>
      <c r="AQ67" s="75" t="s">
        <v>20</v>
      </c>
      <c r="AR67" s="18"/>
    </row>
    <row r="68" spans="1:44" ht="30" x14ac:dyDescent="0.25">
      <c r="B68" s="28" t="s">
        <v>21</v>
      </c>
      <c r="C68" s="28" t="s">
        <v>22</v>
      </c>
      <c r="D68" s="29" t="s">
        <v>23</v>
      </c>
      <c r="E68" s="30" t="s">
        <v>24</v>
      </c>
      <c r="F68" s="30" t="s">
        <v>25</v>
      </c>
      <c r="H68" s="31" t="s">
        <v>26</v>
      </c>
      <c r="I68" s="31" t="s">
        <v>27</v>
      </c>
      <c r="J68" s="76"/>
      <c r="M68" s="28" t="s">
        <v>21</v>
      </c>
      <c r="N68" s="28" t="s">
        <v>22</v>
      </c>
      <c r="O68" s="29" t="s">
        <v>23</v>
      </c>
      <c r="P68" s="30" t="s">
        <v>24</v>
      </c>
      <c r="Q68" s="30" t="s">
        <v>25</v>
      </c>
      <c r="S68" s="31" t="s">
        <v>26</v>
      </c>
      <c r="T68" s="31" t="s">
        <v>27</v>
      </c>
      <c r="U68" s="76"/>
      <c r="X68" s="28" t="s">
        <v>21</v>
      </c>
      <c r="Y68" s="28" t="s">
        <v>22</v>
      </c>
      <c r="Z68" s="29" t="s">
        <v>23</v>
      </c>
      <c r="AA68" s="30" t="s">
        <v>24</v>
      </c>
      <c r="AB68" s="30" t="s">
        <v>25</v>
      </c>
      <c r="AD68" s="31" t="s">
        <v>26</v>
      </c>
      <c r="AE68" s="31" t="s">
        <v>27</v>
      </c>
      <c r="AF68" s="76"/>
      <c r="AI68" s="28" t="s">
        <v>21</v>
      </c>
      <c r="AJ68" s="28" t="s">
        <v>22</v>
      </c>
      <c r="AK68" s="29" t="s">
        <v>23</v>
      </c>
      <c r="AL68" s="30" t="s">
        <v>24</v>
      </c>
      <c r="AM68" s="30" t="s">
        <v>25</v>
      </c>
      <c r="AO68" s="31" t="s">
        <v>26</v>
      </c>
      <c r="AP68" s="31" t="s">
        <v>27</v>
      </c>
      <c r="AQ68" s="76"/>
      <c r="AR68" s="18"/>
    </row>
    <row r="69" spans="1:44" x14ac:dyDescent="0.25">
      <c r="A69" s="10">
        <v>1</v>
      </c>
      <c r="B69" s="32">
        <v>45294</v>
      </c>
      <c r="C69" s="33">
        <v>6396</v>
      </c>
      <c r="D69" s="34">
        <f>1878+25.5</f>
        <v>1903.5</v>
      </c>
      <c r="E69" s="34"/>
      <c r="F69" s="34">
        <f t="shared" ref="F69:F102" si="19">SUM(D69:E69)</f>
        <v>1903.5</v>
      </c>
      <c r="G69" s="12"/>
      <c r="H69" s="12"/>
      <c r="I69" s="12">
        <v>-1.5</v>
      </c>
      <c r="J69" s="12">
        <f t="shared" ref="J69:J102" si="20">SUM(F69:I69)</f>
        <v>1902</v>
      </c>
      <c r="L69" s="10">
        <v>1</v>
      </c>
      <c r="M69" s="32">
        <v>45294</v>
      </c>
      <c r="N69" s="33">
        <f>6644</f>
        <v>6644</v>
      </c>
      <c r="O69" s="34">
        <f>626*150+596*20+205*7</f>
        <v>107255</v>
      </c>
      <c r="P69" s="34">
        <v>-1416</v>
      </c>
      <c r="Q69" s="34">
        <f>SUM(O69:P69)</f>
        <v>105839</v>
      </c>
      <c r="R69" s="12"/>
      <c r="S69" s="12"/>
      <c r="T69" s="12">
        <v>-6</v>
      </c>
      <c r="U69" s="12">
        <f>SUM(Q69:T69)</f>
        <v>105833</v>
      </c>
      <c r="W69" s="10">
        <v>1</v>
      </c>
      <c r="X69" s="32">
        <v>45294</v>
      </c>
      <c r="Y69" s="33">
        <v>6869</v>
      </c>
      <c r="Z69" s="34">
        <f>626+596+17</f>
        <v>1239</v>
      </c>
      <c r="AA69" s="34"/>
      <c r="AB69" s="34">
        <f>SUM(Z69:AA69)</f>
        <v>1239</v>
      </c>
      <c r="AC69" s="12"/>
      <c r="AD69" s="12">
        <v>1.5</v>
      </c>
      <c r="AE69" s="12"/>
      <c r="AF69" s="12">
        <f>SUM(AB69:AE69)</f>
        <v>1240.5</v>
      </c>
      <c r="AH69" s="10">
        <v>1</v>
      </c>
      <c r="AI69" s="32">
        <v>45294</v>
      </c>
      <c r="AJ69" s="33">
        <v>6697</v>
      </c>
      <c r="AK69" s="34">
        <f>626*4+614+34</f>
        <v>3152</v>
      </c>
      <c r="AL69" s="34"/>
      <c r="AM69" s="34">
        <f>SUM(AK69:AL69)</f>
        <v>3152</v>
      </c>
      <c r="AN69" s="12"/>
      <c r="AO69" s="12"/>
      <c r="AP69" s="12"/>
      <c r="AQ69" s="12">
        <f>SUM(AM69:AP69)</f>
        <v>3152</v>
      </c>
      <c r="AR69" s="18"/>
    </row>
    <row r="70" spans="1:44" x14ac:dyDescent="0.25">
      <c r="A70" s="10">
        <v>2</v>
      </c>
      <c r="B70" s="32">
        <v>45294</v>
      </c>
      <c r="C70" s="33">
        <f>C69+1</f>
        <v>6397</v>
      </c>
      <c r="D70" s="34">
        <f>1878+25.5</f>
        <v>1903.5</v>
      </c>
      <c r="E70" s="34"/>
      <c r="F70" s="34">
        <f t="shared" si="19"/>
        <v>1903.5</v>
      </c>
      <c r="G70" s="12"/>
      <c r="H70" s="12">
        <v>9</v>
      </c>
      <c r="I70" s="12"/>
      <c r="J70" s="12">
        <f t="shared" si="20"/>
        <v>1912.5</v>
      </c>
      <c r="L70" s="10">
        <v>2</v>
      </c>
      <c r="M70" s="32">
        <v>45294</v>
      </c>
      <c r="N70" s="33">
        <f>N69+1</f>
        <v>6645</v>
      </c>
      <c r="O70" s="34">
        <f>626*30+596*5+410</f>
        <v>22170</v>
      </c>
      <c r="P70" s="34"/>
      <c r="Q70" s="34">
        <f t="shared" ref="Q70:Q101" si="21">SUM(O70:P70)</f>
        <v>22170</v>
      </c>
      <c r="R70" s="12"/>
      <c r="S70" s="12">
        <v>72</v>
      </c>
      <c r="T70" s="12"/>
      <c r="U70" s="12">
        <f t="shared" ref="U70:U101" si="22">SUM(Q70:T70)</f>
        <v>22242</v>
      </c>
      <c r="W70" s="10">
        <v>2</v>
      </c>
      <c r="X70" s="32">
        <v>45294</v>
      </c>
      <c r="Y70" s="33">
        <f>Y69+1</f>
        <v>6870</v>
      </c>
      <c r="Z70" s="34">
        <f>626*9+614+596*5+127.5</f>
        <v>9355.5</v>
      </c>
      <c r="AA70" s="34"/>
      <c r="AB70" s="34">
        <f t="shared" ref="AB70:AB72" si="23">SUM(Z70:AA70)</f>
        <v>9355.5</v>
      </c>
      <c r="AC70" s="12"/>
      <c r="AD70" s="12"/>
      <c r="AE70" s="12"/>
      <c r="AF70" s="12">
        <f t="shared" ref="AF70:AF101" si="24">SUM(AB70:AE70)</f>
        <v>9355.5</v>
      </c>
      <c r="AH70" s="10">
        <v>2</v>
      </c>
      <c r="AI70" s="32">
        <v>45294</v>
      </c>
      <c r="AJ70" s="33">
        <f>AJ69+1</f>
        <v>6698</v>
      </c>
      <c r="AK70" s="34">
        <f>614+852+1005</f>
        <v>2471</v>
      </c>
      <c r="AL70" s="34"/>
      <c r="AM70" s="34">
        <f t="shared" ref="AM70:AM72" si="25">SUM(AK70:AL70)</f>
        <v>2471</v>
      </c>
      <c r="AN70" s="12"/>
      <c r="AO70" s="12"/>
      <c r="AP70" s="12">
        <v>-2220</v>
      </c>
      <c r="AQ70" s="12">
        <f t="shared" ref="AQ70:AQ101" si="26">SUM(AM70:AP70)</f>
        <v>251</v>
      </c>
      <c r="AR70" s="18"/>
    </row>
    <row r="71" spans="1:44" x14ac:dyDescent="0.25">
      <c r="A71" s="10">
        <v>3</v>
      </c>
      <c r="B71" s="32">
        <v>45294</v>
      </c>
      <c r="C71" s="33">
        <f t="shared" ref="C71:C81" si="27">C70+1</f>
        <v>6398</v>
      </c>
      <c r="D71" s="35">
        <f>626*222+596*20+205*10+8.5*2</f>
        <v>152959</v>
      </c>
      <c r="E71" s="35">
        <v>-2178</v>
      </c>
      <c r="F71" s="35">
        <f t="shared" si="19"/>
        <v>150781</v>
      </c>
      <c r="G71" s="36"/>
      <c r="H71" s="36">
        <v>780</v>
      </c>
      <c r="I71" s="36">
        <f>-10*42+-10*1.5</f>
        <v>-435</v>
      </c>
      <c r="J71" s="36">
        <f t="shared" si="20"/>
        <v>151126</v>
      </c>
      <c r="L71" s="10">
        <v>3</v>
      </c>
      <c r="M71" s="32">
        <v>45294</v>
      </c>
      <c r="N71" s="33">
        <f t="shared" ref="N71:N89" si="28">N70+1</f>
        <v>6646</v>
      </c>
      <c r="O71" s="34">
        <f>626+596+17</f>
        <v>1239</v>
      </c>
      <c r="P71" s="34"/>
      <c r="Q71" s="34">
        <f t="shared" si="21"/>
        <v>1239</v>
      </c>
      <c r="R71" s="12"/>
      <c r="S71" s="12"/>
      <c r="T71" s="12"/>
      <c r="U71" s="12">
        <f t="shared" si="22"/>
        <v>1239</v>
      </c>
      <c r="W71" s="10">
        <v>3</v>
      </c>
      <c r="X71" s="32">
        <v>45294</v>
      </c>
      <c r="Y71" s="33">
        <f t="shared" ref="Y71:Y81" si="29">Y70+1</f>
        <v>6871</v>
      </c>
      <c r="Z71" s="34">
        <f>1192+852+17</f>
        <v>2061</v>
      </c>
      <c r="AA71" s="34"/>
      <c r="AB71" s="34">
        <f t="shared" si="23"/>
        <v>2061</v>
      </c>
      <c r="AC71" s="12"/>
      <c r="AD71" s="12">
        <v>120</v>
      </c>
      <c r="AE71" s="12"/>
      <c r="AF71" s="12">
        <f t="shared" si="24"/>
        <v>2181</v>
      </c>
      <c r="AH71" s="10">
        <v>3</v>
      </c>
      <c r="AI71" s="32">
        <v>45294</v>
      </c>
      <c r="AJ71" s="33">
        <f t="shared" ref="AJ71:AJ75" si="30">AJ70+1</f>
        <v>6699</v>
      </c>
      <c r="AK71" s="34">
        <f>626*2+17</f>
        <v>1269</v>
      </c>
      <c r="AL71" s="34"/>
      <c r="AM71" s="34">
        <f t="shared" si="25"/>
        <v>1269</v>
      </c>
      <c r="AN71" s="12"/>
      <c r="AO71" s="12"/>
      <c r="AP71" s="12"/>
      <c r="AQ71" s="12">
        <f t="shared" si="26"/>
        <v>1269</v>
      </c>
      <c r="AR71" s="18"/>
    </row>
    <row r="72" spans="1:44" x14ac:dyDescent="0.25">
      <c r="A72" s="10">
        <v>4</v>
      </c>
      <c r="B72" s="32">
        <v>45294</v>
      </c>
      <c r="C72" s="33">
        <f t="shared" si="27"/>
        <v>6399</v>
      </c>
      <c r="D72" s="34">
        <f>674</f>
        <v>674</v>
      </c>
      <c r="E72" s="34"/>
      <c r="F72" s="34">
        <f t="shared" si="19"/>
        <v>674</v>
      </c>
      <c r="G72" s="12"/>
      <c r="H72" s="12"/>
      <c r="I72" s="12"/>
      <c r="J72" s="12">
        <f t="shared" si="20"/>
        <v>674</v>
      </c>
      <c r="L72" s="10">
        <v>4</v>
      </c>
      <c r="M72" s="32">
        <v>45294</v>
      </c>
      <c r="N72" s="33">
        <f t="shared" si="28"/>
        <v>6647</v>
      </c>
      <c r="O72" s="34">
        <f>7512+1192+205</f>
        <v>8909</v>
      </c>
      <c r="P72" s="34"/>
      <c r="Q72" s="34">
        <f t="shared" si="21"/>
        <v>8909</v>
      </c>
      <c r="R72" s="12"/>
      <c r="S72" s="12"/>
      <c r="T72" s="12"/>
      <c r="U72" s="12">
        <f t="shared" si="22"/>
        <v>8909</v>
      </c>
      <c r="W72" s="10">
        <v>4</v>
      </c>
      <c r="X72" s="32">
        <v>45294</v>
      </c>
      <c r="Y72" s="33">
        <f t="shared" si="29"/>
        <v>6872</v>
      </c>
      <c r="Z72">
        <f>3756+596+59.5</f>
        <v>4411.5</v>
      </c>
      <c r="AA72" s="34"/>
      <c r="AB72" s="34">
        <f t="shared" si="23"/>
        <v>4411.5</v>
      </c>
      <c r="AC72" s="12"/>
      <c r="AE72" s="12"/>
      <c r="AF72" s="12">
        <f t="shared" si="24"/>
        <v>4411.5</v>
      </c>
      <c r="AH72" s="10">
        <v>4</v>
      </c>
      <c r="AI72" s="32">
        <v>45294</v>
      </c>
      <c r="AJ72" s="33">
        <f t="shared" si="30"/>
        <v>6700</v>
      </c>
      <c r="AK72">
        <f>626*16+136</f>
        <v>10152</v>
      </c>
      <c r="AL72" s="34"/>
      <c r="AM72" s="34">
        <f t="shared" si="25"/>
        <v>10152</v>
      </c>
      <c r="AN72" s="12"/>
      <c r="AP72" s="12"/>
      <c r="AQ72" s="12">
        <f t="shared" si="26"/>
        <v>10152</v>
      </c>
      <c r="AR72" s="18"/>
    </row>
    <row r="73" spans="1:44" x14ac:dyDescent="0.25">
      <c r="A73" s="10">
        <v>5</v>
      </c>
      <c r="B73" s="32">
        <v>45294</v>
      </c>
      <c r="C73" s="33">
        <f t="shared" si="27"/>
        <v>6400</v>
      </c>
      <c r="D73" s="34">
        <f>626*5+596*5+85</f>
        <v>6195</v>
      </c>
      <c r="E73" s="34"/>
      <c r="F73" s="34">
        <f t="shared" si="19"/>
        <v>6195</v>
      </c>
      <c r="G73" s="12"/>
      <c r="H73" s="12"/>
      <c r="I73" s="12"/>
      <c r="J73" s="12">
        <f t="shared" si="20"/>
        <v>6195</v>
      </c>
      <c r="L73" s="10">
        <v>5</v>
      </c>
      <c r="M73" s="32">
        <v>45294</v>
      </c>
      <c r="N73" s="33">
        <f t="shared" si="28"/>
        <v>6648</v>
      </c>
      <c r="O73" s="34">
        <f>3130+42.5</f>
        <v>3172.5</v>
      </c>
      <c r="P73" s="34"/>
      <c r="Q73" s="34">
        <f t="shared" si="21"/>
        <v>3172.5</v>
      </c>
      <c r="R73" s="12"/>
      <c r="S73" s="12"/>
      <c r="T73" s="12"/>
      <c r="U73" s="12">
        <f t="shared" si="22"/>
        <v>3172.5</v>
      </c>
      <c r="W73" s="10">
        <v>5</v>
      </c>
      <c r="X73" s="32">
        <v>45294</v>
      </c>
      <c r="Y73" s="33">
        <f t="shared" si="29"/>
        <v>6873</v>
      </c>
      <c r="Z73" s="34">
        <f>3130+596+51</f>
        <v>3777</v>
      </c>
      <c r="AA73" s="34"/>
      <c r="AB73" s="34">
        <f t="shared" ref="AB73:AB78" si="31">SUM(Z73:AA73)</f>
        <v>3777</v>
      </c>
      <c r="AC73" s="12"/>
      <c r="AD73" s="12"/>
      <c r="AE73" s="12"/>
      <c r="AF73" s="12">
        <f t="shared" si="24"/>
        <v>3777</v>
      </c>
      <c r="AH73" s="10">
        <v>5</v>
      </c>
      <c r="AI73" s="32">
        <v>45294</v>
      </c>
      <c r="AJ73" s="33">
        <v>7001</v>
      </c>
      <c r="AK73" s="34">
        <f>626*216+596*20+832*5+205*9+500*2+650*2</f>
        <v>155441</v>
      </c>
      <c r="AL73" s="34"/>
      <c r="AM73" s="34">
        <f t="shared" ref="AM73:AM78" si="32">SUM(AK73:AL73)</f>
        <v>155441</v>
      </c>
      <c r="AN73" s="12"/>
      <c r="AO73" s="12"/>
      <c r="AP73" s="12">
        <f>-12432+216</f>
        <v>-12216</v>
      </c>
      <c r="AQ73" s="12">
        <f t="shared" si="26"/>
        <v>143225</v>
      </c>
      <c r="AR73" s="18"/>
    </row>
    <row r="74" spans="1:44" x14ac:dyDescent="0.25">
      <c r="A74" s="10">
        <v>6</v>
      </c>
      <c r="B74" s="32">
        <v>45294</v>
      </c>
      <c r="C74" s="33">
        <v>6946</v>
      </c>
      <c r="D74" s="34">
        <f>1878+596+34</f>
        <v>2508</v>
      </c>
      <c r="E74" s="34"/>
      <c r="F74" s="34">
        <f t="shared" si="19"/>
        <v>2508</v>
      </c>
      <c r="G74" s="12"/>
      <c r="H74" s="12"/>
      <c r="I74" s="12"/>
      <c r="J74" s="12">
        <f t="shared" si="20"/>
        <v>2508</v>
      </c>
      <c r="L74" s="10">
        <v>6</v>
      </c>
      <c r="M74" s="32">
        <v>45294</v>
      </c>
      <c r="N74" s="33">
        <f t="shared" si="28"/>
        <v>6649</v>
      </c>
      <c r="O74" s="34">
        <f>1878+25.5</f>
        <v>1903.5</v>
      </c>
      <c r="P74" s="34"/>
      <c r="Q74" s="34">
        <f t="shared" si="21"/>
        <v>1903.5</v>
      </c>
      <c r="R74" s="12"/>
      <c r="S74" s="12"/>
      <c r="T74" s="10"/>
      <c r="U74" s="12">
        <f t="shared" si="22"/>
        <v>1903.5</v>
      </c>
      <c r="W74" s="10">
        <v>6</v>
      </c>
      <c r="X74" s="32">
        <v>45294</v>
      </c>
      <c r="Y74" s="33">
        <f t="shared" si="29"/>
        <v>6874</v>
      </c>
      <c r="Z74" s="34">
        <f>3130+596+51</f>
        <v>3777</v>
      </c>
      <c r="AA74" s="34"/>
      <c r="AB74" s="34">
        <f t="shared" si="31"/>
        <v>3777</v>
      </c>
      <c r="AC74" s="12"/>
      <c r="AD74" s="12"/>
      <c r="AE74" s="10"/>
      <c r="AF74" s="12">
        <f t="shared" si="24"/>
        <v>3777</v>
      </c>
      <c r="AH74" s="10">
        <v>6</v>
      </c>
      <c r="AI74" s="32">
        <v>45294</v>
      </c>
      <c r="AJ74" s="33">
        <f t="shared" si="30"/>
        <v>7002</v>
      </c>
      <c r="AK74" s="34">
        <f>1175+1667+1102+1582+1175+1102+1582</f>
        <v>9385</v>
      </c>
      <c r="AL74" s="34">
        <v>-2349</v>
      </c>
      <c r="AM74" s="34">
        <f t="shared" si="32"/>
        <v>7036</v>
      </c>
      <c r="AN74" s="12"/>
      <c r="AO74" s="12"/>
      <c r="AP74" s="10"/>
      <c r="AQ74" s="12">
        <f t="shared" si="26"/>
        <v>7036</v>
      </c>
      <c r="AR74" s="18"/>
    </row>
    <row r="75" spans="1:44" x14ac:dyDescent="0.25">
      <c r="A75" s="10">
        <v>7</v>
      </c>
      <c r="B75" s="32">
        <v>45294</v>
      </c>
      <c r="C75" s="33">
        <f t="shared" si="27"/>
        <v>6947</v>
      </c>
      <c r="D75" s="34">
        <f>1000</f>
        <v>1000</v>
      </c>
      <c r="E75" s="34"/>
      <c r="F75" s="34">
        <f t="shared" si="19"/>
        <v>1000</v>
      </c>
      <c r="G75" s="12"/>
      <c r="H75" s="12">
        <v>72</v>
      </c>
      <c r="I75" s="12"/>
      <c r="J75" s="12">
        <f t="shared" si="20"/>
        <v>1072</v>
      </c>
      <c r="L75" s="10">
        <v>7</v>
      </c>
      <c r="M75" s="32">
        <v>45294</v>
      </c>
      <c r="N75" s="33">
        <f t="shared" si="28"/>
        <v>6650</v>
      </c>
      <c r="O75" s="34">
        <f>5634+1228+76.5+1348</f>
        <v>8286.5</v>
      </c>
      <c r="P75" s="34"/>
      <c r="Q75" s="34">
        <f t="shared" si="21"/>
        <v>8286.5</v>
      </c>
      <c r="R75" s="12"/>
      <c r="S75" s="12">
        <f>111+40.5+27</f>
        <v>178.5</v>
      </c>
      <c r="T75" s="12"/>
      <c r="U75" s="12">
        <f t="shared" si="22"/>
        <v>8465</v>
      </c>
      <c r="W75" s="10">
        <v>7</v>
      </c>
      <c r="X75" s="32">
        <v>45294</v>
      </c>
      <c r="Y75" s="33">
        <f t="shared" si="29"/>
        <v>6875</v>
      </c>
      <c r="Z75" s="34">
        <f>2504+2384+77</f>
        <v>4965</v>
      </c>
      <c r="AA75" s="34"/>
      <c r="AB75" s="34">
        <f t="shared" si="31"/>
        <v>4965</v>
      </c>
      <c r="AC75" s="12"/>
      <c r="AD75" s="66"/>
      <c r="AE75" s="12"/>
      <c r="AF75" s="12">
        <f t="shared" si="24"/>
        <v>4965</v>
      </c>
      <c r="AH75" s="10">
        <v>7</v>
      </c>
      <c r="AI75" s="32">
        <v>45294</v>
      </c>
      <c r="AJ75" s="33">
        <f t="shared" si="30"/>
        <v>7003</v>
      </c>
      <c r="AK75" s="34">
        <f>626*130+596*32+852*10+500*5+18*832+205*7+650*5</f>
        <v>131133</v>
      </c>
      <c r="AL75" s="34">
        <v>-1863</v>
      </c>
      <c r="AM75" s="34">
        <f t="shared" si="32"/>
        <v>129270</v>
      </c>
      <c r="AN75" s="12"/>
      <c r="AO75" s="66"/>
      <c r="AP75" s="12">
        <v>-19203</v>
      </c>
      <c r="AQ75" s="12">
        <f t="shared" si="26"/>
        <v>110067</v>
      </c>
      <c r="AR75" s="18"/>
    </row>
    <row r="76" spans="1:44" x14ac:dyDescent="0.25">
      <c r="A76" s="10">
        <v>8</v>
      </c>
      <c r="B76" s="32">
        <v>45294</v>
      </c>
      <c r="C76" s="33">
        <f t="shared" si="27"/>
        <v>6948</v>
      </c>
      <c r="D76" s="34">
        <f>1252+17</f>
        <v>1269</v>
      </c>
      <c r="E76" s="34"/>
      <c r="F76" s="34">
        <f t="shared" si="19"/>
        <v>1269</v>
      </c>
      <c r="G76" s="12"/>
      <c r="H76" s="12"/>
      <c r="I76" s="12"/>
      <c r="J76" s="12">
        <f t="shared" si="20"/>
        <v>1269</v>
      </c>
      <c r="L76" s="10">
        <v>8</v>
      </c>
      <c r="M76" s="32">
        <v>45294</v>
      </c>
      <c r="N76" s="33">
        <f t="shared" si="28"/>
        <v>6651</v>
      </c>
      <c r="O76" s="34">
        <f>4382+1228+59.5+674</f>
        <v>6343.5</v>
      </c>
      <c r="P76" s="34"/>
      <c r="Q76" s="34">
        <f t="shared" si="21"/>
        <v>6343.5</v>
      </c>
      <c r="R76" s="12"/>
      <c r="S76" s="12"/>
      <c r="T76" s="12"/>
      <c r="U76" s="12">
        <f t="shared" si="22"/>
        <v>6343.5</v>
      </c>
      <c r="W76" s="10">
        <v>8</v>
      </c>
      <c r="X76" s="32">
        <v>45294</v>
      </c>
      <c r="Y76" s="33">
        <f t="shared" si="29"/>
        <v>6876</v>
      </c>
      <c r="Z76" s="34">
        <f>626*9+626+77</f>
        <v>6337</v>
      </c>
      <c r="AB76" s="34">
        <f t="shared" si="31"/>
        <v>6337</v>
      </c>
      <c r="AC76" s="12"/>
      <c r="AD76" s="12"/>
      <c r="AE76" s="12"/>
      <c r="AF76" s="12">
        <f t="shared" si="24"/>
        <v>6337</v>
      </c>
      <c r="AH76" s="10">
        <v>8</v>
      </c>
      <c r="AI76" s="32"/>
      <c r="AJ76" s="11" t="s">
        <v>28</v>
      </c>
      <c r="AK76" s="34"/>
      <c r="AM76" s="34">
        <f t="shared" si="32"/>
        <v>0</v>
      </c>
      <c r="AN76" s="12"/>
      <c r="AO76" s="12"/>
      <c r="AP76" s="12"/>
      <c r="AQ76" s="12">
        <f t="shared" si="26"/>
        <v>0</v>
      </c>
      <c r="AR76" s="18"/>
    </row>
    <row r="77" spans="1:44" x14ac:dyDescent="0.25">
      <c r="A77" s="10">
        <v>9</v>
      </c>
      <c r="B77" s="32">
        <v>45294</v>
      </c>
      <c r="C77" s="33">
        <f t="shared" si="27"/>
        <v>6949</v>
      </c>
      <c r="D77" s="34">
        <f>5008+68+1348</f>
        <v>6424</v>
      </c>
      <c r="E77" s="34"/>
      <c r="F77" s="34">
        <f t="shared" si="19"/>
        <v>6424</v>
      </c>
      <c r="G77" s="12"/>
      <c r="H77" s="12"/>
      <c r="I77" s="12"/>
      <c r="J77" s="12">
        <f t="shared" si="20"/>
        <v>6424</v>
      </c>
      <c r="L77" s="10">
        <v>9</v>
      </c>
      <c r="M77" s="32">
        <v>45294</v>
      </c>
      <c r="N77" s="33">
        <f t="shared" si="28"/>
        <v>6652</v>
      </c>
      <c r="O77" s="34">
        <f>3756+614+1192+68</f>
        <v>5630</v>
      </c>
      <c r="P77" s="34"/>
      <c r="Q77" s="34">
        <f t="shared" si="21"/>
        <v>5630</v>
      </c>
      <c r="R77" s="12"/>
      <c r="S77" s="12"/>
      <c r="T77" s="12"/>
      <c r="U77" s="12">
        <f t="shared" si="22"/>
        <v>5630</v>
      </c>
      <c r="W77" s="10">
        <v>9</v>
      </c>
      <c r="X77" s="32">
        <v>45294</v>
      </c>
      <c r="Y77" s="33">
        <f t="shared" si="29"/>
        <v>6877</v>
      </c>
      <c r="Z77">
        <f>3130+614+1192</f>
        <v>4936</v>
      </c>
      <c r="AA77" s="34"/>
      <c r="AB77" s="34">
        <f t="shared" si="31"/>
        <v>4936</v>
      </c>
      <c r="AC77" s="12"/>
      <c r="AE77" s="12"/>
      <c r="AF77" s="12">
        <f t="shared" si="24"/>
        <v>4936</v>
      </c>
      <c r="AH77" s="10">
        <v>9</v>
      </c>
      <c r="AI77" s="32"/>
      <c r="AJ77" s="33"/>
      <c r="AL77" s="34"/>
      <c r="AM77" s="34">
        <f t="shared" si="32"/>
        <v>0</v>
      </c>
      <c r="AN77" s="12"/>
      <c r="AP77" s="12"/>
      <c r="AQ77" s="12">
        <f t="shared" si="26"/>
        <v>0</v>
      </c>
      <c r="AR77" s="18"/>
    </row>
    <row r="78" spans="1:44" x14ac:dyDescent="0.25">
      <c r="A78" s="10">
        <v>10</v>
      </c>
      <c r="B78" s="32">
        <v>45294</v>
      </c>
      <c r="C78" s="33">
        <f t="shared" si="27"/>
        <v>6950</v>
      </c>
      <c r="D78" s="34">
        <f>1878+25.5</f>
        <v>1903.5</v>
      </c>
      <c r="E78" s="34"/>
      <c r="F78" s="34">
        <f t="shared" si="19"/>
        <v>1903.5</v>
      </c>
      <c r="G78" s="12"/>
      <c r="H78" s="12">
        <v>9</v>
      </c>
      <c r="I78" s="12"/>
      <c r="J78" s="12">
        <f t="shared" si="20"/>
        <v>1912.5</v>
      </c>
      <c r="L78" s="10">
        <v>10</v>
      </c>
      <c r="M78" s="32">
        <v>45294</v>
      </c>
      <c r="N78" s="33">
        <f t="shared" si="28"/>
        <v>6653</v>
      </c>
      <c r="O78" s="34">
        <f>1878+25.5</f>
        <v>1903.5</v>
      </c>
      <c r="P78" s="34"/>
      <c r="Q78" s="34">
        <f t="shared" si="21"/>
        <v>1903.5</v>
      </c>
      <c r="R78" s="12"/>
      <c r="S78" s="12">
        <v>333</v>
      </c>
      <c r="T78" s="12"/>
      <c r="U78" s="12">
        <f t="shared" si="22"/>
        <v>2236.5</v>
      </c>
      <c r="W78" s="10">
        <v>10</v>
      </c>
      <c r="X78" s="32">
        <v>45294</v>
      </c>
      <c r="Y78" s="33">
        <f t="shared" si="29"/>
        <v>6878</v>
      </c>
      <c r="Z78" s="34">
        <f>626*200+596*100+832*10+205*13+650*2+650</f>
        <v>197735</v>
      </c>
      <c r="AA78" s="34">
        <v>-2934</v>
      </c>
      <c r="AB78" s="34">
        <f t="shared" si="31"/>
        <v>194801</v>
      </c>
      <c r="AC78" s="12"/>
      <c r="AD78" s="12"/>
      <c r="AE78" s="12"/>
      <c r="AF78" s="12">
        <f t="shared" si="24"/>
        <v>194801</v>
      </c>
      <c r="AH78" s="10">
        <v>10</v>
      </c>
      <c r="AI78" s="32"/>
      <c r="AJ78" s="33"/>
      <c r="AK78" s="34"/>
      <c r="AL78" s="34"/>
      <c r="AM78" s="34">
        <f t="shared" si="32"/>
        <v>0</v>
      </c>
      <c r="AN78" s="12"/>
      <c r="AO78" s="12"/>
      <c r="AP78" s="12"/>
      <c r="AQ78" s="12">
        <f t="shared" si="26"/>
        <v>0</v>
      </c>
      <c r="AR78" s="18"/>
    </row>
    <row r="79" spans="1:44" x14ac:dyDescent="0.25">
      <c r="A79" s="10">
        <v>11</v>
      </c>
      <c r="B79" s="32">
        <v>45294</v>
      </c>
      <c r="C79" s="33">
        <v>7051</v>
      </c>
      <c r="D79" s="34">
        <f>626*20+614+596*2+187</f>
        <v>14513</v>
      </c>
      <c r="E79" s="34"/>
      <c r="F79" s="34">
        <f t="shared" si="19"/>
        <v>14513</v>
      </c>
      <c r="G79" s="12"/>
      <c r="H79" s="12">
        <v>50</v>
      </c>
      <c r="I79" s="12"/>
      <c r="J79" s="12">
        <f t="shared" si="20"/>
        <v>14563</v>
      </c>
      <c r="L79" s="10">
        <v>11</v>
      </c>
      <c r="M79" s="32">
        <v>45294</v>
      </c>
      <c r="N79" s="33">
        <f t="shared" si="28"/>
        <v>6654</v>
      </c>
      <c r="O79" s="34">
        <f>3130+42.5</f>
        <v>3172.5</v>
      </c>
      <c r="P79" s="34"/>
      <c r="Q79" s="34">
        <f t="shared" si="21"/>
        <v>3172.5</v>
      </c>
      <c r="R79" s="12"/>
      <c r="S79" s="12">
        <v>1.5</v>
      </c>
      <c r="T79" s="12"/>
      <c r="U79" s="12">
        <f t="shared" si="22"/>
        <v>3174</v>
      </c>
      <c r="W79" s="10">
        <v>11</v>
      </c>
      <c r="X79" s="32">
        <v>45294</v>
      </c>
      <c r="Y79" s="33">
        <f t="shared" si="29"/>
        <v>6879</v>
      </c>
      <c r="Z79" s="34">
        <f>626*25+614*5+596*20+205</f>
        <v>30845</v>
      </c>
      <c r="AA79" s="34">
        <v>-400</v>
      </c>
      <c r="AB79" s="34">
        <f t="shared" ref="AB79:AB101" si="33">SUM(Z79:AA79)</f>
        <v>30445</v>
      </c>
      <c r="AC79" s="12"/>
      <c r="AD79" s="12">
        <v>78</v>
      </c>
      <c r="AE79" s="12"/>
      <c r="AF79" s="12">
        <f t="shared" si="24"/>
        <v>30523</v>
      </c>
      <c r="AH79" s="10">
        <v>11</v>
      </c>
      <c r="AI79" s="32"/>
      <c r="AJ79" s="33"/>
      <c r="AK79" s="34"/>
      <c r="AL79" s="34"/>
      <c r="AM79" s="34">
        <f t="shared" ref="AM79:AM101" si="34">SUM(AK79:AL79)</f>
        <v>0</v>
      </c>
      <c r="AN79" s="12"/>
      <c r="AO79" s="12"/>
      <c r="AP79" s="12"/>
      <c r="AQ79" s="12">
        <f t="shared" si="26"/>
        <v>0</v>
      </c>
      <c r="AR79" s="18"/>
    </row>
    <row r="80" spans="1:44" x14ac:dyDescent="0.25">
      <c r="A80" s="10">
        <v>12</v>
      </c>
      <c r="B80" s="32">
        <v>45294</v>
      </c>
      <c r="C80" s="33">
        <f t="shared" si="27"/>
        <v>7052</v>
      </c>
      <c r="D80" s="34">
        <f>1005+1582</f>
        <v>2587</v>
      </c>
      <c r="E80" s="34"/>
      <c r="F80" s="34">
        <f t="shared" si="19"/>
        <v>2587</v>
      </c>
      <c r="G80" s="12"/>
      <c r="H80" s="12">
        <v>120</v>
      </c>
      <c r="I80" s="10"/>
      <c r="J80" s="12">
        <f t="shared" si="20"/>
        <v>2707</v>
      </c>
      <c r="L80" s="10">
        <v>12</v>
      </c>
      <c r="M80" s="32">
        <v>45294</v>
      </c>
      <c r="N80" s="33">
        <f t="shared" si="28"/>
        <v>6655</v>
      </c>
      <c r="O80" s="34">
        <f>6260+8.5*10</f>
        <v>6345</v>
      </c>
      <c r="P80" s="34"/>
      <c r="Q80" s="34">
        <f t="shared" si="21"/>
        <v>6345</v>
      </c>
      <c r="R80" s="12"/>
      <c r="S80" s="12"/>
      <c r="T80" s="12"/>
      <c r="U80" s="12">
        <f t="shared" si="22"/>
        <v>6345</v>
      </c>
      <c r="W80" s="10">
        <v>12</v>
      </c>
      <c r="X80" s="32">
        <v>45294</v>
      </c>
      <c r="Y80" s="33">
        <f t="shared" si="29"/>
        <v>6880</v>
      </c>
      <c r="Z80" s="34">
        <f>12520+205</f>
        <v>12725</v>
      </c>
      <c r="AA80" s="34"/>
      <c r="AB80" s="34">
        <f t="shared" si="33"/>
        <v>12725</v>
      </c>
      <c r="AC80" s="12"/>
      <c r="AD80" s="12"/>
      <c r="AE80" s="12"/>
      <c r="AF80" s="12">
        <f t="shared" si="24"/>
        <v>12725</v>
      </c>
      <c r="AH80" s="10">
        <v>12</v>
      </c>
      <c r="AI80" s="32"/>
      <c r="AJ80" s="33"/>
      <c r="AK80" s="34"/>
      <c r="AL80" s="34"/>
      <c r="AM80" s="34">
        <f t="shared" si="34"/>
        <v>0</v>
      </c>
      <c r="AN80" s="12"/>
      <c r="AO80" s="12"/>
      <c r="AP80" s="12"/>
      <c r="AQ80" s="12">
        <f t="shared" si="26"/>
        <v>0</v>
      </c>
      <c r="AR80" s="18"/>
    </row>
    <row r="81" spans="1:44" x14ac:dyDescent="0.25">
      <c r="A81" s="10">
        <v>13</v>
      </c>
      <c r="B81" s="32">
        <v>45294</v>
      </c>
      <c r="C81" s="33">
        <f t="shared" si="27"/>
        <v>7053</v>
      </c>
      <c r="D81" s="34">
        <f>500</f>
        <v>500</v>
      </c>
      <c r="E81" s="34"/>
      <c r="F81" s="34">
        <f t="shared" si="19"/>
        <v>500</v>
      </c>
      <c r="G81" s="12"/>
      <c r="H81" s="12">
        <v>36</v>
      </c>
      <c r="I81" s="12">
        <v>-84</v>
      </c>
      <c r="J81" s="12">
        <f t="shared" si="20"/>
        <v>452</v>
      </c>
      <c r="L81" s="10">
        <v>13</v>
      </c>
      <c r="M81" s="32">
        <v>45294</v>
      </c>
      <c r="N81" s="33">
        <f t="shared" si="28"/>
        <v>6656</v>
      </c>
      <c r="O81" s="34">
        <f>3756+51</f>
        <v>3807</v>
      </c>
      <c r="P81" s="34"/>
      <c r="Q81" s="34">
        <f t="shared" si="21"/>
        <v>3807</v>
      </c>
      <c r="R81" s="12"/>
      <c r="S81" s="12"/>
      <c r="T81" s="12"/>
      <c r="U81" s="12">
        <f t="shared" si="22"/>
        <v>3807</v>
      </c>
      <c r="W81" s="10">
        <v>13</v>
      </c>
      <c r="X81" s="32">
        <v>45294</v>
      </c>
      <c r="Y81" s="33">
        <f t="shared" si="29"/>
        <v>6881</v>
      </c>
      <c r="Z81" s="34">
        <f>1878+596+34</f>
        <v>2508</v>
      </c>
      <c r="AA81" s="34"/>
      <c r="AB81" s="34">
        <f t="shared" si="33"/>
        <v>2508</v>
      </c>
      <c r="AC81" s="12"/>
      <c r="AD81" s="12"/>
      <c r="AE81" s="12"/>
      <c r="AF81" s="12">
        <f t="shared" si="24"/>
        <v>2508</v>
      </c>
      <c r="AH81" s="10">
        <v>13</v>
      </c>
      <c r="AI81" s="32"/>
      <c r="AJ81" s="33"/>
      <c r="AK81" s="34"/>
      <c r="AL81" s="34"/>
      <c r="AM81" s="34">
        <f t="shared" si="34"/>
        <v>0</v>
      </c>
      <c r="AN81" s="12"/>
      <c r="AO81" s="12"/>
      <c r="AP81" s="12"/>
      <c r="AQ81" s="12">
        <f t="shared" si="26"/>
        <v>0</v>
      </c>
      <c r="AR81" s="18"/>
    </row>
    <row r="82" spans="1:44" x14ac:dyDescent="0.25">
      <c r="A82" s="10">
        <v>14</v>
      </c>
      <c r="B82" s="32">
        <v>45294</v>
      </c>
      <c r="C82" s="33">
        <v>7054</v>
      </c>
      <c r="D82" s="34">
        <f>626</f>
        <v>626</v>
      </c>
      <c r="E82" s="34"/>
      <c r="F82" s="34">
        <f t="shared" si="19"/>
        <v>626</v>
      </c>
      <c r="G82" s="12"/>
      <c r="H82" s="12"/>
      <c r="I82" s="12"/>
      <c r="J82" s="12">
        <f t="shared" si="20"/>
        <v>626</v>
      </c>
      <c r="L82" s="10">
        <v>14</v>
      </c>
      <c r="M82" s="32">
        <v>45294</v>
      </c>
      <c r="N82" s="33">
        <f t="shared" si="28"/>
        <v>6657</v>
      </c>
      <c r="O82" s="34">
        <f>2504+34</f>
        <v>2538</v>
      </c>
      <c r="P82" s="34"/>
      <c r="Q82" s="34">
        <f t="shared" si="21"/>
        <v>2538</v>
      </c>
      <c r="R82" s="12"/>
      <c r="S82" s="12"/>
      <c r="T82" s="12"/>
      <c r="U82" s="12">
        <f t="shared" si="22"/>
        <v>2538</v>
      </c>
      <c r="W82" s="10">
        <v>14</v>
      </c>
      <c r="X82" s="32"/>
      <c r="Y82" s="11" t="s">
        <v>28</v>
      </c>
      <c r="Z82" s="34"/>
      <c r="AA82" s="34"/>
      <c r="AB82" s="34">
        <f t="shared" si="33"/>
        <v>0</v>
      </c>
      <c r="AC82" s="12"/>
      <c r="AD82" s="12"/>
      <c r="AE82" s="12"/>
      <c r="AF82" s="12">
        <f t="shared" si="24"/>
        <v>0</v>
      </c>
      <c r="AH82" s="10">
        <v>14</v>
      </c>
      <c r="AI82" s="32"/>
      <c r="AJ82" s="33"/>
      <c r="AK82" s="34"/>
      <c r="AL82" s="34"/>
      <c r="AM82" s="34">
        <f t="shared" si="34"/>
        <v>0</v>
      </c>
      <c r="AN82" s="12"/>
      <c r="AO82" s="12"/>
      <c r="AP82" s="12"/>
      <c r="AQ82" s="12">
        <f t="shared" si="26"/>
        <v>0</v>
      </c>
      <c r="AR82" s="18"/>
    </row>
    <row r="83" spans="1:44" x14ac:dyDescent="0.25">
      <c r="A83" s="10">
        <v>15</v>
      </c>
      <c r="B83" s="32"/>
      <c r="C83" s="11" t="s">
        <v>28</v>
      </c>
      <c r="D83" s="34"/>
      <c r="E83" s="34"/>
      <c r="F83" s="34">
        <f t="shared" si="19"/>
        <v>0</v>
      </c>
      <c r="G83" s="12"/>
      <c r="H83" s="12"/>
      <c r="I83" s="12"/>
      <c r="J83" s="12">
        <f t="shared" si="20"/>
        <v>0</v>
      </c>
      <c r="L83" s="10">
        <v>15</v>
      </c>
      <c r="M83" s="32">
        <v>45294</v>
      </c>
      <c r="N83" s="33">
        <f t="shared" si="28"/>
        <v>6658</v>
      </c>
      <c r="O83" s="34">
        <f>2504+34</f>
        <v>2538</v>
      </c>
      <c r="P83" s="34"/>
      <c r="Q83" s="34">
        <f t="shared" si="21"/>
        <v>2538</v>
      </c>
      <c r="R83" s="12"/>
      <c r="S83" s="12">
        <v>9</v>
      </c>
      <c r="T83" s="12"/>
      <c r="U83" s="12">
        <f t="shared" si="22"/>
        <v>2547</v>
      </c>
      <c r="W83" s="10">
        <v>15</v>
      </c>
      <c r="X83" s="32"/>
      <c r="Y83" s="33"/>
      <c r="Z83" s="34"/>
      <c r="AA83" s="34"/>
      <c r="AB83" s="34">
        <f t="shared" si="33"/>
        <v>0</v>
      </c>
      <c r="AC83" s="12"/>
      <c r="AD83" s="12"/>
      <c r="AE83" s="12"/>
      <c r="AF83" s="12">
        <f t="shared" si="24"/>
        <v>0</v>
      </c>
      <c r="AH83" s="10">
        <v>15</v>
      </c>
      <c r="AI83" s="32"/>
      <c r="AJ83" s="33"/>
      <c r="AK83" s="34"/>
      <c r="AL83" s="34"/>
      <c r="AM83" s="34">
        <f t="shared" si="34"/>
        <v>0</v>
      </c>
      <c r="AN83" s="12"/>
      <c r="AO83" s="12"/>
      <c r="AP83" s="12"/>
      <c r="AQ83" s="12">
        <f t="shared" si="26"/>
        <v>0</v>
      </c>
      <c r="AR83" s="18"/>
    </row>
    <row r="84" spans="1:44" x14ac:dyDescent="0.25">
      <c r="A84" s="10">
        <v>16</v>
      </c>
      <c r="B84" s="32"/>
      <c r="C84" s="33"/>
      <c r="D84" s="34"/>
      <c r="E84" s="34"/>
      <c r="F84" s="34">
        <f t="shared" si="19"/>
        <v>0</v>
      </c>
      <c r="G84" s="12"/>
      <c r="H84" s="12"/>
      <c r="I84" s="12"/>
      <c r="J84" s="12">
        <f t="shared" si="20"/>
        <v>0</v>
      </c>
      <c r="L84" s="10">
        <v>16</v>
      </c>
      <c r="M84" s="32">
        <v>45294</v>
      </c>
      <c r="N84" s="33">
        <f t="shared" si="28"/>
        <v>6659</v>
      </c>
      <c r="O84" s="34">
        <f>5634+76.5+674</f>
        <v>6384.5</v>
      </c>
      <c r="P84" s="34"/>
      <c r="Q84" s="34">
        <f t="shared" si="21"/>
        <v>6384.5</v>
      </c>
      <c r="R84" s="12"/>
      <c r="S84" s="12"/>
      <c r="T84" s="12"/>
      <c r="U84" s="12">
        <f t="shared" si="22"/>
        <v>6384.5</v>
      </c>
      <c r="W84" s="10">
        <v>16</v>
      </c>
      <c r="X84" s="32"/>
      <c r="Y84" s="33"/>
      <c r="Z84" s="34"/>
      <c r="AA84" s="34"/>
      <c r="AB84" s="34">
        <f t="shared" si="33"/>
        <v>0</v>
      </c>
      <c r="AC84" s="12"/>
      <c r="AD84" s="12"/>
      <c r="AE84" s="12"/>
      <c r="AF84" s="12">
        <f t="shared" si="24"/>
        <v>0</v>
      </c>
      <c r="AH84" s="10">
        <v>16</v>
      </c>
      <c r="AI84" s="32"/>
      <c r="AJ84" s="33"/>
      <c r="AK84" s="34"/>
      <c r="AL84" s="34"/>
      <c r="AM84" s="34">
        <f t="shared" si="34"/>
        <v>0</v>
      </c>
      <c r="AN84" s="12"/>
      <c r="AO84" s="12"/>
      <c r="AP84" s="12"/>
      <c r="AQ84" s="12">
        <f t="shared" si="26"/>
        <v>0</v>
      </c>
      <c r="AR84" s="18"/>
    </row>
    <row r="85" spans="1:44" x14ac:dyDescent="0.25">
      <c r="A85" s="10">
        <v>17</v>
      </c>
      <c r="B85" s="32"/>
      <c r="C85" s="33"/>
      <c r="D85" s="34"/>
      <c r="E85" s="34"/>
      <c r="F85" s="34">
        <f t="shared" si="19"/>
        <v>0</v>
      </c>
      <c r="G85" s="12"/>
      <c r="H85" s="12"/>
      <c r="I85" s="12"/>
      <c r="J85" s="12">
        <f t="shared" si="20"/>
        <v>0</v>
      </c>
      <c r="L85" s="10">
        <v>17</v>
      </c>
      <c r="M85" s="32">
        <v>45294</v>
      </c>
      <c r="N85" s="33">
        <f t="shared" si="28"/>
        <v>6660</v>
      </c>
      <c r="O85" s="37">
        <f>626+8.5</f>
        <v>634.5</v>
      </c>
      <c r="P85" s="34"/>
      <c r="Q85" s="34">
        <f t="shared" si="21"/>
        <v>634.5</v>
      </c>
      <c r="R85" s="12"/>
      <c r="S85" s="12">
        <v>1.5</v>
      </c>
      <c r="T85" s="12"/>
      <c r="U85" s="12">
        <f t="shared" si="22"/>
        <v>636</v>
      </c>
      <c r="W85" s="10">
        <v>17</v>
      </c>
      <c r="X85" s="32"/>
      <c r="Y85" s="33"/>
      <c r="Z85" s="37"/>
      <c r="AA85" s="34"/>
      <c r="AB85" s="34">
        <f t="shared" si="33"/>
        <v>0</v>
      </c>
      <c r="AC85" s="12"/>
      <c r="AD85" s="12"/>
      <c r="AE85" s="12"/>
      <c r="AF85" s="12">
        <f t="shared" si="24"/>
        <v>0</v>
      </c>
      <c r="AH85" s="10">
        <v>17</v>
      </c>
      <c r="AI85" s="32"/>
      <c r="AJ85" s="33"/>
      <c r="AK85" s="37"/>
      <c r="AL85" s="34"/>
      <c r="AM85" s="34">
        <f t="shared" si="34"/>
        <v>0</v>
      </c>
      <c r="AN85" s="12"/>
      <c r="AO85" s="12"/>
      <c r="AP85" s="12"/>
      <c r="AQ85" s="12">
        <f t="shared" si="26"/>
        <v>0</v>
      </c>
      <c r="AR85" s="18"/>
    </row>
    <row r="86" spans="1:44" x14ac:dyDescent="0.25">
      <c r="A86" s="10">
        <v>18</v>
      </c>
      <c r="B86" s="32"/>
      <c r="C86" s="33"/>
      <c r="D86" s="34"/>
      <c r="E86" s="34"/>
      <c r="F86" s="34">
        <f t="shared" si="19"/>
        <v>0</v>
      </c>
      <c r="G86" s="12"/>
      <c r="H86" s="12"/>
      <c r="I86" s="12"/>
      <c r="J86" s="12">
        <f t="shared" si="20"/>
        <v>0</v>
      </c>
      <c r="L86" s="10">
        <v>18</v>
      </c>
      <c r="M86" s="32">
        <v>45294</v>
      </c>
      <c r="N86" s="33">
        <f t="shared" si="28"/>
        <v>6661</v>
      </c>
      <c r="O86" s="34">
        <f>1878+25.5+1348</f>
        <v>3251.5</v>
      </c>
      <c r="P86" s="34"/>
      <c r="Q86" s="34">
        <f t="shared" si="21"/>
        <v>3251.5</v>
      </c>
      <c r="R86" s="12"/>
      <c r="S86" s="12"/>
      <c r="T86" s="12"/>
      <c r="U86" s="12">
        <f t="shared" si="22"/>
        <v>3251.5</v>
      </c>
      <c r="W86" s="10">
        <v>18</v>
      </c>
      <c r="X86" s="32"/>
      <c r="Y86" s="33"/>
      <c r="Z86" s="34"/>
      <c r="AA86" s="34"/>
      <c r="AB86" s="34">
        <f t="shared" si="33"/>
        <v>0</v>
      </c>
      <c r="AC86" s="12"/>
      <c r="AD86" s="12"/>
      <c r="AE86" s="12"/>
      <c r="AF86" s="12">
        <f t="shared" si="24"/>
        <v>0</v>
      </c>
      <c r="AH86" s="10">
        <v>18</v>
      </c>
      <c r="AI86" s="32"/>
      <c r="AJ86" s="33"/>
      <c r="AK86" s="34"/>
      <c r="AL86" s="34"/>
      <c r="AM86" s="34">
        <f t="shared" si="34"/>
        <v>0</v>
      </c>
      <c r="AN86" s="12"/>
      <c r="AO86" s="12"/>
      <c r="AP86" s="12"/>
      <c r="AQ86" s="12">
        <f t="shared" si="26"/>
        <v>0</v>
      </c>
      <c r="AR86" s="18"/>
    </row>
    <row r="87" spans="1:44" x14ac:dyDescent="0.25">
      <c r="A87" s="10">
        <v>19</v>
      </c>
      <c r="B87" s="32"/>
      <c r="C87" s="33"/>
      <c r="D87" s="34"/>
      <c r="E87" s="34"/>
      <c r="F87" s="34">
        <f t="shared" si="19"/>
        <v>0</v>
      </c>
      <c r="G87" s="12"/>
      <c r="H87" s="12"/>
      <c r="I87" s="12"/>
      <c r="J87" s="12">
        <f t="shared" si="20"/>
        <v>0</v>
      </c>
      <c r="L87" s="10">
        <v>19</v>
      </c>
      <c r="M87" s="32">
        <v>45294</v>
      </c>
      <c r="N87" s="33">
        <f t="shared" si="28"/>
        <v>6662</v>
      </c>
      <c r="O87" s="34">
        <f>3130+42.5+674</f>
        <v>3846.5</v>
      </c>
      <c r="P87" s="34"/>
      <c r="Q87" s="34">
        <f t="shared" si="21"/>
        <v>3846.5</v>
      </c>
      <c r="R87" s="12"/>
      <c r="S87" s="12">
        <v>7.5</v>
      </c>
      <c r="T87" s="12"/>
      <c r="U87" s="12">
        <f t="shared" si="22"/>
        <v>3854</v>
      </c>
      <c r="W87" s="10">
        <v>19</v>
      </c>
      <c r="X87" s="32"/>
      <c r="Y87" s="33"/>
      <c r="Z87" s="34"/>
      <c r="AA87" s="34"/>
      <c r="AB87" s="34">
        <f t="shared" si="33"/>
        <v>0</v>
      </c>
      <c r="AC87" s="12"/>
      <c r="AD87" s="12"/>
      <c r="AE87" s="12"/>
      <c r="AF87" s="12">
        <f t="shared" si="24"/>
        <v>0</v>
      </c>
      <c r="AH87" s="10">
        <v>19</v>
      </c>
      <c r="AI87" s="32"/>
      <c r="AJ87" s="33"/>
      <c r="AK87" s="34"/>
      <c r="AL87" s="34"/>
      <c r="AM87" s="34">
        <f t="shared" si="34"/>
        <v>0</v>
      </c>
      <c r="AN87" s="12"/>
      <c r="AO87" s="12"/>
      <c r="AP87" s="12"/>
      <c r="AQ87" s="12">
        <f t="shared" si="26"/>
        <v>0</v>
      </c>
      <c r="AR87" s="18"/>
    </row>
    <row r="88" spans="1:44" x14ac:dyDescent="0.25">
      <c r="A88" s="10">
        <v>20</v>
      </c>
      <c r="B88" s="32"/>
      <c r="C88" s="33"/>
      <c r="D88" s="34"/>
      <c r="E88" s="34"/>
      <c r="F88" s="34">
        <f t="shared" si="19"/>
        <v>0</v>
      </c>
      <c r="G88" s="12"/>
      <c r="H88" s="12"/>
      <c r="I88" s="12"/>
      <c r="J88" s="12">
        <f t="shared" si="20"/>
        <v>0</v>
      </c>
      <c r="L88" s="10">
        <v>20</v>
      </c>
      <c r="M88" s="32">
        <v>45294</v>
      </c>
      <c r="N88" s="33">
        <f t="shared" si="28"/>
        <v>6663</v>
      </c>
      <c r="O88" s="34">
        <f>3130+42.5</f>
        <v>3172.5</v>
      </c>
      <c r="P88" s="34"/>
      <c r="Q88" s="34">
        <f t="shared" si="21"/>
        <v>3172.5</v>
      </c>
      <c r="R88" s="12"/>
      <c r="S88" s="12"/>
      <c r="T88" s="12"/>
      <c r="U88" s="12">
        <f t="shared" si="22"/>
        <v>3172.5</v>
      </c>
      <c r="W88" s="10">
        <v>20</v>
      </c>
      <c r="X88" s="32"/>
      <c r="Y88" s="33"/>
      <c r="Z88" s="34"/>
      <c r="AA88" s="34"/>
      <c r="AB88" s="34">
        <f t="shared" si="33"/>
        <v>0</v>
      </c>
      <c r="AC88" s="12"/>
      <c r="AD88" s="12"/>
      <c r="AE88" s="12"/>
      <c r="AF88" s="12">
        <f t="shared" si="24"/>
        <v>0</v>
      </c>
      <c r="AH88" s="10">
        <v>20</v>
      </c>
      <c r="AI88" s="32"/>
      <c r="AJ88" s="33"/>
      <c r="AK88" s="34"/>
      <c r="AL88" s="34"/>
      <c r="AM88" s="34">
        <f t="shared" si="34"/>
        <v>0</v>
      </c>
      <c r="AN88" s="12"/>
      <c r="AO88" s="12"/>
      <c r="AP88" s="12"/>
      <c r="AQ88" s="12">
        <f t="shared" si="26"/>
        <v>0</v>
      </c>
      <c r="AR88" s="18"/>
    </row>
    <row r="89" spans="1:44" x14ac:dyDescent="0.25">
      <c r="A89" s="10">
        <v>21</v>
      </c>
      <c r="B89" s="32"/>
      <c r="C89" s="33"/>
      <c r="D89" s="34"/>
      <c r="E89" s="34"/>
      <c r="F89" s="34">
        <f t="shared" si="19"/>
        <v>0</v>
      </c>
      <c r="G89" s="10"/>
      <c r="H89" s="10"/>
      <c r="I89" s="10"/>
      <c r="J89" s="12">
        <f t="shared" si="20"/>
        <v>0</v>
      </c>
      <c r="L89" s="10">
        <v>21</v>
      </c>
      <c r="M89" s="32">
        <v>45294</v>
      </c>
      <c r="N89" s="33">
        <f t="shared" si="28"/>
        <v>6664</v>
      </c>
      <c r="O89" s="50">
        <f>3130+42.5+674</f>
        <v>3846.5</v>
      </c>
      <c r="P89" s="33"/>
      <c r="Q89" s="34">
        <f t="shared" si="21"/>
        <v>3846.5</v>
      </c>
      <c r="R89" s="10"/>
      <c r="S89" s="10"/>
      <c r="T89" s="10">
        <v>-222</v>
      </c>
      <c r="U89" s="12">
        <f t="shared" si="22"/>
        <v>3624.5</v>
      </c>
      <c r="W89" s="10">
        <v>21</v>
      </c>
      <c r="X89" s="32"/>
      <c r="Z89" s="50"/>
      <c r="AA89" s="33"/>
      <c r="AB89" s="34">
        <f t="shared" si="33"/>
        <v>0</v>
      </c>
      <c r="AC89" s="10"/>
      <c r="AD89" s="10"/>
      <c r="AE89" s="10"/>
      <c r="AF89" s="12">
        <f t="shared" si="24"/>
        <v>0</v>
      </c>
      <c r="AH89" s="10">
        <v>21</v>
      </c>
      <c r="AI89" s="32"/>
      <c r="AJ89" s="33"/>
      <c r="AK89" s="50"/>
      <c r="AL89" s="33"/>
      <c r="AM89" s="34">
        <f t="shared" si="34"/>
        <v>0</v>
      </c>
      <c r="AN89" s="10"/>
      <c r="AO89" s="10"/>
      <c r="AP89" s="10"/>
      <c r="AQ89" s="12">
        <f t="shared" si="26"/>
        <v>0</v>
      </c>
      <c r="AR89" s="18"/>
    </row>
    <row r="90" spans="1:44" x14ac:dyDescent="0.25">
      <c r="A90" s="10">
        <v>22</v>
      </c>
      <c r="B90" s="32"/>
      <c r="C90" s="33"/>
      <c r="D90" s="34"/>
      <c r="E90" s="34"/>
      <c r="F90" s="34">
        <f t="shared" si="19"/>
        <v>0</v>
      </c>
      <c r="G90" s="10"/>
      <c r="H90" s="10"/>
      <c r="I90" s="10"/>
      <c r="J90" s="12">
        <f t="shared" si="20"/>
        <v>0</v>
      </c>
      <c r="L90" s="10">
        <v>22</v>
      </c>
      <c r="M90" s="32"/>
      <c r="N90" s="11" t="s">
        <v>28</v>
      </c>
      <c r="O90" s="49"/>
      <c r="P90" s="33"/>
      <c r="Q90" s="34">
        <f t="shared" si="21"/>
        <v>0</v>
      </c>
      <c r="R90" s="10"/>
      <c r="S90" s="10"/>
      <c r="T90" s="10"/>
      <c r="U90" s="12">
        <f t="shared" si="22"/>
        <v>0</v>
      </c>
      <c r="W90" s="10">
        <v>22</v>
      </c>
      <c r="X90" s="32"/>
      <c r="Y90" s="33"/>
      <c r="Z90" s="49"/>
      <c r="AA90" s="33"/>
      <c r="AB90" s="34">
        <f t="shared" si="33"/>
        <v>0</v>
      </c>
      <c r="AC90" s="10"/>
      <c r="AD90" s="10"/>
      <c r="AE90" s="10"/>
      <c r="AF90" s="12">
        <f t="shared" si="24"/>
        <v>0</v>
      </c>
      <c r="AH90" s="10">
        <v>22</v>
      </c>
      <c r="AI90" s="32"/>
      <c r="AJ90" s="33"/>
      <c r="AK90" s="49"/>
      <c r="AL90" s="33"/>
      <c r="AM90" s="34">
        <f t="shared" si="34"/>
        <v>0</v>
      </c>
      <c r="AN90" s="10"/>
      <c r="AO90" s="10"/>
      <c r="AP90" s="10"/>
      <c r="AQ90" s="12">
        <f t="shared" si="26"/>
        <v>0</v>
      </c>
      <c r="AR90" s="18"/>
    </row>
    <row r="91" spans="1:44" x14ac:dyDescent="0.25">
      <c r="A91" s="10">
        <v>23</v>
      </c>
      <c r="B91" s="32"/>
      <c r="C91" s="33"/>
      <c r="D91" s="34"/>
      <c r="E91" s="34"/>
      <c r="F91" s="34">
        <f t="shared" si="19"/>
        <v>0</v>
      </c>
      <c r="G91" s="10"/>
      <c r="H91" s="10"/>
      <c r="I91" s="12"/>
      <c r="J91" s="12">
        <f t="shared" si="20"/>
        <v>0</v>
      </c>
      <c r="L91" s="10">
        <v>23</v>
      </c>
      <c r="M91" s="32"/>
      <c r="N91" s="33"/>
      <c r="O91" s="51"/>
      <c r="Q91" s="34">
        <f t="shared" si="21"/>
        <v>0</v>
      </c>
      <c r="R91" s="10"/>
      <c r="S91" s="10"/>
      <c r="T91" s="10"/>
      <c r="U91" s="12">
        <f t="shared" si="22"/>
        <v>0</v>
      </c>
      <c r="W91" s="10">
        <v>23</v>
      </c>
      <c r="X91" s="32"/>
      <c r="Y91" s="33"/>
      <c r="Z91" s="51"/>
      <c r="AB91" s="34">
        <f t="shared" si="33"/>
        <v>0</v>
      </c>
      <c r="AC91" s="10"/>
      <c r="AD91" s="10"/>
      <c r="AE91" s="10"/>
      <c r="AF91" s="12">
        <f t="shared" si="24"/>
        <v>0</v>
      </c>
      <c r="AH91" s="10">
        <v>23</v>
      </c>
      <c r="AI91" s="32"/>
      <c r="AK91" s="51"/>
      <c r="AM91" s="34">
        <f t="shared" si="34"/>
        <v>0</v>
      </c>
      <c r="AN91" s="10"/>
      <c r="AO91" s="10"/>
      <c r="AP91" s="10"/>
      <c r="AQ91" s="12">
        <f t="shared" si="26"/>
        <v>0</v>
      </c>
      <c r="AR91" s="18"/>
    </row>
    <row r="92" spans="1:44" x14ac:dyDescent="0.25">
      <c r="A92" s="10">
        <v>24</v>
      </c>
      <c r="B92" s="32"/>
      <c r="C92" s="33"/>
      <c r="D92" s="34"/>
      <c r="E92" s="34"/>
      <c r="F92" s="34">
        <f t="shared" si="19"/>
        <v>0</v>
      </c>
      <c r="G92" s="10"/>
      <c r="H92" s="10"/>
      <c r="I92" s="10"/>
      <c r="J92" s="12">
        <f t="shared" si="20"/>
        <v>0</v>
      </c>
      <c r="L92" s="10">
        <v>24</v>
      </c>
      <c r="M92" s="32"/>
      <c r="N92" s="33"/>
      <c r="O92" s="51"/>
      <c r="P92" s="33"/>
      <c r="Q92" s="34">
        <f t="shared" si="21"/>
        <v>0</v>
      </c>
      <c r="R92" s="10"/>
      <c r="S92" s="10"/>
      <c r="T92" s="10"/>
      <c r="U92" s="12">
        <f t="shared" si="22"/>
        <v>0</v>
      </c>
      <c r="W92" s="10">
        <v>24</v>
      </c>
      <c r="X92" s="32"/>
      <c r="Y92" s="33"/>
      <c r="Z92" s="51"/>
      <c r="AA92" s="33"/>
      <c r="AB92" s="34">
        <f t="shared" si="33"/>
        <v>0</v>
      </c>
      <c r="AC92" s="10"/>
      <c r="AD92" s="10"/>
      <c r="AE92" s="10"/>
      <c r="AF92" s="12">
        <f t="shared" si="24"/>
        <v>0</v>
      </c>
      <c r="AH92" s="10">
        <v>24</v>
      </c>
      <c r="AI92" s="32"/>
      <c r="AJ92" s="33"/>
      <c r="AK92" s="51"/>
      <c r="AL92" s="33"/>
      <c r="AM92" s="34">
        <f t="shared" si="34"/>
        <v>0</v>
      </c>
      <c r="AN92" s="10"/>
      <c r="AO92" s="10"/>
      <c r="AP92" s="10"/>
      <c r="AQ92" s="12">
        <f t="shared" si="26"/>
        <v>0</v>
      </c>
      <c r="AR92" s="18"/>
    </row>
    <row r="93" spans="1:44" x14ac:dyDescent="0.25">
      <c r="A93" s="10">
        <v>25</v>
      </c>
      <c r="B93" s="32"/>
      <c r="C93" s="33"/>
      <c r="D93" s="34"/>
      <c r="E93" s="34"/>
      <c r="F93" s="34">
        <f t="shared" si="19"/>
        <v>0</v>
      </c>
      <c r="G93" s="10"/>
      <c r="H93" s="10"/>
      <c r="I93" s="10"/>
      <c r="J93" s="12">
        <f t="shared" si="20"/>
        <v>0</v>
      </c>
      <c r="L93" s="10">
        <v>25</v>
      </c>
      <c r="M93" s="32"/>
      <c r="N93" s="33"/>
      <c r="O93" s="51"/>
      <c r="P93" s="33"/>
      <c r="Q93" s="34">
        <f t="shared" si="21"/>
        <v>0</v>
      </c>
      <c r="R93" s="10"/>
      <c r="S93" s="10"/>
      <c r="T93" s="10"/>
      <c r="U93" s="12">
        <f t="shared" si="22"/>
        <v>0</v>
      </c>
      <c r="W93" s="10">
        <v>25</v>
      </c>
      <c r="X93" s="32"/>
      <c r="Y93" s="33"/>
      <c r="Z93" s="51"/>
      <c r="AA93" s="33"/>
      <c r="AB93" s="34">
        <f t="shared" si="33"/>
        <v>0</v>
      </c>
      <c r="AC93" s="10"/>
      <c r="AD93" s="10"/>
      <c r="AE93" s="10"/>
      <c r="AF93" s="12">
        <f t="shared" si="24"/>
        <v>0</v>
      </c>
      <c r="AH93" s="10">
        <v>25</v>
      </c>
      <c r="AI93" s="32"/>
      <c r="AJ93" s="33"/>
      <c r="AK93" s="51"/>
      <c r="AL93" s="33"/>
      <c r="AM93" s="34">
        <f t="shared" si="34"/>
        <v>0</v>
      </c>
      <c r="AN93" s="10"/>
      <c r="AO93" s="10"/>
      <c r="AP93" s="10"/>
      <c r="AQ93" s="12">
        <f t="shared" si="26"/>
        <v>0</v>
      </c>
      <c r="AR93" s="18"/>
    </row>
    <row r="94" spans="1:44" x14ac:dyDescent="0.25">
      <c r="A94" s="10">
        <v>26</v>
      </c>
      <c r="B94" s="32"/>
      <c r="C94" s="64"/>
      <c r="D94" s="34"/>
      <c r="E94" s="34"/>
      <c r="F94" s="34">
        <f t="shared" si="19"/>
        <v>0</v>
      </c>
      <c r="G94" s="10"/>
      <c r="H94" s="10"/>
      <c r="I94" s="10"/>
      <c r="J94" s="12">
        <f t="shared" si="20"/>
        <v>0</v>
      </c>
      <c r="L94" s="10">
        <v>26</v>
      </c>
      <c r="M94" s="32"/>
      <c r="O94" s="51"/>
      <c r="P94" s="33"/>
      <c r="Q94" s="34">
        <f t="shared" si="21"/>
        <v>0</v>
      </c>
      <c r="R94" s="10"/>
      <c r="S94" s="10"/>
      <c r="T94" s="10"/>
      <c r="U94" s="12">
        <f t="shared" si="22"/>
        <v>0</v>
      </c>
      <c r="W94" s="10">
        <v>26</v>
      </c>
      <c r="X94" s="32"/>
      <c r="Z94" s="51"/>
      <c r="AA94" s="33"/>
      <c r="AB94" s="34">
        <f t="shared" si="33"/>
        <v>0</v>
      </c>
      <c r="AC94" s="10"/>
      <c r="AD94" s="10"/>
      <c r="AE94" s="10"/>
      <c r="AF94" s="12">
        <f t="shared" si="24"/>
        <v>0</v>
      </c>
      <c r="AH94" s="10">
        <v>26</v>
      </c>
      <c r="AI94" s="32"/>
      <c r="AK94" s="51"/>
      <c r="AL94" s="33"/>
      <c r="AM94" s="34">
        <f t="shared" si="34"/>
        <v>0</v>
      </c>
      <c r="AN94" s="10"/>
      <c r="AO94" s="10"/>
      <c r="AP94" s="10"/>
      <c r="AQ94" s="12">
        <f t="shared" si="26"/>
        <v>0</v>
      </c>
      <c r="AR94" s="18"/>
    </row>
    <row r="95" spans="1:44" x14ac:dyDescent="0.25">
      <c r="A95" s="10">
        <v>27</v>
      </c>
      <c r="B95" s="32"/>
      <c r="C95" s="33"/>
      <c r="D95" s="34"/>
      <c r="E95" s="34"/>
      <c r="F95" s="34">
        <f t="shared" si="19"/>
        <v>0</v>
      </c>
      <c r="G95" s="10"/>
      <c r="H95" s="10"/>
      <c r="I95" s="10"/>
      <c r="J95" s="12">
        <f t="shared" si="20"/>
        <v>0</v>
      </c>
      <c r="L95" s="10">
        <v>27</v>
      </c>
      <c r="M95" s="32"/>
      <c r="O95" s="51"/>
      <c r="P95" s="33"/>
      <c r="Q95" s="34">
        <f t="shared" si="21"/>
        <v>0</v>
      </c>
      <c r="R95" s="10"/>
      <c r="S95" s="10"/>
      <c r="T95" s="10"/>
      <c r="U95" s="12">
        <f t="shared" si="22"/>
        <v>0</v>
      </c>
      <c r="W95" s="10">
        <v>27</v>
      </c>
      <c r="X95" s="32"/>
      <c r="Y95" s="33"/>
      <c r="Z95" s="51"/>
      <c r="AA95" s="33"/>
      <c r="AB95" s="34">
        <f t="shared" si="33"/>
        <v>0</v>
      </c>
      <c r="AC95" s="10"/>
      <c r="AD95" s="10"/>
      <c r="AE95" s="10"/>
      <c r="AF95" s="12">
        <f t="shared" si="24"/>
        <v>0</v>
      </c>
      <c r="AH95" s="10">
        <v>27</v>
      </c>
      <c r="AI95" s="32"/>
      <c r="AJ95" s="33"/>
      <c r="AK95" s="51"/>
      <c r="AL95" s="33"/>
      <c r="AM95" s="34">
        <f t="shared" si="34"/>
        <v>0</v>
      </c>
      <c r="AN95" s="10"/>
      <c r="AO95" s="10"/>
      <c r="AP95" s="10"/>
      <c r="AQ95" s="12">
        <f t="shared" si="26"/>
        <v>0</v>
      </c>
      <c r="AR95" s="18"/>
    </row>
    <row r="96" spans="1:44" x14ac:dyDescent="0.25">
      <c r="A96" s="10">
        <v>28</v>
      </c>
      <c r="B96" s="32"/>
      <c r="C96" s="33"/>
      <c r="D96" s="34"/>
      <c r="E96" s="34"/>
      <c r="F96" s="34">
        <f t="shared" si="19"/>
        <v>0</v>
      </c>
      <c r="G96" s="10"/>
      <c r="H96" s="10"/>
      <c r="I96" s="10"/>
      <c r="J96" s="12">
        <f t="shared" si="20"/>
        <v>0</v>
      </c>
      <c r="L96" s="10">
        <v>28</v>
      </c>
      <c r="M96" s="32"/>
      <c r="N96" s="33"/>
      <c r="O96" s="51"/>
      <c r="P96" s="33"/>
      <c r="Q96" s="34">
        <f t="shared" si="21"/>
        <v>0</v>
      </c>
      <c r="R96" s="10"/>
      <c r="S96" s="10"/>
      <c r="T96" s="10"/>
      <c r="U96" s="12">
        <f t="shared" si="22"/>
        <v>0</v>
      </c>
      <c r="W96" s="10">
        <v>28</v>
      </c>
      <c r="X96" s="32"/>
      <c r="Y96" s="33"/>
      <c r="Z96" s="51"/>
      <c r="AA96" s="33"/>
      <c r="AB96" s="34">
        <f t="shared" si="33"/>
        <v>0</v>
      </c>
      <c r="AC96" s="10"/>
      <c r="AD96" s="10"/>
      <c r="AE96" s="10"/>
      <c r="AF96" s="12">
        <f t="shared" si="24"/>
        <v>0</v>
      </c>
      <c r="AH96" s="10">
        <v>28</v>
      </c>
      <c r="AI96" s="32"/>
      <c r="AJ96" s="33"/>
      <c r="AK96" s="51"/>
      <c r="AL96" s="33"/>
      <c r="AM96" s="34">
        <f t="shared" si="34"/>
        <v>0</v>
      </c>
      <c r="AN96" s="10"/>
      <c r="AO96" s="10"/>
      <c r="AP96" s="10"/>
      <c r="AQ96" s="12">
        <f t="shared" si="26"/>
        <v>0</v>
      </c>
      <c r="AR96" s="18"/>
    </row>
    <row r="97" spans="1:44" x14ac:dyDescent="0.25">
      <c r="A97" s="10">
        <v>29</v>
      </c>
      <c r="B97" s="32"/>
      <c r="C97" s="33"/>
      <c r="D97" s="34"/>
      <c r="E97" s="34"/>
      <c r="F97" s="34">
        <f t="shared" si="19"/>
        <v>0</v>
      </c>
      <c r="G97" s="10"/>
      <c r="H97" s="10"/>
      <c r="I97" s="10"/>
      <c r="J97" s="12">
        <f t="shared" si="20"/>
        <v>0</v>
      </c>
      <c r="L97" s="10">
        <v>29</v>
      </c>
      <c r="M97" s="32"/>
      <c r="N97" s="33"/>
      <c r="O97" s="51"/>
      <c r="P97" s="33"/>
      <c r="Q97" s="34">
        <f t="shared" si="21"/>
        <v>0</v>
      </c>
      <c r="R97" s="10"/>
      <c r="S97" s="10"/>
      <c r="T97" s="10"/>
      <c r="U97" s="12">
        <f t="shared" si="22"/>
        <v>0</v>
      </c>
      <c r="W97" s="10">
        <v>29</v>
      </c>
      <c r="X97" s="32"/>
      <c r="Y97" s="33"/>
      <c r="Z97" s="51"/>
      <c r="AA97" s="33"/>
      <c r="AB97" s="34">
        <f t="shared" si="33"/>
        <v>0</v>
      </c>
      <c r="AC97" s="10"/>
      <c r="AD97" s="10"/>
      <c r="AE97" s="10"/>
      <c r="AF97" s="12">
        <f t="shared" si="24"/>
        <v>0</v>
      </c>
      <c r="AH97" s="10">
        <v>29</v>
      </c>
      <c r="AI97" s="32"/>
      <c r="AJ97" s="33"/>
      <c r="AK97" s="51"/>
      <c r="AL97" s="33"/>
      <c r="AM97" s="34">
        <f t="shared" si="34"/>
        <v>0</v>
      </c>
      <c r="AN97" s="10"/>
      <c r="AO97" s="10"/>
      <c r="AP97" s="10"/>
      <c r="AQ97" s="12">
        <f t="shared" si="26"/>
        <v>0</v>
      </c>
      <c r="AR97" s="18"/>
    </row>
    <row r="98" spans="1:44" x14ac:dyDescent="0.25">
      <c r="A98" s="10">
        <v>30</v>
      </c>
      <c r="B98" s="32"/>
      <c r="C98" s="33"/>
      <c r="D98" s="34"/>
      <c r="E98" s="34"/>
      <c r="F98" s="34">
        <f t="shared" si="19"/>
        <v>0</v>
      </c>
      <c r="G98" s="10"/>
      <c r="H98" s="10"/>
      <c r="I98" s="10"/>
      <c r="J98" s="12">
        <f t="shared" si="20"/>
        <v>0</v>
      </c>
      <c r="L98" s="10">
        <v>30</v>
      </c>
      <c r="M98" s="32"/>
      <c r="N98" s="33"/>
      <c r="O98" s="51"/>
      <c r="P98" s="33"/>
      <c r="Q98" s="34">
        <f t="shared" si="21"/>
        <v>0</v>
      </c>
      <c r="R98" s="10"/>
      <c r="S98" s="10"/>
      <c r="T98" s="10"/>
      <c r="U98" s="12">
        <f t="shared" si="22"/>
        <v>0</v>
      </c>
      <c r="W98" s="10">
        <v>30</v>
      </c>
      <c r="X98" s="32"/>
      <c r="Y98" s="33"/>
      <c r="Z98" s="51"/>
      <c r="AA98" s="33"/>
      <c r="AB98" s="34">
        <f t="shared" si="33"/>
        <v>0</v>
      </c>
      <c r="AC98" s="10"/>
      <c r="AD98" s="10"/>
      <c r="AE98" s="10"/>
      <c r="AF98" s="12">
        <f t="shared" si="24"/>
        <v>0</v>
      </c>
      <c r="AH98" s="10">
        <v>30</v>
      </c>
      <c r="AI98" s="32"/>
      <c r="AJ98" s="33"/>
      <c r="AK98" s="51"/>
      <c r="AL98" s="33"/>
      <c r="AM98" s="34">
        <f t="shared" si="34"/>
        <v>0</v>
      </c>
      <c r="AN98" s="10"/>
      <c r="AO98" s="10"/>
      <c r="AP98" s="10"/>
      <c r="AQ98" s="12">
        <f t="shared" si="26"/>
        <v>0</v>
      </c>
      <c r="AR98" s="18"/>
    </row>
    <row r="99" spans="1:44" x14ac:dyDescent="0.25">
      <c r="A99" s="10">
        <v>31</v>
      </c>
      <c r="B99" s="32"/>
      <c r="C99" s="33"/>
      <c r="D99" s="34"/>
      <c r="E99" s="34"/>
      <c r="F99" s="34">
        <f t="shared" si="19"/>
        <v>0</v>
      </c>
      <c r="G99" s="10"/>
      <c r="H99" s="10"/>
      <c r="I99" s="10"/>
      <c r="J99" s="12">
        <f t="shared" si="20"/>
        <v>0</v>
      </c>
      <c r="L99" s="10">
        <v>31</v>
      </c>
      <c r="M99" s="32"/>
      <c r="N99" s="33"/>
      <c r="O99" s="51"/>
      <c r="P99" s="33"/>
      <c r="Q99" s="34">
        <f t="shared" si="21"/>
        <v>0</v>
      </c>
      <c r="R99" s="10"/>
      <c r="S99" s="10"/>
      <c r="T99" s="10"/>
      <c r="U99" s="12">
        <f t="shared" si="22"/>
        <v>0</v>
      </c>
      <c r="W99" s="10">
        <v>31</v>
      </c>
      <c r="X99" s="32"/>
      <c r="Y99" s="33"/>
      <c r="Z99" s="51"/>
      <c r="AA99" s="33"/>
      <c r="AB99" s="34">
        <f t="shared" si="33"/>
        <v>0</v>
      </c>
      <c r="AC99" s="10"/>
      <c r="AD99" s="10"/>
      <c r="AE99" s="10"/>
      <c r="AF99" s="12">
        <f t="shared" si="24"/>
        <v>0</v>
      </c>
      <c r="AH99" s="10">
        <v>31</v>
      </c>
      <c r="AI99" s="32"/>
      <c r="AJ99" s="33"/>
      <c r="AK99" s="51"/>
      <c r="AL99" s="33"/>
      <c r="AM99" s="34">
        <f t="shared" si="34"/>
        <v>0</v>
      </c>
      <c r="AN99" s="10"/>
      <c r="AO99" s="10"/>
      <c r="AP99" s="10"/>
      <c r="AQ99" s="12">
        <f t="shared" si="26"/>
        <v>0</v>
      </c>
      <c r="AR99" s="18"/>
    </row>
    <row r="100" spans="1:44" x14ac:dyDescent="0.25">
      <c r="A100" s="10">
        <v>32</v>
      </c>
      <c r="B100" s="32"/>
      <c r="C100" s="33"/>
      <c r="D100" s="34"/>
      <c r="E100" s="34"/>
      <c r="F100" s="34">
        <f t="shared" si="19"/>
        <v>0</v>
      </c>
      <c r="G100" s="10"/>
      <c r="H100" s="10"/>
      <c r="I100" s="10"/>
      <c r="J100" s="12">
        <f t="shared" si="20"/>
        <v>0</v>
      </c>
      <c r="L100" s="10">
        <v>32</v>
      </c>
      <c r="M100" s="32"/>
      <c r="N100" s="33"/>
      <c r="O100" s="51"/>
      <c r="P100" s="33"/>
      <c r="Q100" s="34">
        <f t="shared" si="21"/>
        <v>0</v>
      </c>
      <c r="R100" s="10"/>
      <c r="S100" s="10"/>
      <c r="T100" s="10"/>
      <c r="U100" s="12">
        <f t="shared" si="22"/>
        <v>0</v>
      </c>
      <c r="W100" s="10">
        <v>32</v>
      </c>
      <c r="X100" s="32"/>
      <c r="Y100" s="33"/>
      <c r="Z100" s="51"/>
      <c r="AA100" s="33"/>
      <c r="AB100" s="34">
        <f t="shared" si="33"/>
        <v>0</v>
      </c>
      <c r="AC100" s="10"/>
      <c r="AD100" s="10"/>
      <c r="AE100" s="10"/>
      <c r="AF100" s="12">
        <f t="shared" si="24"/>
        <v>0</v>
      </c>
      <c r="AH100" s="10">
        <v>32</v>
      </c>
      <c r="AI100" s="32"/>
      <c r="AJ100" s="33"/>
      <c r="AK100" s="51"/>
      <c r="AL100" s="33"/>
      <c r="AM100" s="34">
        <f t="shared" si="34"/>
        <v>0</v>
      </c>
      <c r="AN100" s="10"/>
      <c r="AO100" s="10"/>
      <c r="AP100" s="10"/>
      <c r="AQ100" s="12">
        <f t="shared" si="26"/>
        <v>0</v>
      </c>
      <c r="AR100" s="18"/>
    </row>
    <row r="101" spans="1:44" x14ac:dyDescent="0.25">
      <c r="A101" s="10">
        <v>33</v>
      </c>
      <c r="B101" s="32"/>
      <c r="C101" s="64"/>
      <c r="D101" s="34"/>
      <c r="E101" s="34"/>
      <c r="F101" s="34">
        <f t="shared" si="19"/>
        <v>0</v>
      </c>
      <c r="G101" s="10"/>
      <c r="H101" s="10"/>
      <c r="I101" s="10"/>
      <c r="J101" s="12">
        <f t="shared" si="20"/>
        <v>0</v>
      </c>
      <c r="L101" s="10">
        <v>33</v>
      </c>
      <c r="M101" s="32"/>
      <c r="N101" s="33"/>
      <c r="O101" s="51"/>
      <c r="P101" s="33"/>
      <c r="Q101" s="34">
        <f t="shared" si="21"/>
        <v>0</v>
      </c>
      <c r="R101" s="10"/>
      <c r="S101" s="10"/>
      <c r="T101" s="10"/>
      <c r="U101" s="12">
        <f t="shared" si="22"/>
        <v>0</v>
      </c>
      <c r="W101" s="10">
        <v>33</v>
      </c>
      <c r="X101" s="32"/>
      <c r="Y101" s="33"/>
      <c r="Z101" s="51"/>
      <c r="AA101" s="33"/>
      <c r="AB101" s="34">
        <f t="shared" si="33"/>
        <v>0</v>
      </c>
      <c r="AC101" s="10"/>
      <c r="AD101" s="10"/>
      <c r="AE101" s="10"/>
      <c r="AF101" s="12">
        <f t="shared" si="24"/>
        <v>0</v>
      </c>
      <c r="AH101" s="10">
        <v>33</v>
      </c>
      <c r="AI101" s="32"/>
      <c r="AJ101" s="33"/>
      <c r="AK101" s="51"/>
      <c r="AL101" s="33"/>
      <c r="AM101" s="34">
        <f t="shared" si="34"/>
        <v>0</v>
      </c>
      <c r="AN101" s="10"/>
      <c r="AO101" s="10"/>
      <c r="AP101" s="10"/>
      <c r="AQ101" s="12">
        <f t="shared" si="26"/>
        <v>0</v>
      </c>
      <c r="AR101" s="18"/>
    </row>
    <row r="102" spans="1:44" x14ac:dyDescent="0.25">
      <c r="A102" s="10"/>
      <c r="B102" s="32"/>
      <c r="C102" s="33"/>
      <c r="D102" s="34"/>
      <c r="E102" s="34"/>
      <c r="F102" s="34">
        <f t="shared" si="19"/>
        <v>0</v>
      </c>
      <c r="G102" s="10"/>
      <c r="H102" s="10"/>
      <c r="I102" s="10"/>
      <c r="J102" s="12">
        <f t="shared" si="20"/>
        <v>0</v>
      </c>
      <c r="L102" s="10">
        <v>34</v>
      </c>
      <c r="M102" s="32"/>
      <c r="N102" s="33"/>
      <c r="O102" s="51"/>
      <c r="P102" s="33"/>
      <c r="Q102" s="34">
        <f t="shared" ref="Q102:Q107" si="35">SUM(O102:P102)</f>
        <v>0</v>
      </c>
      <c r="R102" s="10"/>
      <c r="S102" s="10"/>
      <c r="T102" s="10"/>
      <c r="U102" s="12">
        <f t="shared" ref="U102:U110" si="36">SUM(Q102:T102)</f>
        <v>0</v>
      </c>
      <c r="W102" s="10">
        <v>34</v>
      </c>
      <c r="X102" s="32"/>
      <c r="Y102" s="33"/>
      <c r="Z102" s="51"/>
      <c r="AA102" s="33"/>
      <c r="AB102" s="34">
        <f t="shared" ref="AB102:AB107" si="37">SUM(Z102:AA102)</f>
        <v>0</v>
      </c>
      <c r="AC102" s="10"/>
      <c r="AD102" s="10"/>
      <c r="AE102" s="10"/>
      <c r="AF102" s="12">
        <f t="shared" ref="AF102:AF110" si="38">SUM(AB102:AE102)</f>
        <v>0</v>
      </c>
      <c r="AH102" s="10">
        <v>34</v>
      </c>
      <c r="AI102" s="32"/>
      <c r="AJ102" s="33"/>
      <c r="AK102" s="51"/>
      <c r="AL102" s="33"/>
      <c r="AM102" s="34">
        <f t="shared" ref="AM102:AM107" si="39">SUM(AK102:AL102)</f>
        <v>0</v>
      </c>
      <c r="AN102" s="10"/>
      <c r="AO102" s="10"/>
      <c r="AP102" s="10"/>
      <c r="AQ102" s="12">
        <f t="shared" ref="AQ102:AQ110" si="40">SUM(AM102:AP102)</f>
        <v>0</v>
      </c>
      <c r="AR102" s="18"/>
    </row>
    <row r="103" spans="1:44" x14ac:dyDescent="0.25">
      <c r="A103" s="10"/>
      <c r="B103" s="32"/>
      <c r="C103" s="33"/>
      <c r="D103" s="34"/>
      <c r="E103" s="34"/>
      <c r="F103" s="34"/>
      <c r="G103" s="10"/>
      <c r="H103" s="10"/>
      <c r="I103" s="10"/>
      <c r="J103" s="12"/>
      <c r="L103" s="10">
        <v>35</v>
      </c>
      <c r="M103" s="32"/>
      <c r="N103" s="33"/>
      <c r="O103" s="51"/>
      <c r="P103" s="33"/>
      <c r="Q103" s="34">
        <f t="shared" si="35"/>
        <v>0</v>
      </c>
      <c r="R103" s="10"/>
      <c r="S103" s="10"/>
      <c r="T103" s="10"/>
      <c r="U103" s="12">
        <f t="shared" si="36"/>
        <v>0</v>
      </c>
      <c r="W103" s="10">
        <v>35</v>
      </c>
      <c r="X103" s="32"/>
      <c r="Y103" s="33"/>
      <c r="Z103" s="51"/>
      <c r="AA103" s="33"/>
      <c r="AB103" s="34">
        <f t="shared" si="37"/>
        <v>0</v>
      </c>
      <c r="AC103" s="10"/>
      <c r="AD103" s="10"/>
      <c r="AE103" s="10"/>
      <c r="AF103" s="12">
        <f t="shared" si="38"/>
        <v>0</v>
      </c>
      <c r="AH103" s="10">
        <v>35</v>
      </c>
      <c r="AI103" s="32"/>
      <c r="AJ103" s="33"/>
      <c r="AK103" s="51"/>
      <c r="AL103" s="33"/>
      <c r="AM103" s="34">
        <f t="shared" si="39"/>
        <v>0</v>
      </c>
      <c r="AN103" s="10"/>
      <c r="AO103" s="10"/>
      <c r="AP103" s="10"/>
      <c r="AQ103" s="12">
        <f t="shared" si="40"/>
        <v>0</v>
      </c>
      <c r="AR103" s="18"/>
    </row>
    <row r="104" spans="1:44" x14ac:dyDescent="0.25">
      <c r="A104" s="10"/>
      <c r="B104" s="32"/>
      <c r="C104" s="33"/>
      <c r="D104" s="34"/>
      <c r="E104" s="34"/>
      <c r="F104" s="34"/>
      <c r="G104" s="10"/>
      <c r="H104" s="10"/>
      <c r="I104" s="10"/>
      <c r="J104" s="12"/>
      <c r="L104" s="10">
        <v>36</v>
      </c>
      <c r="M104" s="32"/>
      <c r="N104" s="33"/>
      <c r="O104" s="51"/>
      <c r="P104" s="33"/>
      <c r="Q104" s="34">
        <f t="shared" si="35"/>
        <v>0</v>
      </c>
      <c r="R104" s="10"/>
      <c r="S104" s="10"/>
      <c r="T104" s="10"/>
      <c r="U104" s="12">
        <f t="shared" si="36"/>
        <v>0</v>
      </c>
      <c r="W104" s="10">
        <v>36</v>
      </c>
      <c r="X104" s="32"/>
      <c r="Y104" s="33"/>
      <c r="Z104" s="51"/>
      <c r="AA104" s="33"/>
      <c r="AB104" s="34">
        <f t="shared" si="37"/>
        <v>0</v>
      </c>
      <c r="AC104" s="10"/>
      <c r="AD104" s="10"/>
      <c r="AE104" s="10"/>
      <c r="AF104" s="12">
        <f t="shared" si="38"/>
        <v>0</v>
      </c>
      <c r="AH104" s="10">
        <v>36</v>
      </c>
      <c r="AI104" s="32"/>
      <c r="AJ104" s="33"/>
      <c r="AK104" s="51"/>
      <c r="AL104" s="33"/>
      <c r="AM104" s="34">
        <f t="shared" si="39"/>
        <v>0</v>
      </c>
      <c r="AN104" s="10"/>
      <c r="AO104" s="10"/>
      <c r="AP104" s="10"/>
      <c r="AQ104" s="12">
        <f t="shared" si="40"/>
        <v>0</v>
      </c>
      <c r="AR104" s="18"/>
    </row>
    <row r="105" spans="1:44" x14ac:dyDescent="0.25">
      <c r="A105" s="10"/>
      <c r="B105" s="32"/>
      <c r="C105" s="33"/>
      <c r="D105" s="34"/>
      <c r="E105" s="34"/>
      <c r="F105" s="34"/>
      <c r="G105" s="10"/>
      <c r="H105" s="10"/>
      <c r="I105" s="10"/>
      <c r="J105" s="12"/>
      <c r="L105" s="10">
        <v>37</v>
      </c>
      <c r="M105" s="32"/>
      <c r="N105" s="33"/>
      <c r="O105" s="51"/>
      <c r="P105" s="33"/>
      <c r="Q105" s="34">
        <f t="shared" si="35"/>
        <v>0</v>
      </c>
      <c r="R105" s="10"/>
      <c r="S105" s="10"/>
      <c r="T105" s="10"/>
      <c r="U105" s="12">
        <f t="shared" si="36"/>
        <v>0</v>
      </c>
      <c r="W105" s="10">
        <v>37</v>
      </c>
      <c r="X105" s="32"/>
      <c r="Y105" s="33"/>
      <c r="Z105" s="51"/>
      <c r="AA105" s="33"/>
      <c r="AB105" s="34">
        <f t="shared" si="37"/>
        <v>0</v>
      </c>
      <c r="AC105" s="10"/>
      <c r="AD105" s="10"/>
      <c r="AE105" s="10"/>
      <c r="AF105" s="12">
        <f t="shared" si="38"/>
        <v>0</v>
      </c>
      <c r="AH105" s="10">
        <v>37</v>
      </c>
      <c r="AI105" s="32"/>
      <c r="AJ105" s="33"/>
      <c r="AK105" s="51"/>
      <c r="AL105" s="33"/>
      <c r="AM105" s="34">
        <f t="shared" si="39"/>
        <v>0</v>
      </c>
      <c r="AN105" s="10"/>
      <c r="AO105" s="10"/>
      <c r="AP105" s="10"/>
      <c r="AQ105" s="12">
        <f t="shared" si="40"/>
        <v>0</v>
      </c>
      <c r="AR105" s="18"/>
    </row>
    <row r="106" spans="1:44" x14ac:dyDescent="0.25">
      <c r="A106" s="10"/>
      <c r="B106" s="32"/>
      <c r="C106" s="33"/>
      <c r="D106" s="34"/>
      <c r="E106" s="34"/>
      <c r="F106" s="34"/>
      <c r="G106" s="10"/>
      <c r="H106" s="10"/>
      <c r="I106" s="10"/>
      <c r="J106" s="12"/>
      <c r="L106" s="10">
        <v>38</v>
      </c>
      <c r="M106" s="32"/>
      <c r="N106" s="33"/>
      <c r="O106" s="51"/>
      <c r="P106" s="33"/>
      <c r="Q106" s="34">
        <f t="shared" si="35"/>
        <v>0</v>
      </c>
      <c r="R106" s="10"/>
      <c r="S106" s="10"/>
      <c r="T106" s="10"/>
      <c r="U106" s="12">
        <f t="shared" si="36"/>
        <v>0</v>
      </c>
      <c r="W106" s="10">
        <v>38</v>
      </c>
      <c r="X106" s="32"/>
      <c r="Y106" s="33"/>
      <c r="Z106" s="51"/>
      <c r="AA106" s="33"/>
      <c r="AB106" s="34">
        <f t="shared" si="37"/>
        <v>0</v>
      </c>
      <c r="AC106" s="10"/>
      <c r="AD106" s="10"/>
      <c r="AE106" s="10"/>
      <c r="AF106" s="12">
        <f t="shared" si="38"/>
        <v>0</v>
      </c>
      <c r="AH106" s="10">
        <v>38</v>
      </c>
      <c r="AI106" s="32"/>
      <c r="AJ106" s="33"/>
      <c r="AK106" s="51"/>
      <c r="AL106" s="33"/>
      <c r="AM106" s="34">
        <f t="shared" si="39"/>
        <v>0</v>
      </c>
      <c r="AN106" s="10"/>
      <c r="AO106" s="10"/>
      <c r="AP106" s="10"/>
      <c r="AQ106" s="12">
        <f t="shared" si="40"/>
        <v>0</v>
      </c>
      <c r="AR106" s="18"/>
    </row>
    <row r="107" spans="1:44" x14ac:dyDescent="0.25">
      <c r="A107" s="10"/>
      <c r="B107" s="32"/>
      <c r="C107" s="33"/>
      <c r="D107" s="34"/>
      <c r="E107" s="34"/>
      <c r="F107" s="34"/>
      <c r="G107" s="10"/>
      <c r="H107" s="10"/>
      <c r="I107" s="10"/>
      <c r="J107" s="12"/>
      <c r="L107" s="10">
        <v>39</v>
      </c>
      <c r="M107" s="32"/>
      <c r="N107" s="33"/>
      <c r="O107" s="51"/>
      <c r="P107" s="33"/>
      <c r="Q107" s="34">
        <f t="shared" si="35"/>
        <v>0</v>
      </c>
      <c r="R107" s="10"/>
      <c r="S107" s="10"/>
      <c r="T107" s="10"/>
      <c r="U107" s="12">
        <f t="shared" si="36"/>
        <v>0</v>
      </c>
      <c r="W107" s="10">
        <v>39</v>
      </c>
      <c r="X107" s="32"/>
      <c r="Y107" s="33"/>
      <c r="Z107" s="51"/>
      <c r="AA107" s="33"/>
      <c r="AB107" s="34">
        <f t="shared" si="37"/>
        <v>0</v>
      </c>
      <c r="AC107" s="10"/>
      <c r="AD107" s="10"/>
      <c r="AE107" s="10"/>
      <c r="AF107" s="12">
        <f t="shared" si="38"/>
        <v>0</v>
      </c>
      <c r="AH107" s="10">
        <v>39</v>
      </c>
      <c r="AI107" s="32"/>
      <c r="AJ107" s="33"/>
      <c r="AK107" s="51"/>
      <c r="AL107" s="33"/>
      <c r="AM107" s="34">
        <f t="shared" si="39"/>
        <v>0</v>
      </c>
      <c r="AN107" s="10"/>
      <c r="AO107" s="10"/>
      <c r="AP107" s="10"/>
      <c r="AQ107" s="12">
        <f t="shared" si="40"/>
        <v>0</v>
      </c>
      <c r="AR107" s="18"/>
    </row>
    <row r="108" spans="1:44" x14ac:dyDescent="0.25">
      <c r="A108" s="10"/>
      <c r="B108" s="32"/>
      <c r="C108" s="33"/>
      <c r="D108" s="34"/>
      <c r="E108" s="34"/>
      <c r="F108" s="34"/>
      <c r="G108" s="10"/>
      <c r="H108" s="10"/>
      <c r="I108" s="10"/>
      <c r="J108" s="12"/>
      <c r="L108" s="10"/>
      <c r="M108" s="32"/>
      <c r="O108" s="51"/>
      <c r="P108" s="33"/>
      <c r="Q108" s="34"/>
      <c r="R108" s="10"/>
      <c r="S108" s="10"/>
      <c r="T108" s="10"/>
      <c r="U108" s="12">
        <f t="shared" si="36"/>
        <v>0</v>
      </c>
      <c r="W108" s="10"/>
      <c r="X108" s="32"/>
      <c r="Z108" s="51"/>
      <c r="AA108" s="33"/>
      <c r="AB108" s="34"/>
      <c r="AC108" s="10"/>
      <c r="AD108" s="10"/>
      <c r="AE108" s="10"/>
      <c r="AF108" s="12">
        <f t="shared" si="38"/>
        <v>0</v>
      </c>
      <c r="AH108" s="10"/>
      <c r="AI108" s="32"/>
      <c r="AK108" s="51"/>
      <c r="AL108" s="33"/>
      <c r="AM108" s="34"/>
      <c r="AN108" s="10"/>
      <c r="AO108" s="10"/>
      <c r="AP108" s="10"/>
      <c r="AQ108" s="12">
        <f t="shared" si="40"/>
        <v>0</v>
      </c>
      <c r="AR108" s="18"/>
    </row>
    <row r="109" spans="1:44" x14ac:dyDescent="0.25">
      <c r="A109" s="10"/>
      <c r="B109" s="32"/>
      <c r="C109" s="33"/>
      <c r="D109" s="34"/>
      <c r="E109" s="34"/>
      <c r="F109" s="34">
        <f t="shared" ref="F109" si="41">SUM(D109:E109)</f>
        <v>0</v>
      </c>
      <c r="G109" s="10"/>
      <c r="H109" s="10"/>
      <c r="I109" s="10"/>
      <c r="J109" s="12">
        <f t="shared" ref="J109" si="42">SUM(F109:I109)</f>
        <v>0</v>
      </c>
      <c r="L109" s="10"/>
      <c r="M109" s="32"/>
      <c r="N109" s="33"/>
      <c r="O109" s="51"/>
      <c r="P109" s="33"/>
      <c r="Q109" s="34">
        <f t="shared" ref="Q109" si="43">SUM(O109:P109)</f>
        <v>0</v>
      </c>
      <c r="R109" s="10"/>
      <c r="S109" s="10"/>
      <c r="T109" s="10"/>
      <c r="U109" s="12">
        <f t="shared" si="36"/>
        <v>0</v>
      </c>
      <c r="W109" s="10"/>
      <c r="X109" s="32"/>
      <c r="Y109" s="33"/>
      <c r="Z109" s="51"/>
      <c r="AA109" s="33"/>
      <c r="AB109" s="34">
        <f t="shared" ref="AB109" si="44">SUM(Z109:AA109)</f>
        <v>0</v>
      </c>
      <c r="AC109" s="10"/>
      <c r="AD109" s="10"/>
      <c r="AE109" s="10"/>
      <c r="AF109" s="12">
        <f t="shared" si="38"/>
        <v>0</v>
      </c>
      <c r="AH109" s="10"/>
      <c r="AI109" s="32"/>
      <c r="AJ109" s="33"/>
      <c r="AK109" s="51"/>
      <c r="AL109" s="33"/>
      <c r="AM109" s="34">
        <f t="shared" ref="AM109" si="45">SUM(AK109:AL109)</f>
        <v>0</v>
      </c>
      <c r="AN109" s="10"/>
      <c r="AO109" s="10"/>
      <c r="AP109" s="10"/>
      <c r="AQ109" s="12">
        <f t="shared" si="40"/>
        <v>0</v>
      </c>
      <c r="AR109" s="18"/>
    </row>
    <row r="110" spans="1:44" x14ac:dyDescent="0.25">
      <c r="A110" s="10"/>
      <c r="B110" s="32"/>
      <c r="C110" s="32"/>
      <c r="D110" s="34"/>
      <c r="E110" s="34"/>
      <c r="F110" s="34"/>
      <c r="G110" s="10"/>
      <c r="H110" s="10"/>
      <c r="I110" s="10"/>
      <c r="J110" s="12"/>
      <c r="L110" s="10"/>
      <c r="M110" s="33"/>
      <c r="N110" s="33"/>
      <c r="O110" s="33"/>
      <c r="P110" s="33"/>
      <c r="Q110" s="33"/>
      <c r="R110" s="10"/>
      <c r="S110" s="10"/>
      <c r="T110" s="10"/>
      <c r="U110" s="12">
        <f t="shared" si="36"/>
        <v>0</v>
      </c>
      <c r="W110" s="10"/>
      <c r="X110" s="33"/>
      <c r="Y110" s="33"/>
      <c r="Z110" s="33"/>
      <c r="AA110" s="33"/>
      <c r="AB110" s="33"/>
      <c r="AC110" s="10"/>
      <c r="AD110" s="10"/>
      <c r="AE110" s="10"/>
      <c r="AF110" s="12">
        <f t="shared" si="38"/>
        <v>0</v>
      </c>
      <c r="AH110" s="10"/>
      <c r="AI110" s="33"/>
      <c r="AJ110" s="33"/>
      <c r="AK110" s="33"/>
      <c r="AL110" s="33"/>
      <c r="AM110" s="33"/>
      <c r="AN110" s="10"/>
      <c r="AO110" s="10"/>
      <c r="AP110" s="10"/>
      <c r="AQ110" s="12">
        <f t="shared" si="40"/>
        <v>0</v>
      </c>
      <c r="AR110" s="18"/>
    </row>
    <row r="111" spans="1:44" x14ac:dyDescent="0.25">
      <c r="B111" s="64"/>
      <c r="C111" s="64"/>
      <c r="D111" s="38"/>
      <c r="E111" s="38"/>
      <c r="F111" s="38"/>
      <c r="G111" s="39"/>
      <c r="H111" s="39"/>
      <c r="I111" s="39"/>
      <c r="J111" s="39"/>
      <c r="M111" s="64"/>
      <c r="N111" s="64"/>
      <c r="O111" s="38"/>
      <c r="P111" s="38"/>
      <c r="Q111" s="38"/>
      <c r="R111" s="39"/>
      <c r="S111" s="39"/>
      <c r="T111" s="39"/>
      <c r="U111" s="39"/>
      <c r="X111" s="64"/>
      <c r="Y111" s="64"/>
      <c r="Z111" s="38"/>
      <c r="AA111" s="38"/>
      <c r="AB111" s="38"/>
      <c r="AC111" s="39"/>
      <c r="AD111" s="39"/>
      <c r="AE111" s="39"/>
      <c r="AF111" s="39"/>
      <c r="AI111" s="64"/>
      <c r="AJ111" s="64"/>
      <c r="AK111" s="38"/>
      <c r="AL111" s="38"/>
      <c r="AM111" s="38"/>
      <c r="AN111" s="39"/>
      <c r="AO111" s="39"/>
      <c r="AP111" s="39"/>
      <c r="AQ111" s="39"/>
      <c r="AR111" s="18"/>
    </row>
    <row r="112" spans="1:44" x14ac:dyDescent="0.25">
      <c r="B112" s="64"/>
      <c r="C112" s="64"/>
      <c r="D112" s="40">
        <f>SUM(D69:D111)</f>
        <v>194965.5</v>
      </c>
      <c r="E112" s="40">
        <f t="shared" ref="E112" si="46">SUM(E69:E109)</f>
        <v>-2178</v>
      </c>
      <c r="F112" s="40">
        <f>SUM(F69:F111)</f>
        <v>192787.5</v>
      </c>
      <c r="G112" s="4"/>
      <c r="H112" s="41">
        <f>SUM(H69:H111)</f>
        <v>1076</v>
      </c>
      <c r="I112" s="41">
        <f>SUM(I69:I111)</f>
        <v>-520.5</v>
      </c>
      <c r="J112" s="42">
        <f>SUM(J69:J111)</f>
        <v>193343</v>
      </c>
      <c r="M112" s="64"/>
      <c r="N112" s="64"/>
      <c r="O112" s="40">
        <f>SUM(O69:O111)</f>
        <v>206349</v>
      </c>
      <c r="P112" s="40">
        <f>SUM(P69:P93)</f>
        <v>-1416</v>
      </c>
      <c r="Q112" s="40">
        <f>SUM(Q69:Q111)</f>
        <v>204933</v>
      </c>
      <c r="R112" s="4"/>
      <c r="S112" s="43">
        <f>SUM(S69:S111)</f>
        <v>603</v>
      </c>
      <c r="T112" s="43">
        <f>SUM(T69:T93)</f>
        <v>-228</v>
      </c>
      <c r="U112" s="44">
        <f>SUM(U69:U111)</f>
        <v>205308</v>
      </c>
      <c r="X112" s="64"/>
      <c r="Y112" s="64"/>
      <c r="Z112" s="40">
        <f>SUM(Z69:Z111)</f>
        <v>284672</v>
      </c>
      <c r="AA112" s="40">
        <f>SUM(AA69:AA93)</f>
        <v>-3334</v>
      </c>
      <c r="AB112" s="40">
        <f>SUM(AB69:AB111)</f>
        <v>281338</v>
      </c>
      <c r="AC112" s="4"/>
      <c r="AD112" s="43">
        <f>SUM(AD69:AD111)</f>
        <v>199.5</v>
      </c>
      <c r="AE112" s="43">
        <f>SUM(AE69:AE93)</f>
        <v>0</v>
      </c>
      <c r="AF112" s="44">
        <f>SUM(AF69:AF111)</f>
        <v>281537.5</v>
      </c>
      <c r="AI112" s="64"/>
      <c r="AJ112" s="64"/>
      <c r="AK112" s="40">
        <f>SUM(AK69:AK111)</f>
        <v>313003</v>
      </c>
      <c r="AL112" s="40">
        <f>SUM(AL69:AL93)</f>
        <v>-4212</v>
      </c>
      <c r="AM112" s="40">
        <f>SUM(AM69:AM111)</f>
        <v>308791</v>
      </c>
      <c r="AN112" s="4"/>
      <c r="AO112" s="43">
        <f>SUM(AO69:AO111)</f>
        <v>0</v>
      </c>
      <c r="AP112" s="43">
        <f>SUM(AP69:AP93)</f>
        <v>-33639</v>
      </c>
      <c r="AQ112" s="44">
        <f>SUM(AQ69:AQ111)</f>
        <v>275152</v>
      </c>
      <c r="AR112" s="18"/>
    </row>
    <row r="113" spans="1:44" x14ac:dyDescent="0.25">
      <c r="B113" s="64"/>
      <c r="C113" s="64"/>
      <c r="D113" s="64"/>
      <c r="E113" s="64"/>
      <c r="F113" s="64"/>
      <c r="M113" s="64"/>
      <c r="N113" s="64"/>
      <c r="O113" s="45"/>
      <c r="P113" s="64"/>
      <c r="Q113" s="64"/>
      <c r="X113" s="64"/>
      <c r="Y113" s="64"/>
      <c r="Z113" s="45"/>
      <c r="AA113" s="64"/>
      <c r="AB113" s="64"/>
      <c r="AI113" s="64"/>
      <c r="AJ113" s="64"/>
      <c r="AK113" s="45"/>
      <c r="AL113" s="64"/>
      <c r="AM113" s="64"/>
      <c r="AR113" s="18"/>
    </row>
    <row r="114" spans="1:44" x14ac:dyDescent="0.25">
      <c r="B114" s="64"/>
      <c r="C114" s="64"/>
      <c r="D114" s="64"/>
      <c r="E114" s="64"/>
      <c r="F114" s="64"/>
      <c r="M114" s="64"/>
      <c r="N114" s="64"/>
      <c r="O114" s="64"/>
      <c r="P114" s="64"/>
      <c r="Q114" s="64"/>
      <c r="X114" s="64"/>
      <c r="Y114" s="64"/>
      <c r="Z114" s="64"/>
      <c r="AA114" s="64"/>
      <c r="AB114" s="64"/>
      <c r="AI114" s="64"/>
      <c r="AJ114" s="64"/>
      <c r="AK114" s="64"/>
      <c r="AL114" s="64"/>
      <c r="AM114" s="64"/>
      <c r="AR114" s="18"/>
    </row>
    <row r="115" spans="1:44" x14ac:dyDescent="0.2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</row>
    <row r="116" spans="1:44" x14ac:dyDescent="0.25">
      <c r="A116" t="s">
        <v>0</v>
      </c>
      <c r="B116" s="65"/>
      <c r="C116" s="65"/>
      <c r="D116" s="65"/>
      <c r="E116" s="65"/>
      <c r="F116" s="65"/>
      <c r="L116" t="s">
        <v>0</v>
      </c>
      <c r="M116" s="65"/>
      <c r="N116" s="65"/>
      <c r="O116" s="65"/>
      <c r="P116" s="65"/>
      <c r="Q116" s="65"/>
      <c r="W116" t="s">
        <v>0</v>
      </c>
      <c r="X116" s="65"/>
      <c r="Y116" s="65"/>
      <c r="Z116" s="65"/>
      <c r="AA116" s="65"/>
      <c r="AB116" s="65"/>
    </row>
    <row r="117" spans="1:44" x14ac:dyDescent="0.25">
      <c r="A117" t="s">
        <v>30</v>
      </c>
      <c r="B117" s="65"/>
      <c r="C117" s="65"/>
      <c r="D117" s="65"/>
      <c r="E117" s="65"/>
      <c r="F117" s="65"/>
      <c r="L117" t="s">
        <v>30</v>
      </c>
      <c r="M117" s="65"/>
      <c r="N117" s="65"/>
      <c r="O117" s="65"/>
      <c r="P117" s="65"/>
      <c r="Q117" s="65"/>
      <c r="W117" t="s">
        <v>30</v>
      </c>
      <c r="X117" s="65"/>
      <c r="Y117" s="65"/>
      <c r="Z117" s="65"/>
      <c r="AA117" s="65"/>
      <c r="AB117" s="65"/>
    </row>
    <row r="118" spans="1:44" x14ac:dyDescent="0.25">
      <c r="B118" s="65"/>
      <c r="C118" s="65"/>
      <c r="D118" s="65"/>
      <c r="E118" s="65"/>
      <c r="F118" s="65"/>
      <c r="M118" s="65"/>
      <c r="N118" s="65"/>
      <c r="O118" s="65"/>
      <c r="P118" s="65"/>
      <c r="Q118" s="65"/>
      <c r="X118" s="65"/>
      <c r="Y118" s="65"/>
      <c r="Z118" s="65"/>
      <c r="AA118" s="65"/>
      <c r="AB118" s="65"/>
    </row>
    <row r="119" spans="1:44" x14ac:dyDescent="0.25">
      <c r="A119" s="4" t="s">
        <v>15</v>
      </c>
      <c r="B119" s="65"/>
      <c r="C119" s="65"/>
      <c r="D119" s="65"/>
      <c r="E119" s="65"/>
      <c r="F119" s="65"/>
      <c r="L119" s="4" t="s">
        <v>15</v>
      </c>
      <c r="M119" s="65"/>
      <c r="N119" s="65"/>
      <c r="O119" s="65"/>
      <c r="P119" s="65"/>
      <c r="Q119" s="65"/>
      <c r="W119" s="4" t="s">
        <v>15</v>
      </c>
      <c r="X119" s="65"/>
      <c r="Y119" s="65"/>
      <c r="Z119" s="65"/>
      <c r="AA119" s="65"/>
      <c r="AB119" s="65"/>
    </row>
    <row r="120" spans="1:44" x14ac:dyDescent="0.25">
      <c r="B120" s="65"/>
      <c r="C120" s="65"/>
      <c r="D120" s="65"/>
      <c r="E120" s="65"/>
      <c r="F120" s="65"/>
      <c r="M120" s="65"/>
      <c r="N120" s="65"/>
      <c r="O120" s="65"/>
      <c r="P120" s="65"/>
      <c r="Q120" s="65"/>
      <c r="X120" s="65"/>
      <c r="Y120" s="65"/>
      <c r="Z120" s="65"/>
      <c r="AA120" s="65"/>
      <c r="AB120" s="65"/>
    </row>
    <row r="121" spans="1:44" ht="15.75" x14ac:dyDescent="0.25">
      <c r="A121" t="s">
        <v>39</v>
      </c>
      <c r="B121" s="65"/>
      <c r="C121" s="65"/>
      <c r="D121" s="65"/>
      <c r="E121" s="65"/>
      <c r="F121" s="65"/>
      <c r="H121" s="65" t="s">
        <v>16</v>
      </c>
      <c r="I121" s="19">
        <v>1</v>
      </c>
      <c r="L121" t="s">
        <v>39</v>
      </c>
      <c r="M121" s="65"/>
      <c r="N121" s="65"/>
      <c r="O121" s="65"/>
      <c r="P121" s="65"/>
      <c r="Q121" s="65"/>
      <c r="S121" s="65" t="s">
        <v>16</v>
      </c>
      <c r="T121" s="19">
        <v>2</v>
      </c>
      <c r="W121" t="s">
        <v>39</v>
      </c>
      <c r="X121" s="65"/>
      <c r="Y121" s="65"/>
      <c r="Z121" s="65"/>
      <c r="AA121" s="65"/>
      <c r="AB121" s="65"/>
      <c r="AD121" s="65" t="s">
        <v>16</v>
      </c>
      <c r="AE121" s="20">
        <v>3</v>
      </c>
    </row>
    <row r="122" spans="1:44" x14ac:dyDescent="0.25">
      <c r="A122" s="21" t="s">
        <v>50</v>
      </c>
      <c r="B122" s="20"/>
      <c r="C122" s="65"/>
      <c r="D122" s="65"/>
      <c r="E122" s="65"/>
      <c r="F122" s="65"/>
      <c r="H122" s="22" t="s">
        <v>17</v>
      </c>
      <c r="I122" s="23" t="s">
        <v>46</v>
      </c>
      <c r="J122" s="24"/>
      <c r="L122" s="21" t="s">
        <v>50</v>
      </c>
      <c r="M122" s="20"/>
      <c r="N122" s="65"/>
      <c r="O122" s="65"/>
      <c r="P122" s="65"/>
      <c r="Q122" s="65"/>
      <c r="S122" s="22" t="s">
        <v>17</v>
      </c>
      <c r="T122" s="23" t="s">
        <v>34</v>
      </c>
      <c r="U122" s="24"/>
      <c r="W122" s="21" t="s">
        <v>50</v>
      </c>
      <c r="X122" s="20"/>
      <c r="Y122" s="65"/>
      <c r="Z122" s="65"/>
      <c r="AA122" s="65"/>
      <c r="AB122" s="65"/>
      <c r="AD122" s="22" t="s">
        <v>17</v>
      </c>
      <c r="AE122" s="23" t="s">
        <v>47</v>
      </c>
      <c r="AF122" s="24"/>
    </row>
    <row r="123" spans="1:44" x14ac:dyDescent="0.25">
      <c r="B123" s="65"/>
      <c r="C123" s="65"/>
      <c r="D123" s="65"/>
      <c r="E123" s="65"/>
      <c r="F123" s="65"/>
      <c r="M123" s="65"/>
      <c r="N123" s="65"/>
      <c r="O123" s="65"/>
      <c r="P123" s="65"/>
      <c r="Q123" s="65"/>
      <c r="X123" s="65"/>
      <c r="Y123" s="65"/>
      <c r="Z123" s="65"/>
      <c r="AA123" s="65"/>
      <c r="AB123" s="65"/>
    </row>
    <row r="124" spans="1:44" x14ac:dyDescent="0.25">
      <c r="B124" s="25"/>
      <c r="C124" s="26"/>
      <c r="D124" s="79" t="s">
        <v>18</v>
      </c>
      <c r="E124" s="79"/>
      <c r="F124" s="27"/>
      <c r="H124" s="77" t="s">
        <v>19</v>
      </c>
      <c r="I124" s="78"/>
      <c r="J124" s="75" t="s">
        <v>20</v>
      </c>
      <c r="M124" s="25"/>
      <c r="N124" s="26"/>
      <c r="O124" s="79" t="s">
        <v>18</v>
      </c>
      <c r="P124" s="79"/>
      <c r="Q124" s="27"/>
      <c r="S124" s="77" t="s">
        <v>19</v>
      </c>
      <c r="T124" s="78"/>
      <c r="U124" s="75" t="s">
        <v>20</v>
      </c>
      <c r="X124" s="25"/>
      <c r="Y124" s="26"/>
      <c r="Z124" s="79" t="s">
        <v>18</v>
      </c>
      <c r="AA124" s="79"/>
      <c r="AB124" s="27"/>
      <c r="AD124" s="77" t="s">
        <v>19</v>
      </c>
      <c r="AE124" s="78"/>
      <c r="AF124" s="75" t="s">
        <v>20</v>
      </c>
    </row>
    <row r="125" spans="1:44" ht="30" x14ac:dyDescent="0.25">
      <c r="B125" s="28" t="s">
        <v>21</v>
      </c>
      <c r="C125" s="28" t="s">
        <v>22</v>
      </c>
      <c r="D125" s="29" t="s">
        <v>23</v>
      </c>
      <c r="E125" s="30" t="s">
        <v>24</v>
      </c>
      <c r="F125" s="30" t="s">
        <v>25</v>
      </c>
      <c r="H125" s="31" t="s">
        <v>26</v>
      </c>
      <c r="I125" s="31" t="s">
        <v>27</v>
      </c>
      <c r="J125" s="76"/>
      <c r="M125" s="28" t="s">
        <v>21</v>
      </c>
      <c r="N125" s="28" t="s">
        <v>22</v>
      </c>
      <c r="O125" s="29" t="s">
        <v>23</v>
      </c>
      <c r="P125" s="30" t="s">
        <v>24</v>
      </c>
      <c r="Q125" s="30" t="s">
        <v>25</v>
      </c>
      <c r="S125" s="31" t="s">
        <v>26</v>
      </c>
      <c r="T125" s="31" t="s">
        <v>27</v>
      </c>
      <c r="U125" s="76"/>
      <c r="X125" s="28" t="s">
        <v>21</v>
      </c>
      <c r="Y125" s="28" t="s">
        <v>22</v>
      </c>
      <c r="Z125" s="29" t="s">
        <v>23</v>
      </c>
      <c r="AA125" s="30" t="s">
        <v>24</v>
      </c>
      <c r="AB125" s="30" t="s">
        <v>25</v>
      </c>
      <c r="AD125" s="31" t="s">
        <v>26</v>
      </c>
      <c r="AE125" s="31" t="s">
        <v>27</v>
      </c>
      <c r="AF125" s="76"/>
    </row>
    <row r="126" spans="1:44" x14ac:dyDescent="0.25">
      <c r="A126" s="10">
        <v>1</v>
      </c>
      <c r="B126" s="32">
        <v>45295</v>
      </c>
      <c r="C126" s="33">
        <v>7055</v>
      </c>
      <c r="D126" s="34">
        <f>1878+596+34</f>
        <v>2508</v>
      </c>
      <c r="E126" s="34"/>
      <c r="F126" s="34">
        <f t="shared" ref="F126:F159" si="47">SUM(D126:E126)</f>
        <v>2508</v>
      </c>
      <c r="G126" s="12"/>
      <c r="H126" s="12">
        <v>3</v>
      </c>
      <c r="I126" s="12"/>
      <c r="J126" s="12">
        <f t="shared" ref="J126:J159" si="48">SUM(F126:I126)</f>
        <v>2511</v>
      </c>
      <c r="L126" s="10">
        <v>1</v>
      </c>
      <c r="M126" s="32">
        <v>45295</v>
      </c>
      <c r="N126" s="33">
        <f>6986</f>
        <v>6986</v>
      </c>
      <c r="O126" s="34">
        <f>3130+832</f>
        <v>3962</v>
      </c>
      <c r="P126" s="34"/>
      <c r="Q126" s="34">
        <f>SUM(O126:P126)</f>
        <v>3962</v>
      </c>
      <c r="R126" s="12"/>
      <c r="S126" s="12"/>
      <c r="T126" s="12"/>
      <c r="U126" s="12">
        <f>SUM(Q126:T126)</f>
        <v>3962</v>
      </c>
      <c r="W126" s="10">
        <v>1</v>
      </c>
      <c r="X126" s="32">
        <v>45295</v>
      </c>
      <c r="Y126" s="33">
        <v>7004</v>
      </c>
      <c r="Z126" s="34">
        <f>626*150+614*10+596*40+205*8</f>
        <v>125520</v>
      </c>
      <c r="AA126" s="34">
        <v>-1800</v>
      </c>
      <c r="AB126" s="34">
        <f>SUM(Z126:AA126)</f>
        <v>123720</v>
      </c>
      <c r="AC126" s="12"/>
      <c r="AD126" s="12">
        <v>11352</v>
      </c>
      <c r="AE126" s="12"/>
      <c r="AF126" s="12">
        <f>SUM(AB126:AE126)</f>
        <v>135072</v>
      </c>
    </row>
    <row r="127" spans="1:44" x14ac:dyDescent="0.25">
      <c r="A127" s="10">
        <v>2</v>
      </c>
      <c r="B127" s="32">
        <v>45295</v>
      </c>
      <c r="C127" s="33">
        <f>C126+1</f>
        <v>7056</v>
      </c>
      <c r="D127" s="34">
        <f>5008+1192+85</f>
        <v>6285</v>
      </c>
      <c r="E127" s="34"/>
      <c r="F127" s="34">
        <f t="shared" si="47"/>
        <v>6285</v>
      </c>
      <c r="G127" s="12"/>
      <c r="H127" s="12"/>
      <c r="I127" s="12"/>
      <c r="J127" s="12">
        <f t="shared" si="48"/>
        <v>6285</v>
      </c>
      <c r="L127" s="10">
        <v>2</v>
      </c>
      <c r="M127" s="32">
        <v>45295</v>
      </c>
      <c r="N127" s="33">
        <f>N126+1</f>
        <v>6987</v>
      </c>
      <c r="O127" s="34">
        <f>3130+205</f>
        <v>3335</v>
      </c>
      <c r="P127" s="34"/>
      <c r="Q127" s="34">
        <f t="shared" ref="Q127:Q158" si="49">SUM(O127:P127)</f>
        <v>3335</v>
      </c>
      <c r="R127" s="12"/>
      <c r="S127" s="12"/>
      <c r="T127" s="12">
        <v>-666</v>
      </c>
      <c r="U127" s="12">
        <f t="shared" ref="U127:U158" si="50">SUM(Q127:T127)</f>
        <v>2669</v>
      </c>
      <c r="W127" s="10">
        <v>2</v>
      </c>
      <c r="X127" s="32">
        <v>45295</v>
      </c>
      <c r="Y127" s="33">
        <f>Y126+1</f>
        <v>7005</v>
      </c>
      <c r="Z127" s="34">
        <f>150*626+50*596+832*3+8*205</f>
        <v>127836</v>
      </c>
      <c r="AA127" s="34">
        <v>-1899</v>
      </c>
      <c r="AB127" s="34">
        <f t="shared" ref="AB127:AB129" si="51">SUM(Z127:AA127)</f>
        <v>125937</v>
      </c>
      <c r="AC127" s="12"/>
      <c r="AD127" s="12"/>
      <c r="AE127" s="12"/>
      <c r="AF127" s="12">
        <f t="shared" ref="AF127:AF158" si="52">SUM(AB127:AE127)</f>
        <v>125937</v>
      </c>
    </row>
    <row r="128" spans="1:44" x14ac:dyDescent="0.25">
      <c r="A128" s="10">
        <v>3</v>
      </c>
      <c r="B128" s="32">
        <v>45295</v>
      </c>
      <c r="C128" s="33">
        <f t="shared" ref="C128:C133" si="53">C127+1</f>
        <v>7057</v>
      </c>
      <c r="D128" s="35">
        <f>626*324+5*614+205*13+8.5*12</f>
        <v>208661</v>
      </c>
      <c r="E128" s="35">
        <v>-2961</v>
      </c>
      <c r="F128" s="35">
        <f t="shared" si="47"/>
        <v>205700</v>
      </c>
      <c r="G128" s="36"/>
      <c r="H128" s="36">
        <v>1014</v>
      </c>
      <c r="I128" s="36">
        <f>-11988+-882</f>
        <v>-12870</v>
      </c>
      <c r="J128" s="36">
        <f t="shared" si="48"/>
        <v>193844</v>
      </c>
      <c r="L128" s="10">
        <v>3</v>
      </c>
      <c r="M128" s="32">
        <v>45295</v>
      </c>
      <c r="N128" s="33">
        <f t="shared" ref="N128:N132" si="54">N127+1</f>
        <v>6988</v>
      </c>
      <c r="O128" s="34">
        <f>1878+614+1192+42.5</f>
        <v>3726.5</v>
      </c>
      <c r="P128" s="34"/>
      <c r="Q128" s="34">
        <f t="shared" si="49"/>
        <v>3726.5</v>
      </c>
      <c r="R128" s="12"/>
      <c r="S128" s="12"/>
      <c r="T128" s="12"/>
      <c r="U128" s="12">
        <f t="shared" si="50"/>
        <v>3726.5</v>
      </c>
      <c r="W128" s="10">
        <v>3</v>
      </c>
      <c r="X128" s="32">
        <v>45295</v>
      </c>
      <c r="Y128" s="33">
        <f>Y127+1</f>
        <v>7006</v>
      </c>
      <c r="Z128" s="34">
        <f>626*70+5*614+596*15+205*3</f>
        <v>56445</v>
      </c>
      <c r="AA128" s="34">
        <v>-720</v>
      </c>
      <c r="AB128" s="34">
        <f t="shared" si="51"/>
        <v>55725</v>
      </c>
      <c r="AC128" s="12"/>
      <c r="AD128" s="12"/>
      <c r="AE128" s="12">
        <f>-20*111+-20*84</f>
        <v>-3900</v>
      </c>
      <c r="AF128" s="12">
        <f t="shared" si="52"/>
        <v>51825</v>
      </c>
    </row>
    <row r="129" spans="1:32" x14ac:dyDescent="0.25">
      <c r="A129" s="10">
        <v>4</v>
      </c>
      <c r="B129" s="32">
        <v>45295</v>
      </c>
      <c r="C129" s="33">
        <f t="shared" si="53"/>
        <v>7058</v>
      </c>
      <c r="D129" s="34">
        <f>626+596+17</f>
        <v>1239</v>
      </c>
      <c r="E129" s="34"/>
      <c r="F129" s="34">
        <f t="shared" si="47"/>
        <v>1239</v>
      </c>
      <c r="G129" s="12"/>
      <c r="H129" s="12"/>
      <c r="I129" s="12"/>
      <c r="J129" s="12">
        <f t="shared" si="48"/>
        <v>1239</v>
      </c>
      <c r="L129" s="10">
        <v>4</v>
      </c>
      <c r="M129" s="32">
        <v>45295</v>
      </c>
      <c r="N129" s="33">
        <f t="shared" si="54"/>
        <v>6989</v>
      </c>
      <c r="O129" s="34">
        <f>626*170+596*40+205*4</f>
        <v>131080</v>
      </c>
      <c r="P129" s="34"/>
      <c r="Q129" s="34">
        <f t="shared" si="49"/>
        <v>131080</v>
      </c>
      <c r="R129" s="12"/>
      <c r="S129" s="12"/>
      <c r="T129" s="12"/>
      <c r="U129" s="12">
        <f t="shared" si="50"/>
        <v>131080</v>
      </c>
      <c r="W129" s="10">
        <v>4</v>
      </c>
      <c r="X129" s="32">
        <v>45295</v>
      </c>
      <c r="Y129" s="33">
        <f>Y128+1</f>
        <v>7007</v>
      </c>
      <c r="Z129" s="34">
        <f>626*20+596*5+205</f>
        <v>15705</v>
      </c>
      <c r="AA129" s="34"/>
      <c r="AB129" s="34">
        <f t="shared" si="51"/>
        <v>15705</v>
      </c>
      <c r="AC129" s="12"/>
      <c r="AE129" s="12">
        <v>-972</v>
      </c>
      <c r="AF129" s="12">
        <f t="shared" si="52"/>
        <v>14733</v>
      </c>
    </row>
    <row r="130" spans="1:32" x14ac:dyDescent="0.25">
      <c r="A130" s="10">
        <v>5</v>
      </c>
      <c r="B130" s="32">
        <v>45295</v>
      </c>
      <c r="C130" s="33">
        <f t="shared" si="53"/>
        <v>7059</v>
      </c>
      <c r="D130" s="34">
        <f>120*626+614*3+596*10+205*5+8.5*10</f>
        <v>84032</v>
      </c>
      <c r="E130" s="34">
        <v>-1064</v>
      </c>
      <c r="F130" s="34">
        <f t="shared" si="47"/>
        <v>82968</v>
      </c>
      <c r="G130" s="12"/>
      <c r="H130" s="12">
        <v>96</v>
      </c>
      <c r="I130" s="12"/>
      <c r="J130" s="12">
        <f t="shared" si="48"/>
        <v>83064</v>
      </c>
      <c r="L130" s="10">
        <v>5</v>
      </c>
      <c r="M130" s="32">
        <v>45295</v>
      </c>
      <c r="N130" s="33">
        <f t="shared" si="54"/>
        <v>6990</v>
      </c>
      <c r="O130" s="34">
        <f>1252+614+17</f>
        <v>1883</v>
      </c>
      <c r="P130" s="34"/>
      <c r="Q130" s="34">
        <f t="shared" si="49"/>
        <v>1883</v>
      </c>
      <c r="R130" s="12"/>
      <c r="S130" s="12">
        <v>18</v>
      </c>
      <c r="T130" s="12"/>
      <c r="U130" s="12">
        <f t="shared" si="50"/>
        <v>1901</v>
      </c>
      <c r="W130" s="10">
        <v>5</v>
      </c>
      <c r="X130" s="32"/>
      <c r="Y130" s="11" t="s">
        <v>28</v>
      </c>
      <c r="Z130" s="34"/>
      <c r="AA130" s="34"/>
      <c r="AB130" s="34">
        <f t="shared" ref="AB130:AB135" si="55">SUM(Z130:AA130)</f>
        <v>0</v>
      </c>
      <c r="AC130" s="12"/>
      <c r="AD130" s="12"/>
      <c r="AE130" s="12"/>
      <c r="AF130" s="12">
        <f t="shared" si="52"/>
        <v>0</v>
      </c>
    </row>
    <row r="131" spans="1:32" x14ac:dyDescent="0.25">
      <c r="A131" s="10">
        <v>6</v>
      </c>
      <c r="B131" s="32">
        <v>45295</v>
      </c>
      <c r="C131" s="33">
        <f t="shared" si="53"/>
        <v>7060</v>
      </c>
      <c r="D131" s="34">
        <f>626*74+614+615</f>
        <v>47553</v>
      </c>
      <c r="E131" s="34"/>
      <c r="F131" s="34">
        <f t="shared" si="47"/>
        <v>47553</v>
      </c>
      <c r="G131" s="12"/>
      <c r="H131" s="12">
        <v>42</v>
      </c>
      <c r="I131" s="12"/>
      <c r="J131" s="12">
        <f t="shared" si="48"/>
        <v>47595</v>
      </c>
      <c r="L131" s="10">
        <v>6</v>
      </c>
      <c r="M131" s="32">
        <v>45295</v>
      </c>
      <c r="N131" s="33">
        <f t="shared" si="54"/>
        <v>6991</v>
      </c>
      <c r="O131" s="34">
        <f>626*10+85</f>
        <v>6345</v>
      </c>
      <c r="P131" s="34"/>
      <c r="Q131" s="34">
        <f t="shared" si="49"/>
        <v>6345</v>
      </c>
      <c r="R131" s="12"/>
      <c r="S131" s="12">
        <v>1125</v>
      </c>
      <c r="T131" s="10"/>
      <c r="U131" s="12">
        <f t="shared" si="50"/>
        <v>7470</v>
      </c>
      <c r="W131" s="10">
        <v>6</v>
      </c>
      <c r="X131" s="32"/>
      <c r="Y131" s="33"/>
      <c r="Z131" s="34"/>
      <c r="AA131" s="34"/>
      <c r="AB131" s="34">
        <f t="shared" si="55"/>
        <v>0</v>
      </c>
      <c r="AC131" s="12"/>
      <c r="AD131" s="12"/>
      <c r="AE131" s="10"/>
      <c r="AF131" s="12">
        <f t="shared" si="52"/>
        <v>0</v>
      </c>
    </row>
    <row r="132" spans="1:32" x14ac:dyDescent="0.25">
      <c r="A132" s="10">
        <v>7</v>
      </c>
      <c r="B132" s="32">
        <v>45295</v>
      </c>
      <c r="C132" s="33">
        <f t="shared" si="53"/>
        <v>7061</v>
      </c>
      <c r="D132" s="34">
        <f>626*18+153</f>
        <v>11421</v>
      </c>
      <c r="E132" s="34"/>
      <c r="F132" s="34">
        <f t="shared" si="47"/>
        <v>11421</v>
      </c>
      <c r="G132" s="12"/>
      <c r="H132" s="12">
        <v>27</v>
      </c>
      <c r="I132" s="12"/>
      <c r="J132" s="12">
        <f t="shared" si="48"/>
        <v>11448</v>
      </c>
      <c r="L132" s="10">
        <v>7</v>
      </c>
      <c r="M132" s="32">
        <v>45295</v>
      </c>
      <c r="N132" s="33">
        <f t="shared" si="54"/>
        <v>6992</v>
      </c>
      <c r="O132" s="34">
        <f>323*626+596*108+25*832+205*18</f>
        <v>291056</v>
      </c>
      <c r="P132" s="34">
        <v>-4266</v>
      </c>
      <c r="Q132" s="34">
        <f t="shared" si="49"/>
        <v>286790</v>
      </c>
      <c r="R132" s="12"/>
      <c r="S132" s="12">
        <v>288</v>
      </c>
      <c r="T132" s="12">
        <v>-24087</v>
      </c>
      <c r="U132" s="12">
        <f t="shared" si="50"/>
        <v>262991</v>
      </c>
      <c r="W132" s="10">
        <v>7</v>
      </c>
      <c r="X132" s="32"/>
      <c r="Y132" s="33"/>
      <c r="Z132" s="34"/>
      <c r="AA132" s="34"/>
      <c r="AB132" s="34">
        <f t="shared" si="55"/>
        <v>0</v>
      </c>
      <c r="AC132" s="12"/>
      <c r="AD132" s="66"/>
      <c r="AE132" s="12"/>
      <c r="AF132" s="12">
        <f t="shared" si="52"/>
        <v>0</v>
      </c>
    </row>
    <row r="133" spans="1:32" x14ac:dyDescent="0.25">
      <c r="A133" s="10">
        <v>8</v>
      </c>
      <c r="B133" s="32">
        <v>45295</v>
      </c>
      <c r="C133" s="33">
        <f t="shared" si="53"/>
        <v>7062</v>
      </c>
      <c r="D133" s="34">
        <f>1092</f>
        <v>1092</v>
      </c>
      <c r="E133" s="34"/>
      <c r="F133" s="34">
        <f t="shared" si="47"/>
        <v>1092</v>
      </c>
      <c r="G133" s="12"/>
      <c r="H133" s="12"/>
      <c r="I133" s="12"/>
      <c r="J133" s="12">
        <f t="shared" si="48"/>
        <v>1092</v>
      </c>
      <c r="L133" s="10">
        <v>8</v>
      </c>
      <c r="M133" s="32"/>
      <c r="N133" s="11" t="s">
        <v>28</v>
      </c>
      <c r="O133" s="34"/>
      <c r="P133" s="34"/>
      <c r="Q133" s="34">
        <f t="shared" si="49"/>
        <v>0</v>
      </c>
      <c r="R133" s="12"/>
      <c r="S133" s="12"/>
      <c r="T133" s="12"/>
      <c r="U133" s="12">
        <f t="shared" si="50"/>
        <v>0</v>
      </c>
      <c r="W133" s="10">
        <v>8</v>
      </c>
      <c r="X133" s="32"/>
      <c r="Y133" s="33"/>
      <c r="Z133" s="34"/>
      <c r="AB133" s="34">
        <f t="shared" si="55"/>
        <v>0</v>
      </c>
      <c r="AC133" s="12"/>
      <c r="AD133" s="12"/>
      <c r="AE133" s="12"/>
      <c r="AF133" s="12">
        <f t="shared" si="52"/>
        <v>0</v>
      </c>
    </row>
    <row r="134" spans="1:32" x14ac:dyDescent="0.25">
      <c r="A134" s="10">
        <v>9</v>
      </c>
      <c r="B134" s="32"/>
      <c r="C134" s="11" t="s">
        <v>28</v>
      </c>
      <c r="D134" s="34"/>
      <c r="E134" s="34"/>
      <c r="F134" s="34">
        <f t="shared" si="47"/>
        <v>0</v>
      </c>
      <c r="G134" s="12"/>
      <c r="H134" s="12"/>
      <c r="I134" s="12"/>
      <c r="J134" s="12">
        <f t="shared" si="48"/>
        <v>0</v>
      </c>
      <c r="L134" s="10">
        <v>9</v>
      </c>
      <c r="M134" s="32"/>
      <c r="N134" s="33"/>
      <c r="O134" s="34"/>
      <c r="P134" s="34"/>
      <c r="Q134" s="34">
        <f t="shared" si="49"/>
        <v>0</v>
      </c>
      <c r="R134" s="12"/>
      <c r="S134" s="12"/>
      <c r="T134" s="12"/>
      <c r="U134" s="12">
        <f t="shared" si="50"/>
        <v>0</v>
      </c>
      <c r="W134" s="10">
        <v>9</v>
      </c>
      <c r="X134" s="32"/>
      <c r="Y134" s="33"/>
      <c r="AA134" s="34"/>
      <c r="AB134" s="34">
        <f t="shared" si="55"/>
        <v>0</v>
      </c>
      <c r="AC134" s="12"/>
      <c r="AE134" s="12"/>
      <c r="AF134" s="12">
        <f t="shared" si="52"/>
        <v>0</v>
      </c>
    </row>
    <row r="135" spans="1:32" x14ac:dyDescent="0.25">
      <c r="A135" s="10">
        <v>10</v>
      </c>
      <c r="B135" s="32"/>
      <c r="C135" s="33"/>
      <c r="D135" s="34"/>
      <c r="E135" s="34"/>
      <c r="F135" s="34">
        <f t="shared" si="47"/>
        <v>0</v>
      </c>
      <c r="G135" s="12"/>
      <c r="H135" s="12"/>
      <c r="I135" s="12"/>
      <c r="J135" s="12">
        <f t="shared" si="48"/>
        <v>0</v>
      </c>
      <c r="L135" s="10">
        <v>10</v>
      </c>
      <c r="M135" s="32"/>
      <c r="N135" s="33"/>
      <c r="O135" s="34"/>
      <c r="P135" s="34"/>
      <c r="Q135" s="34">
        <f t="shared" si="49"/>
        <v>0</v>
      </c>
      <c r="R135" s="12"/>
      <c r="S135" s="12"/>
      <c r="T135" s="12"/>
      <c r="U135" s="12">
        <f t="shared" si="50"/>
        <v>0</v>
      </c>
      <c r="W135" s="10">
        <v>10</v>
      </c>
      <c r="X135" s="32"/>
      <c r="Y135" s="33"/>
      <c r="Z135" s="34"/>
      <c r="AA135" s="34"/>
      <c r="AB135" s="34">
        <f t="shared" si="55"/>
        <v>0</v>
      </c>
      <c r="AC135" s="12"/>
      <c r="AD135" s="12"/>
      <c r="AE135" s="12"/>
      <c r="AF135" s="12">
        <f t="shared" si="52"/>
        <v>0</v>
      </c>
    </row>
    <row r="136" spans="1:32" x14ac:dyDescent="0.25">
      <c r="A136" s="10">
        <v>11</v>
      </c>
      <c r="B136" s="32"/>
      <c r="C136" s="33"/>
      <c r="D136" s="34"/>
      <c r="E136" s="34"/>
      <c r="F136" s="34">
        <f t="shared" si="47"/>
        <v>0</v>
      </c>
      <c r="G136" s="12"/>
      <c r="H136" s="12"/>
      <c r="I136" s="12"/>
      <c r="J136" s="12">
        <f t="shared" si="48"/>
        <v>0</v>
      </c>
      <c r="L136" s="10">
        <v>11</v>
      </c>
      <c r="M136" s="32"/>
      <c r="N136" s="33"/>
      <c r="O136" s="34"/>
      <c r="P136" s="34"/>
      <c r="Q136" s="34">
        <f t="shared" si="49"/>
        <v>0</v>
      </c>
      <c r="R136" s="12"/>
      <c r="S136" s="12"/>
      <c r="T136" s="12"/>
      <c r="U136" s="12">
        <f t="shared" si="50"/>
        <v>0</v>
      </c>
      <c r="W136" s="10">
        <v>11</v>
      </c>
      <c r="X136" s="32"/>
      <c r="Y136" s="33"/>
      <c r="Z136" s="34"/>
      <c r="AA136" s="34"/>
      <c r="AB136" s="34">
        <f t="shared" ref="AB136:AB158" si="56">SUM(Z136:AA136)</f>
        <v>0</v>
      </c>
      <c r="AC136" s="12"/>
      <c r="AD136" s="12"/>
      <c r="AE136" s="12"/>
      <c r="AF136" s="12">
        <f t="shared" si="52"/>
        <v>0</v>
      </c>
    </row>
    <row r="137" spans="1:32" x14ac:dyDescent="0.25">
      <c r="A137" s="10">
        <v>12</v>
      </c>
      <c r="B137" s="32"/>
      <c r="C137" s="33"/>
      <c r="D137" s="34"/>
      <c r="E137" s="34"/>
      <c r="F137" s="34">
        <f t="shared" si="47"/>
        <v>0</v>
      </c>
      <c r="G137" s="12"/>
      <c r="H137" s="12"/>
      <c r="I137" s="10"/>
      <c r="J137" s="12">
        <f t="shared" si="48"/>
        <v>0</v>
      </c>
      <c r="L137" s="10">
        <v>12</v>
      </c>
      <c r="M137" s="32"/>
      <c r="N137" s="33"/>
      <c r="O137" s="34"/>
      <c r="P137" s="34"/>
      <c r="Q137" s="34">
        <f t="shared" si="49"/>
        <v>0</v>
      </c>
      <c r="R137" s="12"/>
      <c r="S137" s="12"/>
      <c r="T137" s="12"/>
      <c r="U137" s="12">
        <f t="shared" si="50"/>
        <v>0</v>
      </c>
      <c r="W137" s="10">
        <v>12</v>
      </c>
      <c r="X137" s="32"/>
      <c r="Y137" s="33"/>
      <c r="Z137" s="34"/>
      <c r="AA137" s="34"/>
      <c r="AB137" s="34">
        <f t="shared" si="56"/>
        <v>0</v>
      </c>
      <c r="AC137" s="12"/>
      <c r="AD137" s="12"/>
      <c r="AE137" s="12"/>
      <c r="AF137" s="12">
        <f t="shared" si="52"/>
        <v>0</v>
      </c>
    </row>
    <row r="138" spans="1:32" x14ac:dyDescent="0.25">
      <c r="A138" s="10">
        <v>13</v>
      </c>
      <c r="B138" s="32"/>
      <c r="C138" s="33"/>
      <c r="D138" s="34"/>
      <c r="E138" s="34"/>
      <c r="F138" s="34">
        <f t="shared" si="47"/>
        <v>0</v>
      </c>
      <c r="G138" s="12"/>
      <c r="H138" s="12"/>
      <c r="I138" s="12"/>
      <c r="J138" s="12">
        <f t="shared" si="48"/>
        <v>0</v>
      </c>
      <c r="L138" s="10">
        <v>13</v>
      </c>
      <c r="M138" s="32"/>
      <c r="N138" s="33"/>
      <c r="O138" s="34"/>
      <c r="P138" s="34"/>
      <c r="Q138" s="34">
        <f t="shared" si="49"/>
        <v>0</v>
      </c>
      <c r="R138" s="12"/>
      <c r="S138" s="12"/>
      <c r="T138" s="12"/>
      <c r="U138" s="12">
        <f t="shared" si="50"/>
        <v>0</v>
      </c>
      <c r="W138" s="10">
        <v>13</v>
      </c>
      <c r="X138" s="32"/>
      <c r="Y138" s="33"/>
      <c r="Z138" s="34"/>
      <c r="AA138" s="34"/>
      <c r="AB138" s="34">
        <f t="shared" si="56"/>
        <v>0</v>
      </c>
      <c r="AC138" s="12"/>
      <c r="AD138" s="12"/>
      <c r="AE138" s="12"/>
      <c r="AF138" s="12">
        <f t="shared" si="52"/>
        <v>0</v>
      </c>
    </row>
    <row r="139" spans="1:32" x14ac:dyDescent="0.25">
      <c r="A139" s="10">
        <v>14</v>
      </c>
      <c r="B139" s="32"/>
      <c r="C139" s="33"/>
      <c r="D139" s="34"/>
      <c r="E139" s="34"/>
      <c r="F139" s="34">
        <f t="shared" si="47"/>
        <v>0</v>
      </c>
      <c r="G139" s="12"/>
      <c r="H139" s="12"/>
      <c r="I139" s="12"/>
      <c r="J139" s="12">
        <f t="shared" si="48"/>
        <v>0</v>
      </c>
      <c r="L139" s="10">
        <v>14</v>
      </c>
      <c r="M139" s="32"/>
      <c r="N139" s="33"/>
      <c r="O139" s="34"/>
      <c r="P139" s="34"/>
      <c r="Q139" s="34">
        <f t="shared" si="49"/>
        <v>0</v>
      </c>
      <c r="R139" s="12"/>
      <c r="S139" s="12"/>
      <c r="T139" s="12"/>
      <c r="U139" s="12">
        <f t="shared" si="50"/>
        <v>0</v>
      </c>
      <c r="W139" s="10">
        <v>14</v>
      </c>
      <c r="X139" s="32"/>
      <c r="Y139" s="33"/>
      <c r="AA139" s="34"/>
      <c r="AB139" s="34">
        <f t="shared" si="56"/>
        <v>0</v>
      </c>
      <c r="AC139" s="12"/>
      <c r="AD139" s="12"/>
      <c r="AE139" s="12"/>
      <c r="AF139" s="12">
        <f t="shared" si="52"/>
        <v>0</v>
      </c>
    </row>
    <row r="140" spans="1:32" x14ac:dyDescent="0.25">
      <c r="A140" s="10">
        <v>15</v>
      </c>
      <c r="B140" s="32"/>
      <c r="C140" s="33"/>
      <c r="D140" s="34"/>
      <c r="E140" s="34"/>
      <c r="F140" s="34">
        <f t="shared" si="47"/>
        <v>0</v>
      </c>
      <c r="G140" s="12"/>
      <c r="H140" s="12"/>
      <c r="I140" s="12"/>
      <c r="J140" s="12">
        <f t="shared" si="48"/>
        <v>0</v>
      </c>
      <c r="L140" s="10">
        <v>15</v>
      </c>
      <c r="M140" s="32"/>
      <c r="N140" s="33"/>
      <c r="O140" s="34"/>
      <c r="P140" s="34"/>
      <c r="Q140" s="34">
        <f t="shared" si="49"/>
        <v>0</v>
      </c>
      <c r="R140" s="12"/>
      <c r="S140" s="12"/>
      <c r="T140" s="12"/>
      <c r="U140" s="12">
        <f t="shared" si="50"/>
        <v>0</v>
      </c>
      <c r="W140" s="10">
        <v>15</v>
      </c>
      <c r="X140" s="32"/>
      <c r="Y140" s="33"/>
      <c r="Z140" s="34"/>
      <c r="AA140" s="34"/>
      <c r="AB140" s="34">
        <f t="shared" si="56"/>
        <v>0</v>
      </c>
      <c r="AC140" s="12"/>
      <c r="AD140" s="12"/>
      <c r="AE140" s="12"/>
      <c r="AF140" s="12">
        <f t="shared" si="52"/>
        <v>0</v>
      </c>
    </row>
    <row r="141" spans="1:32" x14ac:dyDescent="0.25">
      <c r="A141" s="10">
        <v>16</v>
      </c>
      <c r="B141" s="32"/>
      <c r="C141" s="33"/>
      <c r="D141" s="34"/>
      <c r="E141" s="34"/>
      <c r="F141" s="34">
        <f t="shared" si="47"/>
        <v>0</v>
      </c>
      <c r="G141" s="12"/>
      <c r="H141" s="12"/>
      <c r="I141" s="12"/>
      <c r="J141" s="12">
        <f t="shared" si="48"/>
        <v>0</v>
      </c>
      <c r="L141" s="10">
        <v>16</v>
      </c>
      <c r="M141" s="32"/>
      <c r="N141" s="33"/>
      <c r="O141" s="34"/>
      <c r="P141" s="34"/>
      <c r="Q141" s="34">
        <f t="shared" si="49"/>
        <v>0</v>
      </c>
      <c r="R141" s="12"/>
      <c r="S141" s="12"/>
      <c r="T141" s="12"/>
      <c r="U141" s="12">
        <f t="shared" si="50"/>
        <v>0</v>
      </c>
      <c r="W141" s="10">
        <v>16</v>
      </c>
      <c r="X141" s="32"/>
      <c r="Y141" s="33"/>
      <c r="Z141" s="34"/>
      <c r="AA141" s="34"/>
      <c r="AB141" s="34">
        <f t="shared" si="56"/>
        <v>0</v>
      </c>
      <c r="AC141" s="12"/>
      <c r="AD141" s="12"/>
      <c r="AE141" s="12"/>
      <c r="AF141" s="12">
        <f t="shared" si="52"/>
        <v>0</v>
      </c>
    </row>
    <row r="142" spans="1:32" x14ac:dyDescent="0.25">
      <c r="A142" s="10">
        <v>17</v>
      </c>
      <c r="B142" s="32"/>
      <c r="C142" s="33"/>
      <c r="D142" s="34"/>
      <c r="E142" s="34"/>
      <c r="F142" s="34">
        <f t="shared" si="47"/>
        <v>0</v>
      </c>
      <c r="G142" s="12"/>
      <c r="H142" s="12"/>
      <c r="I142" s="12"/>
      <c r="J142" s="12">
        <f t="shared" si="48"/>
        <v>0</v>
      </c>
      <c r="L142" s="10">
        <v>17</v>
      </c>
      <c r="M142" s="32"/>
      <c r="N142" s="33"/>
      <c r="O142" s="37"/>
      <c r="P142" s="34"/>
      <c r="Q142" s="34">
        <f t="shared" si="49"/>
        <v>0</v>
      </c>
      <c r="R142" s="12"/>
      <c r="S142" s="12"/>
      <c r="T142" s="12"/>
      <c r="U142" s="12">
        <f t="shared" si="50"/>
        <v>0</v>
      </c>
      <c r="W142" s="10">
        <v>17</v>
      </c>
      <c r="X142" s="32"/>
      <c r="Y142" s="33"/>
      <c r="Z142" s="37"/>
      <c r="AA142" s="34"/>
      <c r="AB142" s="34">
        <f t="shared" si="56"/>
        <v>0</v>
      </c>
      <c r="AC142" s="12"/>
      <c r="AD142" s="12"/>
      <c r="AE142" s="12"/>
      <c r="AF142" s="12">
        <f t="shared" si="52"/>
        <v>0</v>
      </c>
    </row>
    <row r="143" spans="1:32" x14ac:dyDescent="0.25">
      <c r="A143" s="10">
        <v>18</v>
      </c>
      <c r="B143" s="32"/>
      <c r="C143" s="33"/>
      <c r="D143" s="34"/>
      <c r="E143" s="34"/>
      <c r="F143" s="34">
        <f t="shared" si="47"/>
        <v>0</v>
      </c>
      <c r="G143" s="12"/>
      <c r="H143" s="12"/>
      <c r="I143" s="12"/>
      <c r="J143" s="12">
        <f t="shared" si="48"/>
        <v>0</v>
      </c>
      <c r="L143" s="10">
        <v>18</v>
      </c>
      <c r="M143" s="32"/>
      <c r="N143" s="33"/>
      <c r="O143" s="34"/>
      <c r="P143" s="34"/>
      <c r="Q143" s="34">
        <f t="shared" si="49"/>
        <v>0</v>
      </c>
      <c r="R143" s="12"/>
      <c r="S143" s="12"/>
      <c r="T143" s="12"/>
      <c r="U143" s="12">
        <f t="shared" si="50"/>
        <v>0</v>
      </c>
      <c r="W143" s="10">
        <v>18</v>
      </c>
      <c r="X143" s="32"/>
      <c r="Y143" s="33"/>
      <c r="Z143" s="34"/>
      <c r="AA143" s="34"/>
      <c r="AB143" s="34">
        <f t="shared" si="56"/>
        <v>0</v>
      </c>
      <c r="AC143" s="12"/>
      <c r="AD143" s="12"/>
      <c r="AE143" s="12"/>
      <c r="AF143" s="12">
        <f t="shared" si="52"/>
        <v>0</v>
      </c>
    </row>
    <row r="144" spans="1:32" x14ac:dyDescent="0.25">
      <c r="A144" s="10">
        <v>19</v>
      </c>
      <c r="B144" s="32"/>
      <c r="C144" s="33"/>
      <c r="D144" s="34"/>
      <c r="E144" s="34"/>
      <c r="F144" s="34">
        <f t="shared" si="47"/>
        <v>0</v>
      </c>
      <c r="G144" s="12"/>
      <c r="H144" s="12"/>
      <c r="I144" s="12"/>
      <c r="J144" s="12">
        <f t="shared" si="48"/>
        <v>0</v>
      </c>
      <c r="L144" s="10">
        <v>19</v>
      </c>
      <c r="M144" s="32"/>
      <c r="N144" s="33"/>
      <c r="O144" s="34"/>
      <c r="P144" s="34"/>
      <c r="Q144" s="34">
        <f t="shared" si="49"/>
        <v>0</v>
      </c>
      <c r="R144" s="12"/>
      <c r="S144" s="12"/>
      <c r="T144" s="12"/>
      <c r="U144" s="12">
        <f t="shared" si="50"/>
        <v>0</v>
      </c>
      <c r="W144" s="10">
        <v>19</v>
      </c>
      <c r="X144" s="32"/>
      <c r="Y144" s="33"/>
      <c r="Z144" s="34"/>
      <c r="AA144" s="34"/>
      <c r="AB144" s="34">
        <f t="shared" si="56"/>
        <v>0</v>
      </c>
      <c r="AC144" s="12"/>
      <c r="AD144" s="12"/>
      <c r="AE144" s="12"/>
      <c r="AF144" s="12">
        <f t="shared" si="52"/>
        <v>0</v>
      </c>
    </row>
    <row r="145" spans="1:32" x14ac:dyDescent="0.25">
      <c r="A145" s="10">
        <v>20</v>
      </c>
      <c r="B145" s="32"/>
      <c r="C145" s="33"/>
      <c r="D145" s="34"/>
      <c r="E145" s="34"/>
      <c r="F145" s="34">
        <f t="shared" si="47"/>
        <v>0</v>
      </c>
      <c r="G145" s="12"/>
      <c r="H145" s="12"/>
      <c r="I145" s="12"/>
      <c r="J145" s="12">
        <f t="shared" si="48"/>
        <v>0</v>
      </c>
      <c r="L145" s="10">
        <v>20</v>
      </c>
      <c r="M145" s="32"/>
      <c r="N145" s="33"/>
      <c r="O145" s="34"/>
      <c r="P145" s="34"/>
      <c r="Q145" s="34">
        <f t="shared" si="49"/>
        <v>0</v>
      </c>
      <c r="R145" s="12"/>
      <c r="S145" s="12"/>
      <c r="T145" s="12"/>
      <c r="U145" s="12">
        <f t="shared" si="50"/>
        <v>0</v>
      </c>
      <c r="W145" s="10">
        <v>20</v>
      </c>
      <c r="X145" s="32"/>
      <c r="Y145" s="33"/>
      <c r="Z145" s="34"/>
      <c r="AA145" s="34"/>
      <c r="AB145" s="34">
        <f t="shared" si="56"/>
        <v>0</v>
      </c>
      <c r="AC145" s="12"/>
      <c r="AD145" s="12"/>
      <c r="AE145" s="12"/>
      <c r="AF145" s="12">
        <f t="shared" si="52"/>
        <v>0</v>
      </c>
    </row>
    <row r="146" spans="1:32" x14ac:dyDescent="0.25">
      <c r="A146" s="10">
        <v>21</v>
      </c>
      <c r="B146" s="32"/>
      <c r="D146" s="34"/>
      <c r="E146" s="34"/>
      <c r="F146" s="34">
        <f t="shared" si="47"/>
        <v>0</v>
      </c>
      <c r="G146" s="10"/>
      <c r="H146" s="10"/>
      <c r="I146" s="10"/>
      <c r="J146" s="12">
        <f t="shared" si="48"/>
        <v>0</v>
      </c>
      <c r="L146" s="10">
        <v>21</v>
      </c>
      <c r="M146" s="32"/>
      <c r="N146" s="33"/>
      <c r="O146" s="50"/>
      <c r="P146" s="33"/>
      <c r="Q146" s="34">
        <f t="shared" si="49"/>
        <v>0</v>
      </c>
      <c r="R146" s="10"/>
      <c r="S146" s="10"/>
      <c r="T146" s="10"/>
      <c r="U146" s="12">
        <f t="shared" si="50"/>
        <v>0</v>
      </c>
      <c r="W146" s="10">
        <v>21</v>
      </c>
      <c r="X146" s="32"/>
      <c r="Z146" s="50"/>
      <c r="AA146" s="33"/>
      <c r="AB146" s="34">
        <f t="shared" si="56"/>
        <v>0</v>
      </c>
      <c r="AC146" s="10"/>
      <c r="AD146" s="10"/>
      <c r="AE146" s="10"/>
      <c r="AF146" s="12">
        <f t="shared" si="52"/>
        <v>0</v>
      </c>
    </row>
    <row r="147" spans="1:32" x14ac:dyDescent="0.25">
      <c r="A147" s="10">
        <v>22</v>
      </c>
      <c r="B147" s="32"/>
      <c r="C147" s="33"/>
      <c r="D147" s="34"/>
      <c r="E147" s="34"/>
      <c r="F147" s="34">
        <f t="shared" si="47"/>
        <v>0</v>
      </c>
      <c r="G147" s="10"/>
      <c r="H147" s="10"/>
      <c r="I147" s="10"/>
      <c r="J147" s="12">
        <f t="shared" si="48"/>
        <v>0</v>
      </c>
      <c r="L147" s="10">
        <v>22</v>
      </c>
      <c r="M147" s="32"/>
      <c r="O147" s="49"/>
      <c r="P147" s="33"/>
      <c r="Q147" s="34">
        <f t="shared" si="49"/>
        <v>0</v>
      </c>
      <c r="R147" s="10"/>
      <c r="S147" s="10"/>
      <c r="T147" s="10"/>
      <c r="U147" s="12">
        <f t="shared" si="50"/>
        <v>0</v>
      </c>
      <c r="W147" s="10">
        <v>22</v>
      </c>
      <c r="X147" s="32"/>
      <c r="Y147" s="33"/>
      <c r="Z147" s="49"/>
      <c r="AA147" s="33"/>
      <c r="AB147" s="34">
        <f t="shared" si="56"/>
        <v>0</v>
      </c>
      <c r="AC147" s="10"/>
      <c r="AD147" s="10"/>
      <c r="AE147" s="10"/>
      <c r="AF147" s="12">
        <f t="shared" si="52"/>
        <v>0</v>
      </c>
    </row>
    <row r="148" spans="1:32" x14ac:dyDescent="0.25">
      <c r="A148" s="10">
        <v>23</v>
      </c>
      <c r="B148" s="32"/>
      <c r="C148" s="33"/>
      <c r="D148" s="34"/>
      <c r="E148" s="34"/>
      <c r="F148" s="34">
        <f t="shared" si="47"/>
        <v>0</v>
      </c>
      <c r="G148" s="10"/>
      <c r="H148" s="10"/>
      <c r="I148" s="12"/>
      <c r="J148" s="12">
        <f t="shared" si="48"/>
        <v>0</v>
      </c>
      <c r="L148" s="10">
        <v>23</v>
      </c>
      <c r="M148" s="32"/>
      <c r="N148" s="33"/>
      <c r="O148" s="51"/>
      <c r="Q148" s="34">
        <f t="shared" si="49"/>
        <v>0</v>
      </c>
      <c r="R148" s="10"/>
      <c r="S148" s="10"/>
      <c r="T148" s="10"/>
      <c r="U148" s="12">
        <f t="shared" si="50"/>
        <v>0</v>
      </c>
      <c r="W148" s="10">
        <v>23</v>
      </c>
      <c r="X148" s="32"/>
      <c r="Z148" s="51"/>
      <c r="AB148" s="34">
        <f t="shared" si="56"/>
        <v>0</v>
      </c>
      <c r="AC148" s="10"/>
      <c r="AD148" s="10"/>
      <c r="AE148" s="10"/>
      <c r="AF148" s="12">
        <f t="shared" si="52"/>
        <v>0</v>
      </c>
    </row>
    <row r="149" spans="1:32" x14ac:dyDescent="0.25">
      <c r="A149" s="10">
        <v>24</v>
      </c>
      <c r="B149" s="32"/>
      <c r="C149" s="33"/>
      <c r="D149" s="34"/>
      <c r="E149" s="34"/>
      <c r="F149" s="34">
        <f t="shared" si="47"/>
        <v>0</v>
      </c>
      <c r="G149" s="10"/>
      <c r="H149" s="10"/>
      <c r="I149" s="10"/>
      <c r="J149" s="12">
        <f t="shared" si="48"/>
        <v>0</v>
      </c>
      <c r="L149" s="10">
        <v>24</v>
      </c>
      <c r="M149" s="32"/>
      <c r="N149" s="33"/>
      <c r="O149" s="51"/>
      <c r="P149" s="33"/>
      <c r="Q149" s="34">
        <f t="shared" si="49"/>
        <v>0</v>
      </c>
      <c r="R149" s="10"/>
      <c r="S149" s="10"/>
      <c r="T149" s="10"/>
      <c r="U149" s="12">
        <f t="shared" si="50"/>
        <v>0</v>
      </c>
      <c r="W149" s="10">
        <v>24</v>
      </c>
      <c r="X149" s="32"/>
      <c r="Y149" s="34"/>
      <c r="Z149" s="51"/>
      <c r="AA149" s="33"/>
      <c r="AB149" s="34">
        <f t="shared" si="56"/>
        <v>0</v>
      </c>
      <c r="AC149" s="10"/>
      <c r="AD149" s="10"/>
      <c r="AE149" s="10"/>
      <c r="AF149" s="12">
        <f t="shared" si="52"/>
        <v>0</v>
      </c>
    </row>
    <row r="150" spans="1:32" x14ac:dyDescent="0.25">
      <c r="A150" s="10">
        <v>25</v>
      </c>
      <c r="B150" s="32"/>
      <c r="C150" s="33"/>
      <c r="D150" s="34"/>
      <c r="E150" s="34"/>
      <c r="F150" s="34">
        <f t="shared" si="47"/>
        <v>0</v>
      </c>
      <c r="G150" s="10"/>
      <c r="H150" s="10"/>
      <c r="I150" s="10"/>
      <c r="J150" s="12">
        <f t="shared" si="48"/>
        <v>0</v>
      </c>
      <c r="L150" s="10">
        <v>25</v>
      </c>
      <c r="M150" s="32"/>
      <c r="N150" s="33"/>
      <c r="O150" s="51"/>
      <c r="P150" s="33"/>
      <c r="Q150" s="34">
        <f t="shared" si="49"/>
        <v>0</v>
      </c>
      <c r="R150" s="10"/>
      <c r="S150" s="10"/>
      <c r="T150" s="10"/>
      <c r="U150" s="12">
        <f t="shared" si="50"/>
        <v>0</v>
      </c>
      <c r="W150" s="10">
        <v>25</v>
      </c>
      <c r="X150" s="32"/>
      <c r="Y150" s="33"/>
      <c r="Z150" s="51"/>
      <c r="AA150" s="33"/>
      <c r="AB150" s="34">
        <f t="shared" si="56"/>
        <v>0</v>
      </c>
      <c r="AC150" s="10"/>
      <c r="AD150" s="10"/>
      <c r="AE150" s="10"/>
      <c r="AF150" s="12">
        <f t="shared" si="52"/>
        <v>0</v>
      </c>
    </row>
    <row r="151" spans="1:32" x14ac:dyDescent="0.25">
      <c r="A151" s="10">
        <v>26</v>
      </c>
      <c r="B151" s="32"/>
      <c r="C151" s="65"/>
      <c r="D151" s="34"/>
      <c r="E151" s="34"/>
      <c r="F151" s="34">
        <f t="shared" si="47"/>
        <v>0</v>
      </c>
      <c r="G151" s="10"/>
      <c r="H151" s="10"/>
      <c r="I151" s="10"/>
      <c r="J151" s="12">
        <f t="shared" si="48"/>
        <v>0</v>
      </c>
      <c r="L151" s="10">
        <v>26</v>
      </c>
      <c r="M151" s="32"/>
      <c r="O151" s="51"/>
      <c r="P151" s="33"/>
      <c r="Q151" s="34">
        <f t="shared" si="49"/>
        <v>0</v>
      </c>
      <c r="R151" s="10"/>
      <c r="S151" s="10"/>
      <c r="T151" s="10"/>
      <c r="U151" s="12">
        <f t="shared" si="50"/>
        <v>0</v>
      </c>
      <c r="W151" s="10">
        <v>26</v>
      </c>
      <c r="X151" s="32"/>
      <c r="Z151" s="51"/>
      <c r="AA151" s="33"/>
      <c r="AB151" s="34">
        <f t="shared" si="56"/>
        <v>0</v>
      </c>
      <c r="AC151" s="10"/>
      <c r="AD151" s="10"/>
      <c r="AE151" s="10"/>
      <c r="AF151" s="12">
        <f t="shared" si="52"/>
        <v>0</v>
      </c>
    </row>
    <row r="152" spans="1:32" x14ac:dyDescent="0.25">
      <c r="A152" s="10">
        <v>27</v>
      </c>
      <c r="B152" s="32"/>
      <c r="C152" s="33"/>
      <c r="D152" s="34"/>
      <c r="E152" s="34"/>
      <c r="F152" s="34">
        <f t="shared" si="47"/>
        <v>0</v>
      </c>
      <c r="G152" s="10"/>
      <c r="H152" s="10"/>
      <c r="I152" s="10"/>
      <c r="J152" s="12">
        <f t="shared" si="48"/>
        <v>0</v>
      </c>
      <c r="L152" s="10">
        <v>27</v>
      </c>
      <c r="M152" s="32"/>
      <c r="O152" s="51"/>
      <c r="P152" s="33"/>
      <c r="Q152" s="34">
        <f t="shared" si="49"/>
        <v>0</v>
      </c>
      <c r="R152" s="10"/>
      <c r="S152" s="10"/>
      <c r="T152" s="10"/>
      <c r="U152" s="12">
        <f t="shared" si="50"/>
        <v>0</v>
      </c>
      <c r="W152" s="10">
        <v>27</v>
      </c>
      <c r="X152" s="32"/>
      <c r="Y152" s="33"/>
      <c r="Z152" s="51"/>
      <c r="AA152" s="33"/>
      <c r="AB152" s="34">
        <f t="shared" si="56"/>
        <v>0</v>
      </c>
      <c r="AC152" s="10"/>
      <c r="AD152" s="10"/>
      <c r="AE152" s="10"/>
      <c r="AF152" s="12">
        <f t="shared" si="52"/>
        <v>0</v>
      </c>
    </row>
    <row r="153" spans="1:32" x14ac:dyDescent="0.25">
      <c r="A153" s="10">
        <v>28</v>
      </c>
      <c r="B153" s="32"/>
      <c r="C153" s="33"/>
      <c r="D153" s="34"/>
      <c r="E153" s="34"/>
      <c r="F153" s="34">
        <f t="shared" si="47"/>
        <v>0</v>
      </c>
      <c r="G153" s="10"/>
      <c r="H153" s="10"/>
      <c r="I153" s="10"/>
      <c r="J153" s="12">
        <f t="shared" si="48"/>
        <v>0</v>
      </c>
      <c r="L153" s="10">
        <v>28</v>
      </c>
      <c r="M153" s="32"/>
      <c r="N153" s="33"/>
      <c r="O153" s="51"/>
      <c r="P153" s="33"/>
      <c r="Q153" s="34">
        <f t="shared" si="49"/>
        <v>0</v>
      </c>
      <c r="R153" s="10"/>
      <c r="S153" s="10"/>
      <c r="T153" s="10"/>
      <c r="U153" s="12">
        <f t="shared" si="50"/>
        <v>0</v>
      </c>
      <c r="W153" s="10">
        <v>28</v>
      </c>
      <c r="X153" s="32"/>
      <c r="Y153" s="33"/>
      <c r="Z153" s="51"/>
      <c r="AA153" s="33"/>
      <c r="AB153" s="34">
        <f t="shared" si="56"/>
        <v>0</v>
      </c>
      <c r="AC153" s="10"/>
      <c r="AD153" s="10"/>
      <c r="AE153" s="10"/>
      <c r="AF153" s="12">
        <f t="shared" si="52"/>
        <v>0</v>
      </c>
    </row>
    <row r="154" spans="1:32" x14ac:dyDescent="0.25">
      <c r="A154" s="10">
        <v>29</v>
      </c>
      <c r="B154" s="32"/>
      <c r="C154" s="33"/>
      <c r="D154" s="34"/>
      <c r="E154" s="34"/>
      <c r="F154" s="34">
        <f t="shared" si="47"/>
        <v>0</v>
      </c>
      <c r="G154" s="10"/>
      <c r="H154" s="10"/>
      <c r="I154" s="10"/>
      <c r="J154" s="12">
        <f t="shared" si="48"/>
        <v>0</v>
      </c>
      <c r="L154" s="10">
        <v>29</v>
      </c>
      <c r="M154" s="32"/>
      <c r="N154" s="33"/>
      <c r="O154" s="51"/>
      <c r="P154" s="33"/>
      <c r="Q154" s="34">
        <f t="shared" si="49"/>
        <v>0</v>
      </c>
      <c r="R154" s="10"/>
      <c r="S154" s="10"/>
      <c r="T154" s="10"/>
      <c r="U154" s="12">
        <f t="shared" si="50"/>
        <v>0</v>
      </c>
      <c r="W154" s="10">
        <v>29</v>
      </c>
      <c r="X154" s="32"/>
      <c r="Y154" s="33"/>
      <c r="Z154" s="51"/>
      <c r="AA154" s="33"/>
      <c r="AB154" s="34">
        <f t="shared" si="56"/>
        <v>0</v>
      </c>
      <c r="AC154" s="10"/>
      <c r="AD154" s="10"/>
      <c r="AE154" s="10"/>
      <c r="AF154" s="12">
        <f t="shared" si="52"/>
        <v>0</v>
      </c>
    </row>
    <row r="155" spans="1:32" x14ac:dyDescent="0.25">
      <c r="A155" s="10">
        <v>30</v>
      </c>
      <c r="B155" s="32"/>
      <c r="C155" s="33"/>
      <c r="D155" s="34"/>
      <c r="E155" s="34"/>
      <c r="F155" s="34">
        <f t="shared" si="47"/>
        <v>0</v>
      </c>
      <c r="G155" s="10"/>
      <c r="H155" s="10"/>
      <c r="I155" s="10"/>
      <c r="J155" s="12">
        <f t="shared" si="48"/>
        <v>0</v>
      </c>
      <c r="L155" s="10">
        <v>30</v>
      </c>
      <c r="M155" s="32"/>
      <c r="N155" s="33"/>
      <c r="O155" s="51"/>
      <c r="P155" s="33"/>
      <c r="Q155" s="34">
        <f t="shared" si="49"/>
        <v>0</v>
      </c>
      <c r="R155" s="10"/>
      <c r="S155" s="10"/>
      <c r="T155" s="10"/>
      <c r="U155" s="12">
        <f t="shared" si="50"/>
        <v>0</v>
      </c>
      <c r="W155" s="10">
        <v>30</v>
      </c>
      <c r="X155" s="32"/>
      <c r="Y155" s="33"/>
      <c r="Z155" s="51"/>
      <c r="AA155" s="33"/>
      <c r="AB155" s="34">
        <f t="shared" si="56"/>
        <v>0</v>
      </c>
      <c r="AC155" s="10"/>
      <c r="AD155" s="10"/>
      <c r="AE155" s="10"/>
      <c r="AF155" s="12">
        <f t="shared" si="52"/>
        <v>0</v>
      </c>
    </row>
    <row r="156" spans="1:32" x14ac:dyDescent="0.25">
      <c r="A156" s="10">
        <v>31</v>
      </c>
      <c r="B156" s="32"/>
      <c r="C156" s="33"/>
      <c r="D156" s="34"/>
      <c r="E156" s="34"/>
      <c r="F156" s="34">
        <f t="shared" si="47"/>
        <v>0</v>
      </c>
      <c r="G156" s="10"/>
      <c r="H156" s="10"/>
      <c r="I156" s="10"/>
      <c r="J156" s="12">
        <f t="shared" si="48"/>
        <v>0</v>
      </c>
      <c r="L156" s="10">
        <v>31</v>
      </c>
      <c r="M156" s="32"/>
      <c r="N156" s="33"/>
      <c r="O156" s="51"/>
      <c r="P156" s="33"/>
      <c r="Q156" s="34">
        <f t="shared" si="49"/>
        <v>0</v>
      </c>
      <c r="R156" s="10"/>
      <c r="S156" s="10"/>
      <c r="T156" s="10"/>
      <c r="U156" s="12">
        <f t="shared" si="50"/>
        <v>0</v>
      </c>
      <c r="W156" s="10">
        <v>31</v>
      </c>
      <c r="X156" s="32"/>
      <c r="Y156" s="33"/>
      <c r="Z156" s="51"/>
      <c r="AA156" s="33"/>
      <c r="AB156" s="34">
        <f t="shared" si="56"/>
        <v>0</v>
      </c>
      <c r="AC156" s="10"/>
      <c r="AD156" s="10"/>
      <c r="AE156" s="10"/>
      <c r="AF156" s="12">
        <f t="shared" si="52"/>
        <v>0</v>
      </c>
    </row>
    <row r="157" spans="1:32" x14ac:dyDescent="0.25">
      <c r="A157" s="10">
        <v>32</v>
      </c>
      <c r="B157" s="32"/>
      <c r="C157" s="33"/>
      <c r="D157" s="34"/>
      <c r="E157" s="34"/>
      <c r="F157" s="34">
        <f t="shared" si="47"/>
        <v>0</v>
      </c>
      <c r="G157" s="10"/>
      <c r="H157" s="10"/>
      <c r="I157" s="10"/>
      <c r="J157" s="12">
        <f t="shared" si="48"/>
        <v>0</v>
      </c>
      <c r="L157" s="10">
        <v>32</v>
      </c>
      <c r="M157" s="32"/>
      <c r="N157" s="33"/>
      <c r="O157" s="51"/>
      <c r="P157" s="33"/>
      <c r="Q157" s="34">
        <f t="shared" si="49"/>
        <v>0</v>
      </c>
      <c r="R157" s="10"/>
      <c r="S157" s="10"/>
      <c r="T157" s="10"/>
      <c r="U157" s="12">
        <f t="shared" si="50"/>
        <v>0</v>
      </c>
      <c r="W157" s="10">
        <v>32</v>
      </c>
      <c r="X157" s="32"/>
      <c r="Y157" s="33"/>
      <c r="Z157" s="51"/>
      <c r="AA157" s="33"/>
      <c r="AB157" s="34">
        <f t="shared" si="56"/>
        <v>0</v>
      </c>
      <c r="AC157" s="10"/>
      <c r="AD157" s="10"/>
      <c r="AE157" s="10"/>
      <c r="AF157" s="12">
        <f t="shared" si="52"/>
        <v>0</v>
      </c>
    </row>
    <row r="158" spans="1:32" x14ac:dyDescent="0.25">
      <c r="A158" s="10">
        <v>33</v>
      </c>
      <c r="B158" s="32"/>
      <c r="C158" s="65"/>
      <c r="D158" s="34"/>
      <c r="E158" s="34"/>
      <c r="F158" s="34">
        <f t="shared" si="47"/>
        <v>0</v>
      </c>
      <c r="G158" s="10"/>
      <c r="H158" s="10"/>
      <c r="I158" s="10"/>
      <c r="J158" s="12">
        <f t="shared" si="48"/>
        <v>0</v>
      </c>
      <c r="L158" s="10">
        <v>33</v>
      </c>
      <c r="M158" s="32"/>
      <c r="N158" s="33"/>
      <c r="O158" s="51"/>
      <c r="P158" s="33"/>
      <c r="Q158" s="34">
        <f t="shared" si="49"/>
        <v>0</v>
      </c>
      <c r="R158" s="10"/>
      <c r="S158" s="10"/>
      <c r="T158" s="10"/>
      <c r="U158" s="12">
        <f t="shared" si="50"/>
        <v>0</v>
      </c>
      <c r="W158" s="10">
        <v>33</v>
      </c>
      <c r="X158" s="32"/>
      <c r="Y158" s="33"/>
      <c r="Z158" s="51"/>
      <c r="AA158" s="33"/>
      <c r="AB158" s="34">
        <f t="shared" si="56"/>
        <v>0</v>
      </c>
      <c r="AC158" s="10"/>
      <c r="AD158" s="10"/>
      <c r="AE158" s="10"/>
      <c r="AF158" s="12">
        <f t="shared" si="52"/>
        <v>0</v>
      </c>
    </row>
    <row r="159" spans="1:32" x14ac:dyDescent="0.25">
      <c r="A159" s="10"/>
      <c r="B159" s="32"/>
      <c r="C159" s="33"/>
      <c r="D159" s="34"/>
      <c r="E159" s="34"/>
      <c r="F159" s="34">
        <f t="shared" si="47"/>
        <v>0</v>
      </c>
      <c r="G159" s="10"/>
      <c r="H159" s="10"/>
      <c r="I159" s="10"/>
      <c r="J159" s="12">
        <f t="shared" si="48"/>
        <v>0</v>
      </c>
      <c r="L159" s="10">
        <v>34</v>
      </c>
      <c r="M159" s="32"/>
      <c r="N159" s="33"/>
      <c r="O159" s="51"/>
      <c r="P159" s="33"/>
      <c r="Q159" s="34">
        <f t="shared" ref="Q159:Q164" si="57">SUM(O159:P159)</f>
        <v>0</v>
      </c>
      <c r="R159" s="10"/>
      <c r="S159" s="10"/>
      <c r="T159" s="10"/>
      <c r="U159" s="12">
        <f t="shared" ref="U159:U167" si="58">SUM(Q159:T159)</f>
        <v>0</v>
      </c>
      <c r="W159" s="10">
        <v>34</v>
      </c>
      <c r="X159" s="32"/>
      <c r="Y159" s="33"/>
      <c r="Z159" s="51"/>
      <c r="AA159" s="33"/>
      <c r="AB159" s="34">
        <f t="shared" ref="AB159:AB164" si="59">SUM(Z159:AA159)</f>
        <v>0</v>
      </c>
      <c r="AC159" s="10"/>
      <c r="AD159" s="10"/>
      <c r="AE159" s="10"/>
      <c r="AF159" s="12">
        <f t="shared" ref="AF159:AF167" si="60">SUM(AB159:AE159)</f>
        <v>0</v>
      </c>
    </row>
    <row r="160" spans="1:32" x14ac:dyDescent="0.25">
      <c r="A160" s="10"/>
      <c r="B160" s="32"/>
      <c r="C160" s="33"/>
      <c r="D160" s="34"/>
      <c r="E160" s="34"/>
      <c r="F160" s="34"/>
      <c r="G160" s="10"/>
      <c r="H160" s="10"/>
      <c r="I160" s="10"/>
      <c r="J160" s="12"/>
      <c r="L160" s="10">
        <v>35</v>
      </c>
      <c r="M160" s="32"/>
      <c r="N160" s="33"/>
      <c r="O160" s="51"/>
      <c r="P160" s="33"/>
      <c r="Q160" s="34">
        <f t="shared" si="57"/>
        <v>0</v>
      </c>
      <c r="R160" s="10"/>
      <c r="S160" s="10"/>
      <c r="T160" s="10"/>
      <c r="U160" s="12">
        <f t="shared" si="58"/>
        <v>0</v>
      </c>
      <c r="W160" s="10">
        <v>35</v>
      </c>
      <c r="X160" s="32"/>
      <c r="Y160" s="33"/>
      <c r="Z160" s="51"/>
      <c r="AA160" s="33"/>
      <c r="AB160" s="34">
        <f t="shared" si="59"/>
        <v>0</v>
      </c>
      <c r="AC160" s="10"/>
      <c r="AD160" s="10"/>
      <c r="AE160" s="10"/>
      <c r="AF160" s="12">
        <f t="shared" si="60"/>
        <v>0</v>
      </c>
    </row>
    <row r="161" spans="1:44" x14ac:dyDescent="0.25">
      <c r="A161" s="10"/>
      <c r="B161" s="32"/>
      <c r="C161" s="33"/>
      <c r="D161" s="34"/>
      <c r="E161" s="34"/>
      <c r="F161" s="34"/>
      <c r="G161" s="10"/>
      <c r="H161" s="10"/>
      <c r="I161" s="10"/>
      <c r="J161" s="12"/>
      <c r="L161" s="10">
        <v>36</v>
      </c>
      <c r="M161" s="32"/>
      <c r="N161" s="33"/>
      <c r="O161" s="51"/>
      <c r="P161" s="33"/>
      <c r="Q161" s="34">
        <f t="shared" si="57"/>
        <v>0</v>
      </c>
      <c r="R161" s="10"/>
      <c r="S161" s="10"/>
      <c r="T161" s="10"/>
      <c r="U161" s="12">
        <f t="shared" si="58"/>
        <v>0</v>
      </c>
      <c r="W161" s="10">
        <v>36</v>
      </c>
      <c r="X161" s="32"/>
      <c r="Y161" s="33"/>
      <c r="Z161" s="51"/>
      <c r="AA161" s="33"/>
      <c r="AB161" s="34">
        <f t="shared" si="59"/>
        <v>0</v>
      </c>
      <c r="AC161" s="10"/>
      <c r="AD161" s="10"/>
      <c r="AE161" s="10"/>
      <c r="AF161" s="12">
        <f t="shared" si="60"/>
        <v>0</v>
      </c>
    </row>
    <row r="162" spans="1:44" x14ac:dyDescent="0.25">
      <c r="A162" s="10"/>
      <c r="B162" s="32"/>
      <c r="C162" s="33"/>
      <c r="D162" s="34"/>
      <c r="E162" s="34"/>
      <c r="F162" s="34"/>
      <c r="G162" s="10"/>
      <c r="H162" s="10"/>
      <c r="I162" s="10"/>
      <c r="J162" s="12"/>
      <c r="L162" s="10">
        <v>37</v>
      </c>
      <c r="M162" s="32"/>
      <c r="N162" s="33"/>
      <c r="O162" s="51"/>
      <c r="P162" s="33"/>
      <c r="Q162" s="34">
        <f t="shared" si="57"/>
        <v>0</v>
      </c>
      <c r="R162" s="10"/>
      <c r="S162" s="10"/>
      <c r="T162" s="10"/>
      <c r="U162" s="12">
        <f t="shared" si="58"/>
        <v>0</v>
      </c>
      <c r="W162" s="10">
        <v>37</v>
      </c>
      <c r="X162" s="32"/>
      <c r="Y162" s="33"/>
      <c r="Z162" s="51"/>
      <c r="AA162" s="33"/>
      <c r="AB162" s="34">
        <f t="shared" si="59"/>
        <v>0</v>
      </c>
      <c r="AC162" s="10"/>
      <c r="AD162" s="10"/>
      <c r="AE162" s="10"/>
      <c r="AF162" s="12">
        <f t="shared" si="60"/>
        <v>0</v>
      </c>
    </row>
    <row r="163" spans="1:44" x14ac:dyDescent="0.25">
      <c r="A163" s="10"/>
      <c r="B163" s="32"/>
      <c r="C163" s="33"/>
      <c r="D163" s="34"/>
      <c r="E163" s="34"/>
      <c r="F163" s="34"/>
      <c r="G163" s="10"/>
      <c r="H163" s="10"/>
      <c r="I163" s="10"/>
      <c r="J163" s="12"/>
      <c r="L163" s="10">
        <v>38</v>
      </c>
      <c r="M163" s="32"/>
      <c r="N163" s="33"/>
      <c r="O163" s="51"/>
      <c r="P163" s="33"/>
      <c r="Q163" s="34">
        <f t="shared" si="57"/>
        <v>0</v>
      </c>
      <c r="R163" s="10"/>
      <c r="S163" s="10"/>
      <c r="T163" s="10"/>
      <c r="U163" s="12">
        <f t="shared" si="58"/>
        <v>0</v>
      </c>
      <c r="W163" s="10">
        <v>38</v>
      </c>
      <c r="X163" s="32"/>
      <c r="Y163" s="33"/>
      <c r="Z163" s="51"/>
      <c r="AA163" s="33"/>
      <c r="AB163" s="34">
        <f t="shared" si="59"/>
        <v>0</v>
      </c>
      <c r="AC163" s="10"/>
      <c r="AD163" s="10"/>
      <c r="AE163" s="10"/>
      <c r="AF163" s="12">
        <f t="shared" si="60"/>
        <v>0</v>
      </c>
    </row>
    <row r="164" spans="1:44" x14ac:dyDescent="0.25">
      <c r="A164" s="10"/>
      <c r="B164" s="32"/>
      <c r="C164" s="33"/>
      <c r="D164" s="34"/>
      <c r="E164" s="34"/>
      <c r="F164" s="34"/>
      <c r="G164" s="10"/>
      <c r="H164" s="10"/>
      <c r="I164" s="10"/>
      <c r="J164" s="12"/>
      <c r="L164" s="10">
        <v>39</v>
      </c>
      <c r="M164" s="32"/>
      <c r="N164" s="33"/>
      <c r="O164" s="51"/>
      <c r="P164" s="33"/>
      <c r="Q164" s="34">
        <f t="shared" si="57"/>
        <v>0</v>
      </c>
      <c r="R164" s="10"/>
      <c r="S164" s="10"/>
      <c r="T164" s="10"/>
      <c r="U164" s="12">
        <f t="shared" si="58"/>
        <v>0</v>
      </c>
      <c r="W164" s="10">
        <v>39</v>
      </c>
      <c r="X164" s="32"/>
      <c r="Y164" s="33"/>
      <c r="Z164" s="51"/>
      <c r="AA164" s="33"/>
      <c r="AB164" s="34">
        <f t="shared" si="59"/>
        <v>0</v>
      </c>
      <c r="AC164" s="10"/>
      <c r="AD164" s="10"/>
      <c r="AE164" s="10"/>
      <c r="AF164" s="12">
        <f t="shared" si="60"/>
        <v>0</v>
      </c>
    </row>
    <row r="165" spans="1:44" x14ac:dyDescent="0.25">
      <c r="A165" s="10"/>
      <c r="B165" s="32"/>
      <c r="C165" s="33"/>
      <c r="D165" s="34"/>
      <c r="E165" s="34"/>
      <c r="F165" s="34"/>
      <c r="G165" s="10"/>
      <c r="H165" s="10"/>
      <c r="I165" s="10"/>
      <c r="J165" s="12"/>
      <c r="L165" s="10"/>
      <c r="M165" s="32"/>
      <c r="O165" s="51"/>
      <c r="P165" s="33"/>
      <c r="Q165" s="34"/>
      <c r="R165" s="10"/>
      <c r="S165" s="10"/>
      <c r="T165" s="10"/>
      <c r="U165" s="12">
        <f t="shared" si="58"/>
        <v>0</v>
      </c>
      <c r="W165" s="10"/>
      <c r="X165" s="32"/>
      <c r="Z165" s="51"/>
      <c r="AA165" s="33"/>
      <c r="AB165" s="34"/>
      <c r="AC165" s="10"/>
      <c r="AD165" s="10"/>
      <c r="AE165" s="10"/>
      <c r="AF165" s="12">
        <f t="shared" si="60"/>
        <v>0</v>
      </c>
    </row>
    <row r="166" spans="1:44" x14ac:dyDescent="0.25">
      <c r="A166" s="10"/>
      <c r="B166" s="32"/>
      <c r="C166" s="33"/>
      <c r="D166" s="34"/>
      <c r="E166" s="34"/>
      <c r="F166" s="34">
        <f t="shared" ref="F166" si="61">SUM(D166:E166)</f>
        <v>0</v>
      </c>
      <c r="G166" s="10"/>
      <c r="H166" s="10"/>
      <c r="I166" s="10"/>
      <c r="J166" s="12">
        <f t="shared" ref="J166" si="62">SUM(F166:I166)</f>
        <v>0</v>
      </c>
      <c r="L166" s="10"/>
      <c r="M166" s="32"/>
      <c r="N166" s="33"/>
      <c r="O166" s="51"/>
      <c r="P166" s="33"/>
      <c r="Q166" s="34">
        <f t="shared" ref="Q166" si="63">SUM(O166:P166)</f>
        <v>0</v>
      </c>
      <c r="R166" s="10"/>
      <c r="S166" s="10"/>
      <c r="T166" s="10"/>
      <c r="U166" s="12">
        <f t="shared" si="58"/>
        <v>0</v>
      </c>
      <c r="W166" s="10"/>
      <c r="X166" s="32"/>
      <c r="Y166" s="33"/>
      <c r="Z166" s="51"/>
      <c r="AA166" s="33"/>
      <c r="AB166" s="34">
        <f t="shared" ref="AB166" si="64">SUM(Z166:AA166)</f>
        <v>0</v>
      </c>
      <c r="AC166" s="10"/>
      <c r="AD166" s="10"/>
      <c r="AE166" s="10"/>
      <c r="AF166" s="12">
        <f t="shared" si="60"/>
        <v>0</v>
      </c>
    </row>
    <row r="167" spans="1:44" x14ac:dyDescent="0.25">
      <c r="A167" s="10"/>
      <c r="B167" s="32"/>
      <c r="C167" s="32"/>
      <c r="D167" s="34"/>
      <c r="E167" s="34"/>
      <c r="F167" s="34"/>
      <c r="G167" s="10"/>
      <c r="H167" s="10"/>
      <c r="I167" s="10"/>
      <c r="J167" s="12"/>
      <c r="L167" s="10"/>
      <c r="M167" s="33"/>
      <c r="N167" s="33"/>
      <c r="O167" s="33"/>
      <c r="P167" s="33"/>
      <c r="Q167" s="33"/>
      <c r="R167" s="10"/>
      <c r="S167" s="10"/>
      <c r="T167" s="10"/>
      <c r="U167" s="12">
        <f t="shared" si="58"/>
        <v>0</v>
      </c>
      <c r="W167" s="10"/>
      <c r="X167" s="33"/>
      <c r="Y167" s="33"/>
      <c r="Z167" s="33"/>
      <c r="AA167" s="33"/>
      <c r="AB167" s="33"/>
      <c r="AC167" s="10"/>
      <c r="AD167" s="10"/>
      <c r="AE167" s="10"/>
      <c r="AF167" s="12">
        <f t="shared" si="60"/>
        <v>0</v>
      </c>
    </row>
    <row r="168" spans="1:44" x14ac:dyDescent="0.25">
      <c r="B168" s="65"/>
      <c r="C168" s="65"/>
      <c r="D168" s="38"/>
      <c r="E168" s="38"/>
      <c r="F168" s="38"/>
      <c r="G168" s="39"/>
      <c r="H168" s="39"/>
      <c r="I168" s="39"/>
      <c r="J168" s="39"/>
      <c r="M168" s="65"/>
      <c r="N168" s="65"/>
      <c r="O168" s="38"/>
      <c r="P168" s="38"/>
      <c r="Q168" s="38"/>
      <c r="R168" s="39"/>
      <c r="S168" s="39"/>
      <c r="T168" s="39"/>
      <c r="U168" s="39"/>
      <c r="X168" s="65"/>
      <c r="Y168" s="65"/>
      <c r="Z168" s="38"/>
      <c r="AA168" s="38"/>
      <c r="AB168" s="38"/>
      <c r="AC168" s="39"/>
      <c r="AD168" s="39"/>
      <c r="AE168" s="39"/>
      <c r="AF168" s="39"/>
    </row>
    <row r="169" spans="1:44" x14ac:dyDescent="0.25">
      <c r="B169" s="65"/>
      <c r="C169" s="65"/>
      <c r="D169" s="40">
        <f>SUM(D126:D168)</f>
        <v>362791</v>
      </c>
      <c r="E169" s="40">
        <f t="shared" ref="E169" si="65">SUM(E126:E166)</f>
        <v>-4025</v>
      </c>
      <c r="F169" s="40">
        <f>SUM(F126:F168)</f>
        <v>358766</v>
      </c>
      <c r="G169" s="4"/>
      <c r="H169" s="41">
        <f>SUM(H126:H168)</f>
        <v>1182</v>
      </c>
      <c r="I169" s="41">
        <f>SUM(I126:I168)</f>
        <v>-12870</v>
      </c>
      <c r="J169" s="42">
        <f>SUM(J126:J168)</f>
        <v>347078</v>
      </c>
      <c r="M169" s="65"/>
      <c r="N169" s="65"/>
      <c r="O169" s="40">
        <f>SUM(O126:O168)</f>
        <v>441387.5</v>
      </c>
      <c r="P169" s="40">
        <f>SUM(P126:P150)</f>
        <v>-4266</v>
      </c>
      <c r="Q169" s="40">
        <f>SUM(Q126:Q168)</f>
        <v>437121.5</v>
      </c>
      <c r="R169" s="4"/>
      <c r="S169" s="43">
        <f>SUM(S126:S168)</f>
        <v>1431</v>
      </c>
      <c r="T169" s="43">
        <f>SUM(T126:T150)</f>
        <v>-24753</v>
      </c>
      <c r="U169" s="44">
        <f>SUM(U126:U168)</f>
        <v>413799.5</v>
      </c>
      <c r="X169" s="65"/>
      <c r="Y169" s="65"/>
      <c r="Z169" s="40">
        <f>SUM(Z126:Z168)</f>
        <v>325506</v>
      </c>
      <c r="AA169" s="40">
        <f>SUM(AA126:AA150)</f>
        <v>-4419</v>
      </c>
      <c r="AB169" s="40">
        <f>SUM(AB126:AB168)</f>
        <v>321087</v>
      </c>
      <c r="AC169" s="4"/>
      <c r="AD169" s="43">
        <f>SUM(AD126:AD168)</f>
        <v>11352</v>
      </c>
      <c r="AE169" s="43">
        <f>SUM(AE126:AE150)</f>
        <v>-4872</v>
      </c>
      <c r="AF169" s="44">
        <f>SUM(AF126:AF168)</f>
        <v>327567</v>
      </c>
    </row>
    <row r="170" spans="1:44" x14ac:dyDescent="0.25">
      <c r="B170" s="65"/>
      <c r="C170" s="65"/>
      <c r="D170" s="65"/>
      <c r="E170" s="65"/>
      <c r="F170" s="65"/>
      <c r="M170" s="65"/>
      <c r="N170" s="65"/>
      <c r="O170" s="45"/>
      <c r="P170" s="65"/>
      <c r="Q170" s="65"/>
      <c r="X170" s="65"/>
      <c r="Y170" s="65"/>
      <c r="Z170" s="45"/>
      <c r="AA170" s="65"/>
      <c r="AB170" s="65"/>
    </row>
    <row r="171" spans="1:44" x14ac:dyDescent="0.25">
      <c r="B171" s="65"/>
      <c r="C171" s="65"/>
      <c r="D171" s="65"/>
      <c r="E171" s="65"/>
      <c r="F171" s="65"/>
      <c r="M171" s="65"/>
      <c r="N171" s="65"/>
      <c r="O171" s="65"/>
      <c r="P171" s="65"/>
      <c r="Q171" s="65"/>
      <c r="X171" s="65"/>
      <c r="Y171" s="65"/>
      <c r="Z171" s="65"/>
      <c r="AA171" s="65"/>
      <c r="AB171" s="65"/>
    </row>
    <row r="172" spans="1:44" x14ac:dyDescent="0.2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</row>
    <row r="173" spans="1:44" x14ac:dyDescent="0.25">
      <c r="A173" t="s">
        <v>0</v>
      </c>
      <c r="B173" s="68"/>
      <c r="C173" s="68"/>
      <c r="D173" s="68"/>
      <c r="E173" s="68"/>
      <c r="F173" s="68"/>
      <c r="L173" t="s">
        <v>0</v>
      </c>
      <c r="M173" s="68"/>
      <c r="N173" s="68"/>
      <c r="O173" s="68"/>
      <c r="P173" s="68"/>
      <c r="Q173" s="68"/>
      <c r="W173" t="s">
        <v>0</v>
      </c>
      <c r="X173" s="68"/>
      <c r="Y173" s="68"/>
      <c r="Z173" s="68"/>
      <c r="AA173" s="68"/>
      <c r="AB173" s="68"/>
      <c r="AH173" t="s">
        <v>0</v>
      </c>
      <c r="AI173" s="68"/>
      <c r="AJ173" s="68"/>
      <c r="AK173" s="68"/>
      <c r="AL173" s="68"/>
      <c r="AM173" s="68"/>
      <c r="AR173" s="18"/>
    </row>
    <row r="174" spans="1:44" x14ac:dyDescent="0.25">
      <c r="A174" t="s">
        <v>30</v>
      </c>
      <c r="B174" s="68"/>
      <c r="C174" s="68"/>
      <c r="D174" s="68"/>
      <c r="E174" s="68"/>
      <c r="F174" s="68"/>
      <c r="L174" t="s">
        <v>30</v>
      </c>
      <c r="M174" s="68"/>
      <c r="N174" s="68"/>
      <c r="O174" s="68"/>
      <c r="P174" s="68"/>
      <c r="Q174" s="68"/>
      <c r="W174" t="s">
        <v>30</v>
      </c>
      <c r="X174" s="68"/>
      <c r="Y174" s="68"/>
      <c r="Z174" s="68"/>
      <c r="AA174" s="68"/>
      <c r="AB174" s="68"/>
      <c r="AH174" t="s">
        <v>30</v>
      </c>
      <c r="AI174" s="68"/>
      <c r="AJ174" s="68"/>
      <c r="AK174" s="68"/>
      <c r="AL174" s="68"/>
      <c r="AM174" s="68"/>
      <c r="AR174" s="18"/>
    </row>
    <row r="175" spans="1:44" x14ac:dyDescent="0.25">
      <c r="B175" s="68"/>
      <c r="C175" s="68"/>
      <c r="D175" s="68"/>
      <c r="E175" s="68"/>
      <c r="F175" s="68"/>
      <c r="M175" s="68"/>
      <c r="N175" s="68"/>
      <c r="O175" s="68"/>
      <c r="P175" s="68"/>
      <c r="Q175" s="68"/>
      <c r="X175" s="68"/>
      <c r="Y175" s="68"/>
      <c r="Z175" s="68"/>
      <c r="AA175" s="68"/>
      <c r="AB175" s="68"/>
      <c r="AI175" s="68"/>
      <c r="AJ175" s="68"/>
      <c r="AK175" s="68"/>
      <c r="AL175" s="68"/>
      <c r="AM175" s="68"/>
      <c r="AR175" s="18"/>
    </row>
    <row r="176" spans="1:44" x14ac:dyDescent="0.25">
      <c r="A176" s="4" t="s">
        <v>15</v>
      </c>
      <c r="B176" s="68"/>
      <c r="C176" s="68"/>
      <c r="D176" s="68"/>
      <c r="E176" s="68"/>
      <c r="F176" s="68"/>
      <c r="L176" s="4" t="s">
        <v>15</v>
      </c>
      <c r="M176" s="68"/>
      <c r="N176" s="68"/>
      <c r="O176" s="68"/>
      <c r="P176" s="68"/>
      <c r="Q176" s="68"/>
      <c r="W176" s="4" t="s">
        <v>15</v>
      </c>
      <c r="X176" s="68"/>
      <c r="Y176" s="68"/>
      <c r="Z176" s="68"/>
      <c r="AA176" s="68"/>
      <c r="AB176" s="68"/>
      <c r="AH176" s="4" t="s">
        <v>15</v>
      </c>
      <c r="AI176" s="68"/>
      <c r="AJ176" s="68"/>
      <c r="AK176" s="68"/>
      <c r="AL176" s="68"/>
      <c r="AM176" s="68"/>
      <c r="AR176" s="18"/>
    </row>
    <row r="177" spans="1:44" x14ac:dyDescent="0.25">
      <c r="B177" s="68"/>
      <c r="C177" s="68"/>
      <c r="D177" s="68"/>
      <c r="E177" s="68"/>
      <c r="F177" s="68"/>
      <c r="M177" s="68"/>
      <c r="N177" s="68"/>
      <c r="O177" s="68"/>
      <c r="P177" s="68"/>
      <c r="Q177" s="68"/>
      <c r="X177" s="68"/>
      <c r="Y177" s="68"/>
      <c r="Z177" s="68"/>
      <c r="AA177" s="68"/>
      <c r="AB177" s="68"/>
      <c r="AI177" s="68"/>
      <c r="AJ177" s="68"/>
      <c r="AK177" s="68"/>
      <c r="AL177" s="68"/>
      <c r="AM177" s="68"/>
      <c r="AR177" s="18"/>
    </row>
    <row r="178" spans="1:44" ht="15.75" x14ac:dyDescent="0.25">
      <c r="A178" t="s">
        <v>32</v>
      </c>
      <c r="B178" s="68"/>
      <c r="C178" s="68"/>
      <c r="D178" s="68"/>
      <c r="E178" s="68"/>
      <c r="F178" s="68"/>
      <c r="H178" s="68" t="s">
        <v>16</v>
      </c>
      <c r="I178" s="19">
        <v>1</v>
      </c>
      <c r="L178" t="s">
        <v>32</v>
      </c>
      <c r="M178" s="68"/>
      <c r="N178" s="68"/>
      <c r="O178" s="68"/>
      <c r="P178" s="68"/>
      <c r="Q178" s="68"/>
      <c r="S178" s="68" t="s">
        <v>16</v>
      </c>
      <c r="T178" s="19">
        <v>2</v>
      </c>
      <c r="W178" t="s">
        <v>32</v>
      </c>
      <c r="X178" s="68"/>
      <c r="Y178" s="68"/>
      <c r="Z178" s="68"/>
      <c r="AA178" s="68"/>
      <c r="AB178" s="68"/>
      <c r="AD178" s="68" t="s">
        <v>16</v>
      </c>
      <c r="AE178" s="20">
        <v>3</v>
      </c>
      <c r="AH178" t="s">
        <v>32</v>
      </c>
      <c r="AI178" s="68"/>
      <c r="AJ178" s="68"/>
      <c r="AK178" s="68"/>
      <c r="AL178" s="68"/>
      <c r="AM178" s="68"/>
      <c r="AO178" s="68" t="s">
        <v>16</v>
      </c>
      <c r="AP178" s="20">
        <v>4</v>
      </c>
      <c r="AR178" s="18"/>
    </row>
    <row r="179" spans="1:44" x14ac:dyDescent="0.25">
      <c r="A179" s="21" t="s">
        <v>52</v>
      </c>
      <c r="B179" s="20"/>
      <c r="C179" s="68"/>
      <c r="D179" s="68"/>
      <c r="E179" s="68"/>
      <c r="F179" s="68"/>
      <c r="H179" s="22" t="s">
        <v>17</v>
      </c>
      <c r="I179" s="23" t="s">
        <v>46</v>
      </c>
      <c r="J179" s="24"/>
      <c r="L179" s="21" t="s">
        <v>52</v>
      </c>
      <c r="M179" s="20"/>
      <c r="N179" s="68"/>
      <c r="O179" s="68"/>
      <c r="P179" s="68"/>
      <c r="Q179" s="68"/>
      <c r="S179" s="22" t="s">
        <v>17</v>
      </c>
      <c r="T179" s="23" t="s">
        <v>34</v>
      </c>
      <c r="U179" s="24"/>
      <c r="W179" s="21" t="s">
        <v>52</v>
      </c>
      <c r="X179" s="20"/>
      <c r="Y179" s="68"/>
      <c r="Z179" s="68"/>
      <c r="AA179" s="68"/>
      <c r="AB179" s="68"/>
      <c r="AD179" s="22" t="s">
        <v>17</v>
      </c>
      <c r="AE179" s="23" t="s">
        <v>47</v>
      </c>
      <c r="AF179" s="24"/>
      <c r="AH179" s="21" t="s">
        <v>52</v>
      </c>
      <c r="AI179" s="20"/>
      <c r="AJ179" s="68"/>
      <c r="AK179" s="68"/>
      <c r="AL179" s="68"/>
      <c r="AM179" s="68"/>
      <c r="AO179" s="22" t="s">
        <v>17</v>
      </c>
      <c r="AP179" s="23" t="s">
        <v>53</v>
      </c>
      <c r="AQ179" s="24"/>
      <c r="AR179" s="18"/>
    </row>
    <row r="180" spans="1:44" x14ac:dyDescent="0.25">
      <c r="B180" s="68"/>
      <c r="C180" s="68"/>
      <c r="D180" s="68"/>
      <c r="E180" s="68"/>
      <c r="F180" s="68"/>
      <c r="M180" s="68"/>
      <c r="N180" s="68"/>
      <c r="O180" s="68"/>
      <c r="P180" s="68"/>
      <c r="Q180" s="68"/>
      <c r="X180" s="68"/>
      <c r="Y180" s="68"/>
      <c r="Z180" s="68"/>
      <c r="AA180" s="68"/>
      <c r="AB180" s="68"/>
      <c r="AI180" s="68"/>
      <c r="AJ180" s="68"/>
      <c r="AK180" s="68"/>
      <c r="AL180" s="68"/>
      <c r="AM180" s="68"/>
      <c r="AR180" s="18"/>
    </row>
    <row r="181" spans="1:44" x14ac:dyDescent="0.25">
      <c r="B181" s="25"/>
      <c r="C181" s="26"/>
      <c r="D181" s="79" t="s">
        <v>18</v>
      </c>
      <c r="E181" s="79"/>
      <c r="F181" s="27"/>
      <c r="H181" s="77" t="s">
        <v>19</v>
      </c>
      <c r="I181" s="78"/>
      <c r="J181" s="75" t="s">
        <v>20</v>
      </c>
      <c r="M181" s="25"/>
      <c r="N181" s="26"/>
      <c r="O181" s="79" t="s">
        <v>18</v>
      </c>
      <c r="P181" s="79"/>
      <c r="Q181" s="27"/>
      <c r="S181" s="77" t="s">
        <v>19</v>
      </c>
      <c r="T181" s="78"/>
      <c r="U181" s="75" t="s">
        <v>20</v>
      </c>
      <c r="X181" s="25"/>
      <c r="Y181" s="26"/>
      <c r="Z181" s="79" t="s">
        <v>18</v>
      </c>
      <c r="AA181" s="79"/>
      <c r="AB181" s="27"/>
      <c r="AD181" s="77" t="s">
        <v>19</v>
      </c>
      <c r="AE181" s="78"/>
      <c r="AF181" s="75" t="s">
        <v>20</v>
      </c>
      <c r="AI181" s="25"/>
      <c r="AJ181" s="26"/>
      <c r="AK181" s="79" t="s">
        <v>18</v>
      </c>
      <c r="AL181" s="79"/>
      <c r="AM181" s="27"/>
      <c r="AO181" s="77" t="s">
        <v>19</v>
      </c>
      <c r="AP181" s="78"/>
      <c r="AQ181" s="75" t="s">
        <v>20</v>
      </c>
      <c r="AR181" s="18"/>
    </row>
    <row r="182" spans="1:44" ht="30" x14ac:dyDescent="0.25">
      <c r="B182" s="28" t="s">
        <v>21</v>
      </c>
      <c r="C182" s="28" t="s">
        <v>22</v>
      </c>
      <c r="D182" s="29" t="s">
        <v>23</v>
      </c>
      <c r="E182" s="30" t="s">
        <v>24</v>
      </c>
      <c r="F182" s="30" t="s">
        <v>25</v>
      </c>
      <c r="H182" s="31" t="s">
        <v>26</v>
      </c>
      <c r="I182" s="31" t="s">
        <v>27</v>
      </c>
      <c r="J182" s="76"/>
      <c r="M182" s="28" t="s">
        <v>21</v>
      </c>
      <c r="N182" s="28" t="s">
        <v>22</v>
      </c>
      <c r="O182" s="29" t="s">
        <v>23</v>
      </c>
      <c r="P182" s="30" t="s">
        <v>24</v>
      </c>
      <c r="Q182" s="30" t="s">
        <v>25</v>
      </c>
      <c r="S182" s="31" t="s">
        <v>26</v>
      </c>
      <c r="T182" s="31" t="s">
        <v>27</v>
      </c>
      <c r="U182" s="76"/>
      <c r="X182" s="28" t="s">
        <v>21</v>
      </c>
      <c r="Y182" s="28" t="s">
        <v>22</v>
      </c>
      <c r="Z182" s="29" t="s">
        <v>23</v>
      </c>
      <c r="AA182" s="30" t="s">
        <v>24</v>
      </c>
      <c r="AB182" s="30" t="s">
        <v>25</v>
      </c>
      <c r="AD182" s="31" t="s">
        <v>26</v>
      </c>
      <c r="AE182" s="31" t="s">
        <v>27</v>
      </c>
      <c r="AF182" s="76"/>
      <c r="AI182" s="28" t="s">
        <v>21</v>
      </c>
      <c r="AJ182" s="28" t="s">
        <v>22</v>
      </c>
      <c r="AK182" s="29" t="s">
        <v>23</v>
      </c>
      <c r="AL182" s="30" t="s">
        <v>24</v>
      </c>
      <c r="AM182" s="30" t="s">
        <v>25</v>
      </c>
      <c r="AO182" s="31" t="s">
        <v>26</v>
      </c>
      <c r="AP182" s="31" t="s">
        <v>27</v>
      </c>
      <c r="AQ182" s="76"/>
      <c r="AR182" s="18"/>
    </row>
    <row r="183" spans="1:44" x14ac:dyDescent="0.25">
      <c r="A183" s="10">
        <v>1</v>
      </c>
      <c r="B183" s="32">
        <v>45297</v>
      </c>
      <c r="C183" s="33">
        <v>7064</v>
      </c>
      <c r="D183" s="34">
        <f>1025</f>
        <v>1025</v>
      </c>
      <c r="E183" s="34"/>
      <c r="F183" s="34">
        <f t="shared" ref="F183:F216" si="66">SUM(D183:E183)</f>
        <v>1025</v>
      </c>
      <c r="G183" s="12"/>
      <c r="H183" s="12"/>
      <c r="I183" s="12"/>
      <c r="J183" s="12">
        <f t="shared" ref="J183:J216" si="67">SUM(F183:I183)</f>
        <v>1025</v>
      </c>
      <c r="L183" s="10">
        <v>1</v>
      </c>
      <c r="M183" s="32">
        <v>45297</v>
      </c>
      <c r="N183" s="33">
        <v>6993</v>
      </c>
      <c r="O183" s="34">
        <f>18154+614+205</f>
        <v>18973</v>
      </c>
      <c r="P183" s="34"/>
      <c r="Q183" s="34">
        <f>SUM(O183:P183)</f>
        <v>18973</v>
      </c>
      <c r="R183" s="12"/>
      <c r="S183" s="12"/>
      <c r="T183" s="12"/>
      <c r="U183" s="12">
        <f>SUM(Q183:T183)</f>
        <v>18973</v>
      </c>
      <c r="W183" s="10">
        <v>1</v>
      </c>
      <c r="X183" s="32">
        <v>45297</v>
      </c>
      <c r="Y183" s="33">
        <v>7008</v>
      </c>
      <c r="Z183" s="34">
        <f>626+8.5</f>
        <v>634.5</v>
      </c>
      <c r="AA183" s="34"/>
      <c r="AB183" s="34">
        <f>SUM(Z183:AA183)</f>
        <v>634.5</v>
      </c>
      <c r="AC183" s="12"/>
      <c r="AD183" s="12"/>
      <c r="AE183" s="12">
        <v>-3330</v>
      </c>
      <c r="AF183" s="12">
        <f>SUM(AB183:AE183)</f>
        <v>-2695.5</v>
      </c>
      <c r="AH183" s="10">
        <v>1</v>
      </c>
      <c r="AI183" s="32">
        <v>45297</v>
      </c>
      <c r="AJ183" s="33">
        <v>6753</v>
      </c>
      <c r="AK183" s="34">
        <f>626+852</f>
        <v>1478</v>
      </c>
      <c r="AL183" s="34"/>
      <c r="AM183" s="34">
        <f>SUM(AK183:AL183)</f>
        <v>1478</v>
      </c>
      <c r="AN183" s="12"/>
      <c r="AO183" s="12">
        <f>111+120</f>
        <v>231</v>
      </c>
      <c r="AP183" s="12"/>
      <c r="AQ183" s="12">
        <f>SUM(AM183:AP183)</f>
        <v>1709</v>
      </c>
      <c r="AR183" s="18"/>
    </row>
    <row r="184" spans="1:44" x14ac:dyDescent="0.25">
      <c r="A184" s="10">
        <v>2</v>
      </c>
      <c r="B184" s="32">
        <v>45297</v>
      </c>
      <c r="C184" s="33">
        <f>C183+1</f>
        <v>7065</v>
      </c>
      <c r="D184" s="34">
        <f>626*7+614+1192+76.5</f>
        <v>6264.5</v>
      </c>
      <c r="E184" s="34"/>
      <c r="F184" s="34">
        <f t="shared" si="66"/>
        <v>6264.5</v>
      </c>
      <c r="G184" s="12"/>
      <c r="H184" s="12"/>
      <c r="I184" s="12"/>
      <c r="J184" s="12">
        <f t="shared" si="67"/>
        <v>6264.5</v>
      </c>
      <c r="L184" s="10">
        <v>2</v>
      </c>
      <c r="M184" s="32">
        <v>45297</v>
      </c>
      <c r="N184" s="33">
        <f>N183+1</f>
        <v>6994</v>
      </c>
      <c r="O184" s="34">
        <f>8764+59.5</f>
        <v>8823.5</v>
      </c>
      <c r="P184" s="34"/>
      <c r="Q184" s="34">
        <f t="shared" ref="Q184:Q215" si="68">SUM(O184:P184)</f>
        <v>8823.5</v>
      </c>
      <c r="R184" s="12"/>
      <c r="S184" s="12"/>
      <c r="T184" s="12"/>
      <c r="U184" s="12">
        <f t="shared" ref="U184:U215" si="69">SUM(Q184:T184)</f>
        <v>8823.5</v>
      </c>
      <c r="W184" s="10">
        <v>2</v>
      </c>
      <c r="X184" s="32">
        <v>45297</v>
      </c>
      <c r="Y184" s="33">
        <f>Y183+1</f>
        <v>7009</v>
      </c>
      <c r="Z184" s="34">
        <f>50080+12280+5960+820</f>
        <v>69140</v>
      </c>
      <c r="AA184" s="34">
        <v>-880</v>
      </c>
      <c r="AB184" s="34">
        <f t="shared" ref="AB184:AB186" si="70">SUM(Z184:AA184)</f>
        <v>68260</v>
      </c>
      <c r="AC184" s="12"/>
      <c r="AD184" s="12">
        <v>111</v>
      </c>
      <c r="AE184" s="12"/>
      <c r="AF184" s="12">
        <f t="shared" ref="AF184:AF215" si="71">SUM(AB184:AE184)</f>
        <v>68371</v>
      </c>
      <c r="AH184" s="10">
        <v>2</v>
      </c>
      <c r="AI184" s="32">
        <v>45297</v>
      </c>
      <c r="AJ184" s="33">
        <f>AJ183+1</f>
        <v>6754</v>
      </c>
      <c r="AK184" s="34">
        <v>4382</v>
      </c>
      <c r="AL184" s="34"/>
      <c r="AM184" s="34">
        <f t="shared" ref="AM184:AM186" si="72">SUM(AK184:AL184)</f>
        <v>4382</v>
      </c>
      <c r="AN184" s="12"/>
      <c r="AO184" s="12">
        <v>777</v>
      </c>
      <c r="AP184" s="12"/>
      <c r="AQ184" s="12">
        <f t="shared" ref="AQ184:AQ215" si="73">SUM(AM184:AP184)</f>
        <v>5159</v>
      </c>
      <c r="AR184" s="18"/>
    </row>
    <row r="185" spans="1:44" x14ac:dyDescent="0.25">
      <c r="A185" s="10">
        <v>3</v>
      </c>
      <c r="B185" s="32">
        <v>45297</v>
      </c>
      <c r="C185" s="33">
        <f t="shared" ref="C185:C207" si="74">C184+1</f>
        <v>7066</v>
      </c>
      <c r="D185" s="35">
        <f>596+8.5</f>
        <v>604.5</v>
      </c>
      <c r="E185" s="35"/>
      <c r="F185" s="35">
        <f t="shared" si="66"/>
        <v>604.5</v>
      </c>
      <c r="G185" s="36"/>
      <c r="H185" s="36"/>
      <c r="I185" s="36"/>
      <c r="J185" s="36">
        <f t="shared" si="67"/>
        <v>604.5</v>
      </c>
      <c r="L185" s="10">
        <v>3</v>
      </c>
      <c r="M185" s="32">
        <v>45297</v>
      </c>
      <c r="N185" s="33">
        <f t="shared" ref="N185:N209" si="75">N184+1</f>
        <v>6995</v>
      </c>
      <c r="O185" s="34">
        <f>4382+59.5</f>
        <v>4441.5</v>
      </c>
      <c r="P185" s="34"/>
      <c r="Q185" s="34">
        <f t="shared" si="68"/>
        <v>4441.5</v>
      </c>
      <c r="R185" s="12"/>
      <c r="S185" s="12"/>
      <c r="T185" s="12"/>
      <c r="U185" s="12">
        <f t="shared" si="69"/>
        <v>4441.5</v>
      </c>
      <c r="W185" s="10">
        <v>3</v>
      </c>
      <c r="X185" s="32">
        <v>45297</v>
      </c>
      <c r="Y185" s="33">
        <f t="shared" ref="Y185:Y187" si="76">Y184+1</f>
        <v>7010</v>
      </c>
      <c r="Z185" s="34">
        <f>626*150+596*50+852+205*8+650</f>
        <v>126842</v>
      </c>
      <c r="AA185" s="34">
        <v>-1800</v>
      </c>
      <c r="AB185" s="34">
        <f t="shared" si="70"/>
        <v>125042</v>
      </c>
      <c r="AC185" s="12"/>
      <c r="AD185" s="12"/>
      <c r="AE185" s="12"/>
      <c r="AF185" s="12">
        <f t="shared" si="71"/>
        <v>125042</v>
      </c>
      <c r="AH185" s="10">
        <v>3</v>
      </c>
      <c r="AI185" s="32"/>
      <c r="AJ185" s="11" t="s">
        <v>28</v>
      </c>
      <c r="AK185" s="34"/>
      <c r="AL185" s="34"/>
      <c r="AM185" s="34">
        <f t="shared" si="72"/>
        <v>0</v>
      </c>
      <c r="AN185" s="12"/>
      <c r="AO185" s="12"/>
      <c r="AP185" s="12"/>
      <c r="AQ185" s="12">
        <f t="shared" si="73"/>
        <v>0</v>
      </c>
      <c r="AR185" s="18"/>
    </row>
    <row r="186" spans="1:44" x14ac:dyDescent="0.25">
      <c r="A186" s="10">
        <v>4</v>
      </c>
      <c r="B186" s="32">
        <v>45297</v>
      </c>
      <c r="C186" s="33">
        <f t="shared" si="74"/>
        <v>7067</v>
      </c>
      <c r="D186" s="34">
        <f>626+614+8.5</f>
        <v>1248.5</v>
      </c>
      <c r="E186" s="34"/>
      <c r="F186" s="34">
        <f t="shared" si="66"/>
        <v>1248.5</v>
      </c>
      <c r="G186" s="12"/>
      <c r="H186" s="12"/>
      <c r="I186" s="12"/>
      <c r="J186" s="12">
        <f t="shared" si="67"/>
        <v>1248.5</v>
      </c>
      <c r="L186" s="10">
        <v>4</v>
      </c>
      <c r="M186" s="32">
        <v>45297</v>
      </c>
      <c r="N186" s="33">
        <f t="shared" si="75"/>
        <v>6996</v>
      </c>
      <c r="O186" s="34">
        <f>4382+59.5</f>
        <v>4441.5</v>
      </c>
      <c r="P186" s="34"/>
      <c r="Q186" s="34">
        <f t="shared" si="68"/>
        <v>4441.5</v>
      </c>
      <c r="R186" s="12"/>
      <c r="S186" s="12"/>
      <c r="T186" s="12"/>
      <c r="U186" s="12">
        <f t="shared" si="69"/>
        <v>4441.5</v>
      </c>
      <c r="W186" s="10">
        <v>4</v>
      </c>
      <c r="X186" s="32">
        <v>45297</v>
      </c>
      <c r="Y186" s="33">
        <f t="shared" si="76"/>
        <v>7011</v>
      </c>
      <c r="Z186" s="34">
        <f>626*105+596*50+832+205*6</f>
        <v>97592</v>
      </c>
      <c r="AA186" s="34"/>
      <c r="AB186" s="34">
        <f t="shared" si="70"/>
        <v>97592</v>
      </c>
      <c r="AC186" s="12"/>
      <c r="AD186">
        <v>17793</v>
      </c>
      <c r="AE186" s="12"/>
      <c r="AF186" s="12">
        <f t="shared" si="71"/>
        <v>115385</v>
      </c>
      <c r="AH186" s="10">
        <v>4</v>
      </c>
      <c r="AI186" s="32"/>
      <c r="AJ186" s="33"/>
      <c r="AL186" s="34"/>
      <c r="AM186" s="34">
        <f t="shared" si="72"/>
        <v>0</v>
      </c>
      <c r="AN186" s="12"/>
      <c r="AP186" s="12"/>
      <c r="AQ186" s="12">
        <f t="shared" si="73"/>
        <v>0</v>
      </c>
      <c r="AR186" s="18"/>
    </row>
    <row r="187" spans="1:44" x14ac:dyDescent="0.25">
      <c r="A187" s="10">
        <v>5</v>
      </c>
      <c r="B187" s="32">
        <v>45297</v>
      </c>
      <c r="C187" s="33">
        <f t="shared" si="74"/>
        <v>7068</v>
      </c>
      <c r="D187" s="34">
        <f>1878+1192+42.5</f>
        <v>3112.5</v>
      </c>
      <c r="E187" s="34"/>
      <c r="F187" s="34">
        <f t="shared" si="66"/>
        <v>3112.5</v>
      </c>
      <c r="G187" s="12"/>
      <c r="H187" s="12"/>
      <c r="I187" s="12"/>
      <c r="J187" s="12">
        <f t="shared" si="67"/>
        <v>3112.5</v>
      </c>
      <c r="L187" s="10">
        <v>5</v>
      </c>
      <c r="M187" s="32">
        <v>45297</v>
      </c>
      <c r="N187" s="33">
        <f t="shared" si="75"/>
        <v>6997</v>
      </c>
      <c r="O187" s="34">
        <f>3756+596+59.5</f>
        <v>4411.5</v>
      </c>
      <c r="P187" s="34"/>
      <c r="Q187" s="34">
        <f t="shared" si="68"/>
        <v>4411.5</v>
      </c>
      <c r="R187" s="12"/>
      <c r="S187" s="12"/>
      <c r="T187" s="12"/>
      <c r="U187" s="12">
        <f t="shared" si="69"/>
        <v>4411.5</v>
      </c>
      <c r="W187" s="10">
        <v>5</v>
      </c>
      <c r="X187" s="32">
        <v>45297</v>
      </c>
      <c r="Y187" s="33">
        <f t="shared" si="76"/>
        <v>7012</v>
      </c>
      <c r="Z187" s="34">
        <f>3130+42.5</f>
        <v>3172.5</v>
      </c>
      <c r="AA187" s="34"/>
      <c r="AB187" s="34">
        <f t="shared" ref="AB187:AB192" si="77">SUM(Z187:AA187)</f>
        <v>3172.5</v>
      </c>
      <c r="AC187" s="12"/>
      <c r="AD187" s="12"/>
      <c r="AE187" s="12"/>
      <c r="AF187" s="12">
        <f t="shared" si="71"/>
        <v>3172.5</v>
      </c>
      <c r="AH187" s="10">
        <v>5</v>
      </c>
      <c r="AI187" s="32"/>
      <c r="AJ187" s="33"/>
      <c r="AK187" s="34"/>
      <c r="AL187" s="34"/>
      <c r="AM187" s="34">
        <f t="shared" ref="AM187:AM192" si="78">SUM(AK187:AL187)</f>
        <v>0</v>
      </c>
      <c r="AN187" s="12"/>
      <c r="AO187" s="12"/>
      <c r="AP187" s="12"/>
      <c r="AQ187" s="12">
        <f t="shared" si="73"/>
        <v>0</v>
      </c>
      <c r="AR187" s="18"/>
    </row>
    <row r="188" spans="1:44" x14ac:dyDescent="0.25">
      <c r="A188" s="10">
        <v>6</v>
      </c>
      <c r="B188" s="32">
        <v>45297</v>
      </c>
      <c r="C188" s="33">
        <f t="shared" si="74"/>
        <v>7069</v>
      </c>
      <c r="D188" s="34">
        <f>2504+614+1788+59.5</f>
        <v>4965.5</v>
      </c>
      <c r="E188" s="34"/>
      <c r="F188" s="34">
        <f t="shared" si="66"/>
        <v>4965.5</v>
      </c>
      <c r="G188" s="12"/>
      <c r="H188" s="12">
        <v>7.5</v>
      </c>
      <c r="I188" s="12"/>
      <c r="J188" s="12">
        <f t="shared" si="67"/>
        <v>4973</v>
      </c>
      <c r="L188" s="10">
        <v>6</v>
      </c>
      <c r="M188" s="32">
        <v>45297</v>
      </c>
      <c r="N188" s="33">
        <f t="shared" si="75"/>
        <v>6998</v>
      </c>
      <c r="O188" s="34">
        <f>2504+596+832+42.5+674</f>
        <v>4648.5</v>
      </c>
      <c r="P188" s="34"/>
      <c r="Q188" s="34">
        <f t="shared" si="68"/>
        <v>4648.5</v>
      </c>
      <c r="R188" s="12"/>
      <c r="S188" s="12"/>
      <c r="T188" s="10"/>
      <c r="U188" s="12">
        <f t="shared" si="69"/>
        <v>4648.5</v>
      </c>
      <c r="W188" s="10">
        <v>6</v>
      </c>
      <c r="X188" s="32"/>
      <c r="Y188" s="11" t="s">
        <v>28</v>
      </c>
      <c r="Z188" s="34"/>
      <c r="AA188" s="34"/>
      <c r="AB188" s="34">
        <f t="shared" si="77"/>
        <v>0</v>
      </c>
      <c r="AC188" s="12"/>
      <c r="AD188" s="12"/>
      <c r="AE188" s="10"/>
      <c r="AF188" s="12">
        <f t="shared" si="71"/>
        <v>0</v>
      </c>
      <c r="AH188" s="10">
        <v>6</v>
      </c>
      <c r="AI188" s="32"/>
      <c r="AJ188" s="33"/>
      <c r="AK188" s="34"/>
      <c r="AL188" s="34"/>
      <c r="AM188" s="34">
        <f t="shared" si="78"/>
        <v>0</v>
      </c>
      <c r="AN188" s="12"/>
      <c r="AO188" s="12"/>
      <c r="AP188" s="10"/>
      <c r="AQ188" s="12">
        <f t="shared" si="73"/>
        <v>0</v>
      </c>
      <c r="AR188" s="18"/>
    </row>
    <row r="189" spans="1:44" x14ac:dyDescent="0.25">
      <c r="A189" s="10">
        <v>7</v>
      </c>
      <c r="B189" s="32">
        <v>45297</v>
      </c>
      <c r="C189" s="33">
        <f t="shared" si="74"/>
        <v>7070</v>
      </c>
      <c r="D189" s="34">
        <f>1252+1788+42.5</f>
        <v>3082.5</v>
      </c>
      <c r="E189" s="34"/>
      <c r="F189" s="34">
        <f t="shared" si="66"/>
        <v>3082.5</v>
      </c>
      <c r="G189" s="12"/>
      <c r="H189" s="12"/>
      <c r="I189" s="12"/>
      <c r="J189" s="12">
        <f t="shared" si="67"/>
        <v>3082.5</v>
      </c>
      <c r="L189" s="10">
        <v>7</v>
      </c>
      <c r="M189" s="32">
        <v>45297</v>
      </c>
      <c r="N189" s="33">
        <f t="shared" si="75"/>
        <v>6999</v>
      </c>
      <c r="O189" s="34">
        <f>1252+614+17</f>
        <v>1883</v>
      </c>
      <c r="P189" s="34"/>
      <c r="Q189" s="34">
        <f t="shared" si="68"/>
        <v>1883</v>
      </c>
      <c r="R189" s="12"/>
      <c r="S189" s="12"/>
      <c r="T189" s="12"/>
      <c r="U189" s="12">
        <f t="shared" si="69"/>
        <v>1883</v>
      </c>
      <c r="W189" s="10">
        <v>7</v>
      </c>
      <c r="X189" s="32"/>
      <c r="Y189" s="33"/>
      <c r="Z189" s="34"/>
      <c r="AA189" s="34"/>
      <c r="AB189" s="34">
        <f t="shared" si="77"/>
        <v>0</v>
      </c>
      <c r="AC189" s="12"/>
      <c r="AD189" s="66"/>
      <c r="AE189" s="12"/>
      <c r="AF189" s="12">
        <f t="shared" si="71"/>
        <v>0</v>
      </c>
      <c r="AH189" s="10">
        <v>7</v>
      </c>
      <c r="AI189" s="32"/>
      <c r="AJ189" s="33"/>
      <c r="AK189" s="34"/>
      <c r="AL189" s="34"/>
      <c r="AM189" s="34">
        <f t="shared" si="78"/>
        <v>0</v>
      </c>
      <c r="AN189" s="12"/>
      <c r="AO189" s="66"/>
      <c r="AP189" s="12"/>
      <c r="AQ189" s="12">
        <f t="shared" si="73"/>
        <v>0</v>
      </c>
      <c r="AR189" s="18"/>
    </row>
    <row r="190" spans="1:44" x14ac:dyDescent="0.25">
      <c r="A190" s="10">
        <v>8</v>
      </c>
      <c r="B190" s="32">
        <v>45297</v>
      </c>
      <c r="C190" s="33">
        <f t="shared" si="74"/>
        <v>7071</v>
      </c>
      <c r="D190" s="34">
        <f>626+8.5</f>
        <v>634.5</v>
      </c>
      <c r="E190" s="34"/>
      <c r="F190" s="34">
        <f t="shared" si="66"/>
        <v>634.5</v>
      </c>
      <c r="G190" s="12"/>
      <c r="H190" s="12">
        <v>10.5</v>
      </c>
      <c r="I190" s="12"/>
      <c r="J190" s="12">
        <f t="shared" si="67"/>
        <v>645</v>
      </c>
      <c r="L190" s="10">
        <v>8</v>
      </c>
      <c r="M190" s="32">
        <v>45297</v>
      </c>
      <c r="N190" s="33">
        <f t="shared" si="75"/>
        <v>7000</v>
      </c>
      <c r="O190" s="34">
        <f>626*6+1228+832+42.5</f>
        <v>5858.5</v>
      </c>
      <c r="P190" s="34"/>
      <c r="Q190" s="34">
        <f t="shared" si="68"/>
        <v>5858.5</v>
      </c>
      <c r="R190" s="12"/>
      <c r="S190" s="12">
        <v>67.5</v>
      </c>
      <c r="T190" s="12"/>
      <c r="U190" s="12">
        <f t="shared" si="69"/>
        <v>5926</v>
      </c>
      <c r="W190" s="10">
        <v>8</v>
      </c>
      <c r="X190" s="32"/>
      <c r="Y190" s="33"/>
      <c r="Z190" s="34"/>
      <c r="AB190" s="34">
        <f t="shared" si="77"/>
        <v>0</v>
      </c>
      <c r="AC190" s="12"/>
      <c r="AD190" s="12"/>
      <c r="AE190" s="12"/>
      <c r="AF190" s="12">
        <f t="shared" si="71"/>
        <v>0</v>
      </c>
      <c r="AH190" s="10">
        <v>8</v>
      </c>
      <c r="AI190" s="32"/>
      <c r="AK190" s="34"/>
      <c r="AM190" s="34">
        <f t="shared" si="78"/>
        <v>0</v>
      </c>
      <c r="AN190" s="12"/>
      <c r="AO190" s="12"/>
      <c r="AP190" s="12"/>
      <c r="AQ190" s="12">
        <f t="shared" si="73"/>
        <v>0</v>
      </c>
      <c r="AR190" s="18"/>
    </row>
    <row r="191" spans="1:44" x14ac:dyDescent="0.25">
      <c r="A191" s="10">
        <v>9</v>
      </c>
      <c r="B191" s="32">
        <v>45297</v>
      </c>
      <c r="C191" s="33">
        <f t="shared" si="74"/>
        <v>7072</v>
      </c>
      <c r="D191" s="34">
        <f>626+8.5</f>
        <v>634.5</v>
      </c>
      <c r="E191" s="34"/>
      <c r="F191" s="34">
        <f t="shared" si="66"/>
        <v>634.5</v>
      </c>
      <c r="G191" s="12"/>
      <c r="H191" s="12"/>
      <c r="I191" s="12"/>
      <c r="J191" s="12">
        <f t="shared" si="67"/>
        <v>634.5</v>
      </c>
      <c r="L191" s="10">
        <v>9</v>
      </c>
      <c r="M191" s="32">
        <v>45297</v>
      </c>
      <c r="N191" s="33">
        <v>7151</v>
      </c>
      <c r="O191" s="34">
        <f>3756+51</f>
        <v>3807</v>
      </c>
      <c r="P191" s="34"/>
      <c r="Q191" s="34">
        <f t="shared" si="68"/>
        <v>3807</v>
      </c>
      <c r="R191" s="12"/>
      <c r="S191" s="12"/>
      <c r="T191" s="12"/>
      <c r="U191" s="12">
        <f t="shared" si="69"/>
        <v>3807</v>
      </c>
      <c r="W191" s="10">
        <v>9</v>
      </c>
      <c r="X191" s="32"/>
      <c r="Y191" s="33"/>
      <c r="AA191" s="34"/>
      <c r="AB191" s="34">
        <f t="shared" si="77"/>
        <v>0</v>
      </c>
      <c r="AC191" s="12"/>
      <c r="AE191" s="12"/>
      <c r="AF191" s="12">
        <f t="shared" si="71"/>
        <v>0</v>
      </c>
      <c r="AH191" s="10">
        <v>9</v>
      </c>
      <c r="AI191" s="32"/>
      <c r="AJ191" s="33"/>
      <c r="AL191" s="34"/>
      <c r="AM191" s="34">
        <f t="shared" si="78"/>
        <v>0</v>
      </c>
      <c r="AN191" s="12"/>
      <c r="AP191" s="12"/>
      <c r="AQ191" s="12">
        <f t="shared" si="73"/>
        <v>0</v>
      </c>
      <c r="AR191" s="18"/>
    </row>
    <row r="192" spans="1:44" x14ac:dyDescent="0.25">
      <c r="A192" s="10">
        <v>10</v>
      </c>
      <c r="B192" s="32">
        <v>45297</v>
      </c>
      <c r="C192" s="33">
        <f t="shared" si="74"/>
        <v>7073</v>
      </c>
      <c r="D192" s="34">
        <f>626*8+614*2+596+76.5</f>
        <v>6908.5</v>
      </c>
      <c r="E192" s="34"/>
      <c r="F192" s="34">
        <f t="shared" si="66"/>
        <v>6908.5</v>
      </c>
      <c r="G192" s="12"/>
      <c r="H192" s="12">
        <v>10.5</v>
      </c>
      <c r="I192" s="12"/>
      <c r="J192" s="12">
        <f t="shared" si="67"/>
        <v>6919</v>
      </c>
      <c r="L192" s="10">
        <v>10</v>
      </c>
      <c r="M192" s="32">
        <v>45297</v>
      </c>
      <c r="N192" s="33">
        <f t="shared" si="75"/>
        <v>7152</v>
      </c>
      <c r="O192" s="34">
        <f>1878+25.5</f>
        <v>1903.5</v>
      </c>
      <c r="P192" s="34"/>
      <c r="Q192" s="34">
        <f t="shared" si="68"/>
        <v>1903.5</v>
      </c>
      <c r="R192" s="12"/>
      <c r="S192" s="12"/>
      <c r="T192" s="12"/>
      <c r="U192" s="12">
        <f t="shared" si="69"/>
        <v>1903.5</v>
      </c>
      <c r="W192" s="10">
        <v>10</v>
      </c>
      <c r="X192" s="32"/>
      <c r="Y192" s="33"/>
      <c r="Z192" s="34"/>
      <c r="AA192" s="34"/>
      <c r="AB192" s="34">
        <f t="shared" si="77"/>
        <v>0</v>
      </c>
      <c r="AC192" s="12"/>
      <c r="AD192" s="12"/>
      <c r="AE192" s="12"/>
      <c r="AF192" s="12">
        <f t="shared" si="71"/>
        <v>0</v>
      </c>
      <c r="AH192" s="10">
        <v>10</v>
      </c>
      <c r="AI192" s="32"/>
      <c r="AJ192" s="33"/>
      <c r="AK192" s="34"/>
      <c r="AL192" s="34"/>
      <c r="AM192" s="34">
        <f t="shared" si="78"/>
        <v>0</v>
      </c>
      <c r="AN192" s="12"/>
      <c r="AO192" s="12"/>
      <c r="AP192" s="12"/>
      <c r="AQ192" s="12">
        <f t="shared" si="73"/>
        <v>0</v>
      </c>
      <c r="AR192" s="18"/>
    </row>
    <row r="193" spans="1:44" x14ac:dyDescent="0.25">
      <c r="A193" s="10">
        <v>11</v>
      </c>
      <c r="B193" s="32">
        <v>45297</v>
      </c>
      <c r="C193" s="33">
        <f t="shared" si="74"/>
        <v>7074</v>
      </c>
      <c r="D193" s="34">
        <f>596+8.5</f>
        <v>604.5</v>
      </c>
      <c r="E193" s="34"/>
      <c r="F193" s="34">
        <f t="shared" si="66"/>
        <v>604.5</v>
      </c>
      <c r="G193" s="12"/>
      <c r="H193" s="12"/>
      <c r="I193" s="12"/>
      <c r="J193" s="12">
        <f t="shared" si="67"/>
        <v>604.5</v>
      </c>
      <c r="L193" s="10">
        <v>11</v>
      </c>
      <c r="M193" s="32">
        <v>45297</v>
      </c>
      <c r="N193" s="33">
        <f t="shared" si="75"/>
        <v>7153</v>
      </c>
      <c r="O193" s="34">
        <f>626*11+596+102</f>
        <v>7584</v>
      </c>
      <c r="P193" s="34"/>
      <c r="Q193" s="34">
        <f t="shared" si="68"/>
        <v>7584</v>
      </c>
      <c r="R193" s="12"/>
      <c r="S193" s="12"/>
      <c r="T193" s="12"/>
      <c r="U193" s="12">
        <f t="shared" si="69"/>
        <v>7584</v>
      </c>
      <c r="W193" s="10">
        <v>11</v>
      </c>
      <c r="X193" s="32"/>
      <c r="Y193" s="33"/>
      <c r="Z193" s="34"/>
      <c r="AA193" s="34"/>
      <c r="AB193" s="34">
        <f t="shared" ref="AB193:AB215" si="79">SUM(Z193:AA193)</f>
        <v>0</v>
      </c>
      <c r="AC193" s="12"/>
      <c r="AD193" s="12"/>
      <c r="AE193" s="12"/>
      <c r="AF193" s="12">
        <f t="shared" si="71"/>
        <v>0</v>
      </c>
      <c r="AH193" s="10">
        <v>11</v>
      </c>
      <c r="AI193" s="32"/>
      <c r="AJ193" s="33"/>
      <c r="AK193" s="34"/>
      <c r="AL193" s="34"/>
      <c r="AM193" s="34">
        <f t="shared" ref="AM193:AM221" si="80">SUM(AK193:AL193)</f>
        <v>0</v>
      </c>
      <c r="AN193" s="12"/>
      <c r="AO193" s="12"/>
      <c r="AP193" s="12"/>
      <c r="AQ193" s="12">
        <f t="shared" si="73"/>
        <v>0</v>
      </c>
      <c r="AR193" s="18"/>
    </row>
    <row r="194" spans="1:44" x14ac:dyDescent="0.25">
      <c r="A194" s="10">
        <v>12</v>
      </c>
      <c r="B194" s="32">
        <v>45297</v>
      </c>
      <c r="C194" s="33">
        <f t="shared" si="74"/>
        <v>7075</v>
      </c>
      <c r="D194" s="34">
        <f>1252+17</f>
        <v>1269</v>
      </c>
      <c r="E194" s="34"/>
      <c r="F194" s="34">
        <f t="shared" si="66"/>
        <v>1269</v>
      </c>
      <c r="G194" s="12"/>
      <c r="H194" s="12"/>
      <c r="I194" s="10"/>
      <c r="J194" s="12">
        <f t="shared" si="67"/>
        <v>1269</v>
      </c>
      <c r="L194" s="10">
        <v>12</v>
      </c>
      <c r="M194" s="32">
        <v>45297</v>
      </c>
      <c r="N194" s="33">
        <f t="shared" si="75"/>
        <v>7154</v>
      </c>
      <c r="O194" s="34">
        <f>1878+25.5</f>
        <v>1903.5</v>
      </c>
      <c r="P194" s="34"/>
      <c r="Q194" s="34">
        <f t="shared" si="68"/>
        <v>1903.5</v>
      </c>
      <c r="R194" s="12"/>
      <c r="S194" s="12"/>
      <c r="T194" s="12"/>
      <c r="U194" s="12">
        <f t="shared" si="69"/>
        <v>1903.5</v>
      </c>
      <c r="W194" s="10">
        <v>12</v>
      </c>
      <c r="X194" s="32"/>
      <c r="Y194" s="33"/>
      <c r="Z194" s="34"/>
      <c r="AA194" s="34"/>
      <c r="AB194" s="34">
        <f t="shared" si="79"/>
        <v>0</v>
      </c>
      <c r="AC194" s="12"/>
      <c r="AD194" s="12"/>
      <c r="AE194" s="12"/>
      <c r="AF194" s="12">
        <f t="shared" si="71"/>
        <v>0</v>
      </c>
      <c r="AH194" s="10">
        <v>12</v>
      </c>
      <c r="AI194" s="32"/>
      <c r="AJ194" s="33"/>
      <c r="AK194" s="34"/>
      <c r="AL194" s="34"/>
      <c r="AM194" s="34">
        <f t="shared" si="80"/>
        <v>0</v>
      </c>
      <c r="AN194" s="12"/>
      <c r="AO194" s="12"/>
      <c r="AP194" s="12"/>
      <c r="AQ194" s="12">
        <f t="shared" si="73"/>
        <v>0</v>
      </c>
      <c r="AR194" s="18"/>
    </row>
    <row r="195" spans="1:44" x14ac:dyDescent="0.25">
      <c r="A195" s="10">
        <v>13</v>
      </c>
      <c r="B195" s="32">
        <v>45297</v>
      </c>
      <c r="C195" s="33">
        <f t="shared" si="74"/>
        <v>7076</v>
      </c>
      <c r="D195" s="34">
        <f>1252+17</f>
        <v>1269</v>
      </c>
      <c r="E195" s="34"/>
      <c r="F195" s="34">
        <f t="shared" si="66"/>
        <v>1269</v>
      </c>
      <c r="G195" s="12"/>
      <c r="H195" s="12">
        <v>2</v>
      </c>
      <c r="I195" s="12"/>
      <c r="J195" s="12">
        <f t="shared" si="67"/>
        <v>1271</v>
      </c>
      <c r="L195" s="10">
        <v>13</v>
      </c>
      <c r="M195" s="32">
        <v>45297</v>
      </c>
      <c r="N195" s="33">
        <f t="shared" si="75"/>
        <v>7155</v>
      </c>
      <c r="O195" s="34">
        <f>3130+42.5</f>
        <v>3172.5</v>
      </c>
      <c r="P195" s="34"/>
      <c r="Q195" s="34">
        <f t="shared" si="68"/>
        <v>3172.5</v>
      </c>
      <c r="R195" s="12"/>
      <c r="S195" s="12"/>
      <c r="T195" s="12"/>
      <c r="U195" s="12">
        <f t="shared" si="69"/>
        <v>3172.5</v>
      </c>
      <c r="W195" s="10">
        <v>13</v>
      </c>
      <c r="X195" s="32"/>
      <c r="Y195" s="33"/>
      <c r="Z195" s="34"/>
      <c r="AA195" s="34"/>
      <c r="AB195" s="34">
        <f t="shared" si="79"/>
        <v>0</v>
      </c>
      <c r="AC195" s="12"/>
      <c r="AD195" s="12"/>
      <c r="AE195" s="12"/>
      <c r="AF195" s="12">
        <f t="shared" si="71"/>
        <v>0</v>
      </c>
      <c r="AH195" s="10">
        <v>13</v>
      </c>
      <c r="AI195" s="32"/>
      <c r="AJ195" s="33"/>
      <c r="AK195" s="34"/>
      <c r="AL195" s="34"/>
      <c r="AM195" s="34">
        <f t="shared" si="80"/>
        <v>0</v>
      </c>
      <c r="AN195" s="12"/>
      <c r="AO195" s="12"/>
      <c r="AP195" s="12"/>
      <c r="AQ195" s="12">
        <f t="shared" si="73"/>
        <v>0</v>
      </c>
      <c r="AR195" s="18"/>
    </row>
    <row r="196" spans="1:44" x14ac:dyDescent="0.25">
      <c r="A196" s="10">
        <v>14</v>
      </c>
      <c r="B196" s="32">
        <v>45297</v>
      </c>
      <c r="C196" s="33">
        <f t="shared" si="74"/>
        <v>7077</v>
      </c>
      <c r="D196" s="34">
        <f>2504+614+596+42.5</f>
        <v>3756.5</v>
      </c>
      <c r="E196" s="34"/>
      <c r="F196" s="34">
        <f t="shared" si="66"/>
        <v>3756.5</v>
      </c>
      <c r="G196" s="12"/>
      <c r="H196" s="12">
        <v>1.5</v>
      </c>
      <c r="I196" s="12"/>
      <c r="J196" s="12">
        <f t="shared" si="67"/>
        <v>3758</v>
      </c>
      <c r="L196" s="10">
        <v>14</v>
      </c>
      <c r="M196" s="32">
        <v>45297</v>
      </c>
      <c r="N196" s="33">
        <f t="shared" si="75"/>
        <v>7156</v>
      </c>
      <c r="O196" s="34">
        <f>6260+1192+102+674</f>
        <v>8228</v>
      </c>
      <c r="P196" s="34"/>
      <c r="Q196" s="34">
        <f t="shared" si="68"/>
        <v>8228</v>
      </c>
      <c r="R196" s="12"/>
      <c r="S196" s="12"/>
      <c r="T196" s="12"/>
      <c r="U196" s="12">
        <f t="shared" si="69"/>
        <v>8228</v>
      </c>
      <c r="W196" s="10">
        <v>14</v>
      </c>
      <c r="X196" s="32"/>
      <c r="Y196" s="33"/>
      <c r="AA196" s="34"/>
      <c r="AB196" s="34">
        <f t="shared" si="79"/>
        <v>0</v>
      </c>
      <c r="AC196" s="12"/>
      <c r="AD196" s="12"/>
      <c r="AE196" s="12"/>
      <c r="AF196" s="12">
        <f t="shared" si="71"/>
        <v>0</v>
      </c>
      <c r="AH196" s="10">
        <v>14</v>
      </c>
      <c r="AI196" s="32"/>
      <c r="AJ196" s="33"/>
      <c r="AK196" s="34"/>
      <c r="AL196" s="34"/>
      <c r="AM196" s="34">
        <f t="shared" si="80"/>
        <v>0</v>
      </c>
      <c r="AN196" s="12"/>
      <c r="AO196" s="12"/>
      <c r="AP196" s="12"/>
      <c r="AQ196" s="12">
        <f t="shared" si="73"/>
        <v>0</v>
      </c>
      <c r="AR196" s="18"/>
    </row>
    <row r="197" spans="1:44" x14ac:dyDescent="0.25">
      <c r="A197" s="10">
        <v>15</v>
      </c>
      <c r="B197" s="32">
        <v>45297</v>
      </c>
      <c r="C197" s="33">
        <f t="shared" si="74"/>
        <v>7078</v>
      </c>
      <c r="D197" s="34">
        <f>1878+596+34</f>
        <v>2508</v>
      </c>
      <c r="E197" s="34"/>
      <c r="F197" s="34">
        <f t="shared" si="66"/>
        <v>2508</v>
      </c>
      <c r="G197" s="12"/>
      <c r="H197" s="12"/>
      <c r="I197" s="12"/>
      <c r="J197" s="12">
        <f t="shared" si="67"/>
        <v>2508</v>
      </c>
      <c r="L197" s="10">
        <v>15</v>
      </c>
      <c r="M197" s="32">
        <v>45297</v>
      </c>
      <c r="N197" s="33">
        <f t="shared" si="75"/>
        <v>7157</v>
      </c>
      <c r="O197" s="34">
        <f>2504+34+674</f>
        <v>3212</v>
      </c>
      <c r="P197" s="34"/>
      <c r="Q197" s="34">
        <f t="shared" si="68"/>
        <v>3212</v>
      </c>
      <c r="R197" s="12"/>
      <c r="S197" s="12"/>
      <c r="T197" s="12"/>
      <c r="U197" s="12">
        <f t="shared" si="69"/>
        <v>3212</v>
      </c>
      <c r="W197" s="10">
        <v>15</v>
      </c>
      <c r="X197" s="32"/>
      <c r="Y197" s="33"/>
      <c r="Z197" s="34"/>
      <c r="AA197" s="34"/>
      <c r="AB197" s="34">
        <f t="shared" si="79"/>
        <v>0</v>
      </c>
      <c r="AC197" s="12"/>
      <c r="AD197" s="12"/>
      <c r="AE197" s="12"/>
      <c r="AF197" s="12">
        <f t="shared" si="71"/>
        <v>0</v>
      </c>
      <c r="AH197" s="10">
        <v>15</v>
      </c>
      <c r="AI197" s="32"/>
      <c r="AJ197" s="33"/>
      <c r="AK197" s="34"/>
      <c r="AL197" s="34"/>
      <c r="AM197" s="34">
        <f t="shared" si="80"/>
        <v>0</v>
      </c>
      <c r="AN197" s="12"/>
      <c r="AO197" s="12"/>
      <c r="AP197" s="12"/>
      <c r="AQ197" s="12">
        <f t="shared" si="73"/>
        <v>0</v>
      </c>
      <c r="AR197" s="18"/>
    </row>
    <row r="198" spans="1:44" x14ac:dyDescent="0.25">
      <c r="A198" s="10">
        <v>16</v>
      </c>
      <c r="B198" s="32">
        <v>45297</v>
      </c>
      <c r="C198" s="33">
        <f t="shared" si="74"/>
        <v>7079</v>
      </c>
      <c r="D198" s="34">
        <f>2504+1005+34</f>
        <v>3543</v>
      </c>
      <c r="E198" s="34"/>
      <c r="F198" s="34">
        <f t="shared" si="66"/>
        <v>3543</v>
      </c>
      <c r="G198" s="12"/>
      <c r="H198" s="12">
        <v>11</v>
      </c>
      <c r="I198" s="12"/>
      <c r="J198" s="12">
        <f t="shared" si="67"/>
        <v>3554</v>
      </c>
      <c r="L198" s="10">
        <v>16</v>
      </c>
      <c r="M198" s="32">
        <v>45297</v>
      </c>
      <c r="N198" s="33">
        <f t="shared" si="75"/>
        <v>7158</v>
      </c>
      <c r="O198" s="34">
        <f>6886+93.5</f>
        <v>6979.5</v>
      </c>
      <c r="P198" s="34"/>
      <c r="Q198" s="34">
        <f t="shared" si="68"/>
        <v>6979.5</v>
      </c>
      <c r="R198" s="12"/>
      <c r="S198" s="12"/>
      <c r="T198" s="12"/>
      <c r="U198" s="12">
        <f t="shared" si="69"/>
        <v>6979.5</v>
      </c>
      <c r="W198" s="10">
        <v>16</v>
      </c>
      <c r="X198" s="32"/>
      <c r="Y198" s="33"/>
      <c r="Z198" s="34"/>
      <c r="AA198" s="34"/>
      <c r="AB198" s="34">
        <f t="shared" si="79"/>
        <v>0</v>
      </c>
      <c r="AC198" s="12"/>
      <c r="AD198" s="12"/>
      <c r="AE198" s="12"/>
      <c r="AF198" s="12">
        <f t="shared" si="71"/>
        <v>0</v>
      </c>
      <c r="AH198" s="10">
        <v>16</v>
      </c>
      <c r="AI198" s="32"/>
      <c r="AJ198" s="33"/>
      <c r="AK198" s="34"/>
      <c r="AL198" s="34"/>
      <c r="AM198" s="34">
        <f t="shared" si="80"/>
        <v>0</v>
      </c>
      <c r="AN198" s="12"/>
      <c r="AO198" s="12"/>
      <c r="AP198" s="12"/>
      <c r="AQ198" s="12">
        <f t="shared" si="73"/>
        <v>0</v>
      </c>
      <c r="AR198" s="18"/>
    </row>
    <row r="199" spans="1:44" x14ac:dyDescent="0.25">
      <c r="A199" s="10">
        <v>17</v>
      </c>
      <c r="B199" s="32">
        <v>45297</v>
      </c>
      <c r="C199" s="33">
        <f t="shared" si="74"/>
        <v>7080</v>
      </c>
      <c r="D199" s="34">
        <f>46950+1228+5960+1348</f>
        <v>55486</v>
      </c>
      <c r="E199" s="34"/>
      <c r="F199" s="34">
        <f t="shared" si="66"/>
        <v>55486</v>
      </c>
      <c r="G199" s="12"/>
      <c r="H199" s="12">
        <v>198</v>
      </c>
      <c r="I199" s="12"/>
      <c r="J199" s="12">
        <f t="shared" si="67"/>
        <v>55684</v>
      </c>
      <c r="L199" s="10">
        <v>17</v>
      </c>
      <c r="M199" s="32">
        <v>45297</v>
      </c>
      <c r="N199" s="33">
        <f t="shared" si="75"/>
        <v>7159</v>
      </c>
      <c r="O199" s="37">
        <f>626*6+51</f>
        <v>3807</v>
      </c>
      <c r="P199" s="34"/>
      <c r="Q199" s="34">
        <f t="shared" si="68"/>
        <v>3807</v>
      </c>
      <c r="R199" s="12"/>
      <c r="S199" s="12"/>
      <c r="T199" s="12"/>
      <c r="U199" s="12">
        <f t="shared" si="69"/>
        <v>3807</v>
      </c>
      <c r="W199" s="10">
        <v>17</v>
      </c>
      <c r="X199" s="32"/>
      <c r="Y199" s="33"/>
      <c r="Z199" s="37"/>
      <c r="AA199" s="34"/>
      <c r="AB199" s="34">
        <f t="shared" si="79"/>
        <v>0</v>
      </c>
      <c r="AC199" s="12"/>
      <c r="AD199" s="12"/>
      <c r="AE199" s="12"/>
      <c r="AF199" s="12">
        <f t="shared" si="71"/>
        <v>0</v>
      </c>
      <c r="AH199" s="10">
        <v>17</v>
      </c>
      <c r="AI199" s="32"/>
      <c r="AJ199" s="33"/>
      <c r="AK199" s="37"/>
      <c r="AL199" s="34"/>
      <c r="AM199" s="34">
        <f t="shared" si="80"/>
        <v>0</v>
      </c>
      <c r="AN199" s="12"/>
      <c r="AO199" s="12"/>
      <c r="AP199" s="12"/>
      <c r="AQ199" s="12">
        <f t="shared" si="73"/>
        <v>0</v>
      </c>
      <c r="AR199" s="18"/>
    </row>
    <row r="200" spans="1:44" x14ac:dyDescent="0.25">
      <c r="A200" s="10">
        <v>18</v>
      </c>
      <c r="B200" s="32">
        <v>45297</v>
      </c>
      <c r="C200" s="33">
        <f t="shared" si="74"/>
        <v>7081</v>
      </c>
      <c r="D200" s="34">
        <f>1252+614+913+596+832+25.5+2022</f>
        <v>6254.5</v>
      </c>
      <c r="E200" s="34"/>
      <c r="F200" s="34">
        <f t="shared" si="66"/>
        <v>6254.5</v>
      </c>
      <c r="G200" s="12"/>
      <c r="H200" s="12">
        <v>145.5</v>
      </c>
      <c r="I200" s="12"/>
      <c r="J200" s="12">
        <f t="shared" si="67"/>
        <v>6400</v>
      </c>
      <c r="L200" s="10">
        <v>18</v>
      </c>
      <c r="M200" s="32">
        <v>45297</v>
      </c>
      <c r="N200" s="33">
        <f t="shared" si="75"/>
        <v>7160</v>
      </c>
      <c r="O200" s="34">
        <f>1252+17</f>
        <v>1269</v>
      </c>
      <c r="P200" s="34"/>
      <c r="Q200" s="34">
        <f t="shared" si="68"/>
        <v>1269</v>
      </c>
      <c r="R200" s="12"/>
      <c r="S200" s="12"/>
      <c r="T200" s="12"/>
      <c r="U200" s="12">
        <f t="shared" si="69"/>
        <v>1269</v>
      </c>
      <c r="W200" s="10">
        <v>18</v>
      </c>
      <c r="X200" s="32"/>
      <c r="Y200" s="33"/>
      <c r="Z200" s="34"/>
      <c r="AA200" s="34"/>
      <c r="AB200" s="34">
        <f t="shared" si="79"/>
        <v>0</v>
      </c>
      <c r="AC200" s="12"/>
      <c r="AD200" s="12"/>
      <c r="AE200" s="12"/>
      <c r="AF200" s="12">
        <f t="shared" si="71"/>
        <v>0</v>
      </c>
      <c r="AH200" s="10">
        <v>18</v>
      </c>
      <c r="AI200" s="32"/>
      <c r="AJ200" s="33"/>
      <c r="AK200" s="34"/>
      <c r="AL200" s="34"/>
      <c r="AM200" s="34">
        <f t="shared" si="80"/>
        <v>0</v>
      </c>
      <c r="AN200" s="12"/>
      <c r="AO200" s="12"/>
      <c r="AP200" s="12"/>
      <c r="AQ200" s="12">
        <f t="shared" si="73"/>
        <v>0</v>
      </c>
      <c r="AR200" s="18"/>
    </row>
    <row r="201" spans="1:44" x14ac:dyDescent="0.25">
      <c r="A201" s="10">
        <v>19</v>
      </c>
      <c r="B201" s="32">
        <v>45297</v>
      </c>
      <c r="C201" s="33">
        <f t="shared" si="74"/>
        <v>7082</v>
      </c>
      <c r="D201" s="34">
        <f>25040+2980+205+178.5</f>
        <v>28403.5</v>
      </c>
      <c r="E201" s="34"/>
      <c r="F201" s="34">
        <f t="shared" si="66"/>
        <v>28403.5</v>
      </c>
      <c r="G201" s="12"/>
      <c r="H201" s="12">
        <v>719.5</v>
      </c>
      <c r="I201" s="12">
        <v>-679</v>
      </c>
      <c r="J201" s="12">
        <f t="shared" si="67"/>
        <v>28444</v>
      </c>
      <c r="L201" s="10">
        <v>19</v>
      </c>
      <c r="M201" s="32">
        <v>45297</v>
      </c>
      <c r="N201" s="33">
        <f t="shared" si="75"/>
        <v>7161</v>
      </c>
      <c r="O201" s="34">
        <f>2504+34+674</f>
        <v>3212</v>
      </c>
      <c r="P201" s="34"/>
      <c r="Q201" s="34">
        <f t="shared" si="68"/>
        <v>3212</v>
      </c>
      <c r="R201" s="12"/>
      <c r="S201" s="12">
        <v>555</v>
      </c>
      <c r="T201" s="12"/>
      <c r="U201" s="12">
        <f t="shared" si="69"/>
        <v>3767</v>
      </c>
      <c r="W201" s="10">
        <v>19</v>
      </c>
      <c r="X201" s="32"/>
      <c r="Z201" s="34"/>
      <c r="AA201" s="34"/>
      <c r="AB201" s="34">
        <f t="shared" si="79"/>
        <v>0</v>
      </c>
      <c r="AC201" s="12"/>
      <c r="AD201" s="12"/>
      <c r="AE201" s="12"/>
      <c r="AF201" s="12">
        <f t="shared" si="71"/>
        <v>0</v>
      </c>
      <c r="AH201" s="10">
        <v>19</v>
      </c>
      <c r="AI201" s="32"/>
      <c r="AJ201" s="33"/>
      <c r="AK201" s="34"/>
      <c r="AL201" s="34"/>
      <c r="AM201" s="34">
        <f t="shared" si="80"/>
        <v>0</v>
      </c>
      <c r="AN201" s="12"/>
      <c r="AO201" s="12"/>
      <c r="AP201" s="12"/>
      <c r="AQ201" s="12">
        <f t="shared" si="73"/>
        <v>0</v>
      </c>
      <c r="AR201" s="18"/>
    </row>
    <row r="202" spans="1:44" x14ac:dyDescent="0.25">
      <c r="A202" s="10">
        <v>20</v>
      </c>
      <c r="B202" s="32">
        <v>45297</v>
      </c>
      <c r="C202" s="33">
        <f t="shared" si="74"/>
        <v>7083</v>
      </c>
      <c r="D202" s="34">
        <f>3756+51</f>
        <v>3807</v>
      </c>
      <c r="E202" s="34"/>
      <c r="F202" s="34">
        <f t="shared" si="66"/>
        <v>3807</v>
      </c>
      <c r="G202" s="12"/>
      <c r="H202" s="12"/>
      <c r="I202" s="12"/>
      <c r="J202" s="12">
        <f t="shared" si="67"/>
        <v>3807</v>
      </c>
      <c r="L202" s="10">
        <v>20</v>
      </c>
      <c r="M202" s="32">
        <v>45297</v>
      </c>
      <c r="N202" s="33">
        <f t="shared" si="75"/>
        <v>7162</v>
      </c>
      <c r="O202" s="34">
        <f>6260+4768+85</f>
        <v>11113</v>
      </c>
      <c r="P202" s="34"/>
      <c r="Q202" s="34">
        <f t="shared" si="68"/>
        <v>11113</v>
      </c>
      <c r="R202" s="12"/>
      <c r="S202" s="12"/>
      <c r="T202" s="12"/>
      <c r="U202" s="12">
        <f t="shared" si="69"/>
        <v>11113</v>
      </c>
      <c r="W202" s="10">
        <v>20</v>
      </c>
      <c r="X202" s="32"/>
      <c r="Y202" s="33"/>
      <c r="Z202" s="34"/>
      <c r="AA202" s="34"/>
      <c r="AB202" s="34">
        <f t="shared" si="79"/>
        <v>0</v>
      </c>
      <c r="AC202" s="12"/>
      <c r="AD202" s="12"/>
      <c r="AE202" s="12"/>
      <c r="AF202" s="12">
        <f t="shared" si="71"/>
        <v>0</v>
      </c>
      <c r="AH202" s="10">
        <v>20</v>
      </c>
      <c r="AI202" s="32"/>
      <c r="AJ202" s="33"/>
      <c r="AK202" s="34"/>
      <c r="AL202" s="34"/>
      <c r="AM202" s="34">
        <f t="shared" si="80"/>
        <v>0</v>
      </c>
      <c r="AN202" s="12"/>
      <c r="AO202" s="12"/>
      <c r="AP202" s="12"/>
      <c r="AQ202" s="12">
        <f t="shared" si="73"/>
        <v>0</v>
      </c>
      <c r="AR202" s="18"/>
    </row>
    <row r="203" spans="1:44" x14ac:dyDescent="0.25">
      <c r="A203" s="10">
        <v>21</v>
      </c>
      <c r="B203" s="32">
        <v>45297</v>
      </c>
      <c r="C203" s="33">
        <f t="shared" si="74"/>
        <v>7084</v>
      </c>
      <c r="D203" s="34">
        <f>2504+34</f>
        <v>2538</v>
      </c>
      <c r="E203" s="34"/>
      <c r="F203" s="34">
        <f t="shared" si="66"/>
        <v>2538</v>
      </c>
      <c r="G203" s="10"/>
      <c r="H203" s="10"/>
      <c r="I203" s="10">
        <v>-999</v>
      </c>
      <c r="J203" s="12">
        <f t="shared" si="67"/>
        <v>1539</v>
      </c>
      <c r="L203" s="10">
        <v>21</v>
      </c>
      <c r="M203" s="32">
        <v>45297</v>
      </c>
      <c r="N203" s="33">
        <f t="shared" si="75"/>
        <v>7163</v>
      </c>
      <c r="O203" s="50">
        <f>6886+1788+119</f>
        <v>8793</v>
      </c>
      <c r="P203" s="33"/>
      <c r="Q203" s="34">
        <f t="shared" si="68"/>
        <v>8793</v>
      </c>
      <c r="R203" s="10"/>
      <c r="S203" s="10"/>
      <c r="T203" s="10"/>
      <c r="U203" s="12">
        <f t="shared" si="69"/>
        <v>8793</v>
      </c>
      <c r="W203" s="10">
        <v>21</v>
      </c>
      <c r="X203" s="32"/>
      <c r="Z203" s="50"/>
      <c r="AA203" s="33"/>
      <c r="AB203" s="34">
        <f t="shared" si="79"/>
        <v>0</v>
      </c>
      <c r="AC203" s="10"/>
      <c r="AD203" s="10"/>
      <c r="AE203" s="10"/>
      <c r="AF203" s="12">
        <f t="shared" si="71"/>
        <v>0</v>
      </c>
      <c r="AH203" s="10">
        <v>21</v>
      </c>
      <c r="AI203" s="32"/>
      <c r="AJ203" s="33"/>
      <c r="AK203" s="50"/>
      <c r="AL203" s="33"/>
      <c r="AM203" s="34">
        <f t="shared" si="80"/>
        <v>0</v>
      </c>
      <c r="AN203" s="10"/>
      <c r="AO203" s="10"/>
      <c r="AP203" s="10"/>
      <c r="AQ203" s="12">
        <f t="shared" si="73"/>
        <v>0</v>
      </c>
      <c r="AR203" s="18"/>
    </row>
    <row r="204" spans="1:44" x14ac:dyDescent="0.25">
      <c r="A204" s="10">
        <v>22</v>
      </c>
      <c r="B204" s="32">
        <v>45297</v>
      </c>
      <c r="C204" s="33">
        <f t="shared" si="74"/>
        <v>7085</v>
      </c>
      <c r="D204" s="34">
        <f>1878+614+25.5</f>
        <v>2517.5</v>
      </c>
      <c r="E204" s="34"/>
      <c r="F204" s="34">
        <f t="shared" si="66"/>
        <v>2517.5</v>
      </c>
      <c r="G204" s="10"/>
      <c r="H204" s="10"/>
      <c r="I204" s="10"/>
      <c r="J204" s="12">
        <f t="shared" si="67"/>
        <v>2517.5</v>
      </c>
      <c r="L204" s="10">
        <v>22</v>
      </c>
      <c r="M204" s="32">
        <v>45297</v>
      </c>
      <c r="N204" s="33">
        <f t="shared" si="75"/>
        <v>7164</v>
      </c>
      <c r="O204" s="49">
        <f>626+1192+25.5</f>
        <v>1843.5</v>
      </c>
      <c r="P204" s="33"/>
      <c r="Q204" s="34">
        <f t="shared" si="68"/>
        <v>1843.5</v>
      </c>
      <c r="R204" s="10"/>
      <c r="S204" s="10"/>
      <c r="T204" s="10"/>
      <c r="U204" s="12">
        <f t="shared" si="69"/>
        <v>1843.5</v>
      </c>
      <c r="W204" s="10">
        <v>22</v>
      </c>
      <c r="X204" s="32"/>
      <c r="Y204" s="33"/>
      <c r="Z204" s="49"/>
      <c r="AA204" s="33"/>
      <c r="AB204" s="34">
        <f t="shared" si="79"/>
        <v>0</v>
      </c>
      <c r="AC204" s="10"/>
      <c r="AD204" s="10"/>
      <c r="AE204" s="10"/>
      <c r="AF204" s="12">
        <f t="shared" si="71"/>
        <v>0</v>
      </c>
      <c r="AH204" s="10">
        <v>22</v>
      </c>
      <c r="AI204" s="32"/>
      <c r="AJ204" s="33"/>
      <c r="AK204" s="49"/>
      <c r="AL204" s="33"/>
      <c r="AM204" s="34">
        <f t="shared" si="80"/>
        <v>0</v>
      </c>
      <c r="AN204" s="10"/>
      <c r="AO204" s="10"/>
      <c r="AP204" s="10"/>
      <c r="AQ204" s="12">
        <f t="shared" si="73"/>
        <v>0</v>
      </c>
      <c r="AR204" s="18"/>
    </row>
    <row r="205" spans="1:44" x14ac:dyDescent="0.25">
      <c r="A205" s="10">
        <v>23</v>
      </c>
      <c r="B205" s="32">
        <v>45297</v>
      </c>
      <c r="C205" s="33">
        <f t="shared" si="74"/>
        <v>7086</v>
      </c>
      <c r="D205" s="34">
        <f>5008+614+1788+832+93.5</f>
        <v>8335.5</v>
      </c>
      <c r="E205" s="34"/>
      <c r="F205" s="34">
        <f t="shared" si="66"/>
        <v>8335.5</v>
      </c>
      <c r="G205" s="10"/>
      <c r="H205" s="10">
        <v>76.5</v>
      </c>
      <c r="I205" s="12"/>
      <c r="J205" s="12">
        <f t="shared" si="67"/>
        <v>8412</v>
      </c>
      <c r="L205" s="10">
        <v>23</v>
      </c>
      <c r="M205" s="32">
        <v>45297</v>
      </c>
      <c r="N205" s="33">
        <f t="shared" si="75"/>
        <v>7165</v>
      </c>
      <c r="O205" s="51">
        <f>5634+614+76.5</f>
        <v>6324.5</v>
      </c>
      <c r="Q205" s="34">
        <f t="shared" si="68"/>
        <v>6324.5</v>
      </c>
      <c r="R205" s="10"/>
      <c r="S205" s="10"/>
      <c r="T205" s="10"/>
      <c r="U205" s="12">
        <f t="shared" si="69"/>
        <v>6324.5</v>
      </c>
      <c r="W205" s="10">
        <v>23</v>
      </c>
      <c r="X205" s="32"/>
      <c r="Z205" s="51"/>
      <c r="AB205" s="34">
        <f t="shared" si="79"/>
        <v>0</v>
      </c>
      <c r="AC205" s="10"/>
      <c r="AD205" s="10"/>
      <c r="AE205" s="10"/>
      <c r="AF205" s="12">
        <f t="shared" si="71"/>
        <v>0</v>
      </c>
      <c r="AH205" s="10">
        <v>23</v>
      </c>
      <c r="AI205" s="32"/>
      <c r="AK205" s="51"/>
      <c r="AM205" s="34">
        <f t="shared" si="80"/>
        <v>0</v>
      </c>
      <c r="AN205" s="10"/>
      <c r="AO205" s="10"/>
      <c r="AP205" s="10"/>
      <c r="AQ205" s="12">
        <f t="shared" si="73"/>
        <v>0</v>
      </c>
      <c r="AR205" s="18"/>
    </row>
    <row r="206" spans="1:44" x14ac:dyDescent="0.25">
      <c r="A206" s="10">
        <v>24</v>
      </c>
      <c r="B206" s="32">
        <v>45297</v>
      </c>
      <c r="C206" s="33">
        <f t="shared" si="74"/>
        <v>7087</v>
      </c>
      <c r="D206" s="34">
        <f>626*160+596*38+205*8+650*2</f>
        <v>125748</v>
      </c>
      <c r="E206" s="34">
        <v>-1872</v>
      </c>
      <c r="F206" s="34">
        <f t="shared" si="66"/>
        <v>123876</v>
      </c>
      <c r="G206" s="10"/>
      <c r="H206" s="10"/>
      <c r="I206" s="10">
        <v>-5706</v>
      </c>
      <c r="J206" s="12">
        <f t="shared" si="67"/>
        <v>118170</v>
      </c>
      <c r="L206" s="10">
        <v>24</v>
      </c>
      <c r="M206" s="32">
        <v>45297</v>
      </c>
      <c r="N206" s="33">
        <f t="shared" si="75"/>
        <v>7166</v>
      </c>
      <c r="O206" s="51">
        <f>626+1192+25.5</f>
        <v>1843.5</v>
      </c>
      <c r="P206" s="33"/>
      <c r="Q206" s="34">
        <f t="shared" si="68"/>
        <v>1843.5</v>
      </c>
      <c r="R206" s="10"/>
      <c r="S206" s="10"/>
      <c r="T206" s="10"/>
      <c r="U206" s="12">
        <f t="shared" si="69"/>
        <v>1843.5</v>
      </c>
      <c r="W206" s="10">
        <v>24</v>
      </c>
      <c r="X206" s="32"/>
      <c r="Y206" s="34"/>
      <c r="Z206" s="51"/>
      <c r="AA206" s="33"/>
      <c r="AB206" s="34">
        <f t="shared" si="79"/>
        <v>0</v>
      </c>
      <c r="AC206" s="10"/>
      <c r="AD206" s="10"/>
      <c r="AE206" s="10"/>
      <c r="AF206" s="12">
        <f t="shared" si="71"/>
        <v>0</v>
      </c>
      <c r="AH206" s="10">
        <v>24</v>
      </c>
      <c r="AI206" s="32"/>
      <c r="AJ206" s="33"/>
      <c r="AK206" s="51"/>
      <c r="AL206" s="33"/>
      <c r="AM206" s="34">
        <f t="shared" si="80"/>
        <v>0</v>
      </c>
      <c r="AN206" s="10"/>
      <c r="AO206" s="10"/>
      <c r="AP206" s="10"/>
      <c r="AQ206" s="12">
        <f t="shared" si="73"/>
        <v>0</v>
      </c>
      <c r="AR206" s="18"/>
    </row>
    <row r="207" spans="1:44" x14ac:dyDescent="0.25">
      <c r="A207" s="10">
        <v>25</v>
      </c>
      <c r="B207" s="32">
        <v>45297</v>
      </c>
      <c r="C207" s="33">
        <f t="shared" si="74"/>
        <v>7088</v>
      </c>
      <c r="D207" s="34">
        <f>913+1005</f>
        <v>1918</v>
      </c>
      <c r="E207" s="34"/>
      <c r="F207" s="34">
        <f t="shared" si="66"/>
        <v>1918</v>
      </c>
      <c r="G207" s="10"/>
      <c r="H207" s="10"/>
      <c r="I207" s="10"/>
      <c r="J207" s="12">
        <f t="shared" si="67"/>
        <v>1918</v>
      </c>
      <c r="L207" s="10">
        <v>25</v>
      </c>
      <c r="M207" s="32">
        <v>45297</v>
      </c>
      <c r="N207" s="33">
        <f t="shared" si="75"/>
        <v>7167</v>
      </c>
      <c r="O207" s="51">
        <f>3756+51</f>
        <v>3807</v>
      </c>
      <c r="P207" s="33"/>
      <c r="Q207" s="34">
        <f t="shared" si="68"/>
        <v>3807</v>
      </c>
      <c r="R207" s="10"/>
      <c r="S207" s="10"/>
      <c r="T207" s="10"/>
      <c r="U207" s="12">
        <f t="shared" si="69"/>
        <v>3807</v>
      </c>
      <c r="W207" s="10">
        <v>25</v>
      </c>
      <c r="X207" s="32"/>
      <c r="Y207" s="33"/>
      <c r="Z207" s="51"/>
      <c r="AA207" s="33"/>
      <c r="AB207" s="34">
        <f t="shared" si="79"/>
        <v>0</v>
      </c>
      <c r="AC207" s="10"/>
      <c r="AD207" s="10"/>
      <c r="AE207" s="10"/>
      <c r="AF207" s="12">
        <f t="shared" si="71"/>
        <v>0</v>
      </c>
      <c r="AH207" s="10">
        <v>25</v>
      </c>
      <c r="AI207" s="32"/>
      <c r="AJ207" s="33"/>
      <c r="AK207" s="51"/>
      <c r="AL207" s="33"/>
      <c r="AM207" s="34">
        <f t="shared" si="80"/>
        <v>0</v>
      </c>
      <c r="AN207" s="10"/>
      <c r="AO207" s="10"/>
      <c r="AP207" s="10"/>
      <c r="AQ207" s="12">
        <f t="shared" si="73"/>
        <v>0</v>
      </c>
      <c r="AR207" s="18"/>
    </row>
    <row r="208" spans="1:44" x14ac:dyDescent="0.25">
      <c r="A208" s="10">
        <v>26</v>
      </c>
      <c r="B208" s="32"/>
      <c r="C208" s="11" t="s">
        <v>28</v>
      </c>
      <c r="D208" s="34"/>
      <c r="E208" s="34"/>
      <c r="F208" s="34">
        <f t="shared" si="66"/>
        <v>0</v>
      </c>
      <c r="G208" s="10"/>
      <c r="H208" s="10"/>
      <c r="I208" s="10"/>
      <c r="J208" s="12">
        <f t="shared" si="67"/>
        <v>0</v>
      </c>
      <c r="L208" s="10">
        <v>26</v>
      </c>
      <c r="M208" s="32">
        <v>45297</v>
      </c>
      <c r="N208" s="33">
        <f t="shared" si="75"/>
        <v>7168</v>
      </c>
      <c r="O208" s="51">
        <f>4382+59.5</f>
        <v>4441.5</v>
      </c>
      <c r="P208" s="33"/>
      <c r="Q208" s="34">
        <f t="shared" si="68"/>
        <v>4441.5</v>
      </c>
      <c r="R208" s="10"/>
      <c r="S208" s="10"/>
      <c r="T208" s="10">
        <v>-333</v>
      </c>
      <c r="U208" s="12">
        <f t="shared" si="69"/>
        <v>4108.5</v>
      </c>
      <c r="W208" s="10">
        <v>26</v>
      </c>
      <c r="X208" s="32"/>
      <c r="Z208" s="51"/>
      <c r="AA208" s="33"/>
      <c r="AB208" s="34">
        <f t="shared" si="79"/>
        <v>0</v>
      </c>
      <c r="AC208" s="10"/>
      <c r="AD208" s="10"/>
      <c r="AE208" s="10"/>
      <c r="AF208" s="12">
        <f t="shared" si="71"/>
        <v>0</v>
      </c>
      <c r="AH208" s="10">
        <v>26</v>
      </c>
      <c r="AI208" s="32"/>
      <c r="AK208" s="51"/>
      <c r="AL208" s="33"/>
      <c r="AM208" s="34">
        <f t="shared" si="80"/>
        <v>0</v>
      </c>
      <c r="AN208" s="10"/>
      <c r="AO208" s="10"/>
      <c r="AP208" s="10"/>
      <c r="AQ208" s="12">
        <f t="shared" si="73"/>
        <v>0</v>
      </c>
      <c r="AR208" s="18"/>
    </row>
    <row r="209" spans="1:44" x14ac:dyDescent="0.25">
      <c r="A209" s="10">
        <v>27</v>
      </c>
      <c r="B209" s="32"/>
      <c r="C209" s="33"/>
      <c r="D209" s="34"/>
      <c r="E209" s="34"/>
      <c r="F209" s="34">
        <f t="shared" si="66"/>
        <v>0</v>
      </c>
      <c r="G209" s="10"/>
      <c r="H209" s="10"/>
      <c r="I209" s="10"/>
      <c r="J209" s="12">
        <f t="shared" si="67"/>
        <v>0</v>
      </c>
      <c r="L209" s="10">
        <v>27</v>
      </c>
      <c r="M209" s="32">
        <v>45297</v>
      </c>
      <c r="N209" s="33">
        <f t="shared" si="75"/>
        <v>7169</v>
      </c>
      <c r="O209" s="51">
        <f>626+614+8.5</f>
        <v>1248.5</v>
      </c>
      <c r="P209" s="33"/>
      <c r="Q209" s="34">
        <f t="shared" si="68"/>
        <v>1248.5</v>
      </c>
      <c r="R209" s="10"/>
      <c r="S209" s="10"/>
      <c r="T209" s="10"/>
      <c r="U209" s="12">
        <f t="shared" si="69"/>
        <v>1248.5</v>
      </c>
      <c r="W209" s="10">
        <v>27</v>
      </c>
      <c r="X209" s="32"/>
      <c r="Y209" s="33"/>
      <c r="Z209" s="51"/>
      <c r="AA209" s="33"/>
      <c r="AB209" s="34">
        <f t="shared" si="79"/>
        <v>0</v>
      </c>
      <c r="AC209" s="10"/>
      <c r="AD209" s="10"/>
      <c r="AE209" s="10"/>
      <c r="AF209" s="12">
        <f t="shared" si="71"/>
        <v>0</v>
      </c>
      <c r="AH209" s="10">
        <v>27</v>
      </c>
      <c r="AI209" s="32"/>
      <c r="AJ209" s="33"/>
      <c r="AK209" s="51"/>
      <c r="AL209" s="33"/>
      <c r="AM209" s="34">
        <f t="shared" si="80"/>
        <v>0</v>
      </c>
      <c r="AN209" s="10"/>
      <c r="AO209" s="10"/>
      <c r="AP209" s="10"/>
      <c r="AQ209" s="12">
        <f t="shared" si="73"/>
        <v>0</v>
      </c>
      <c r="AR209" s="18"/>
    </row>
    <row r="210" spans="1:44" x14ac:dyDescent="0.25">
      <c r="A210" s="10">
        <v>28</v>
      </c>
      <c r="B210" s="32"/>
      <c r="C210" s="33"/>
      <c r="D210" s="34"/>
      <c r="E210" s="34"/>
      <c r="F210" s="34">
        <f t="shared" si="66"/>
        <v>0</v>
      </c>
      <c r="G210" s="10"/>
      <c r="H210" s="10"/>
      <c r="I210" s="10"/>
      <c r="J210" s="12">
        <f t="shared" si="67"/>
        <v>0</v>
      </c>
      <c r="L210" s="10">
        <v>28</v>
      </c>
      <c r="M210" s="32"/>
      <c r="N210" s="11" t="s">
        <v>28</v>
      </c>
      <c r="O210" s="51"/>
      <c r="P210" s="33"/>
      <c r="Q210" s="34">
        <f t="shared" si="68"/>
        <v>0</v>
      </c>
      <c r="R210" s="10"/>
      <c r="S210" s="10"/>
      <c r="T210" s="10"/>
      <c r="U210" s="12">
        <f t="shared" si="69"/>
        <v>0</v>
      </c>
      <c r="W210" s="10">
        <v>28</v>
      </c>
      <c r="X210" s="32"/>
      <c r="Y210" s="33"/>
      <c r="Z210" s="51"/>
      <c r="AA210" s="33"/>
      <c r="AB210" s="34">
        <f t="shared" si="79"/>
        <v>0</v>
      </c>
      <c r="AC210" s="10"/>
      <c r="AD210" s="10"/>
      <c r="AE210" s="10"/>
      <c r="AF210" s="12">
        <f t="shared" si="71"/>
        <v>0</v>
      </c>
      <c r="AH210" s="10">
        <v>28</v>
      </c>
      <c r="AI210" s="32"/>
      <c r="AJ210" s="33"/>
      <c r="AK210" s="51"/>
      <c r="AL210" s="33"/>
      <c r="AM210" s="34">
        <f t="shared" si="80"/>
        <v>0</v>
      </c>
      <c r="AN210" s="10"/>
      <c r="AO210" s="10"/>
      <c r="AP210" s="10"/>
      <c r="AQ210" s="12">
        <f t="shared" si="73"/>
        <v>0</v>
      </c>
      <c r="AR210" s="18"/>
    </row>
    <row r="211" spans="1:44" x14ac:dyDescent="0.25">
      <c r="A211" s="10">
        <v>29</v>
      </c>
      <c r="B211" s="32"/>
      <c r="C211" s="33"/>
      <c r="D211" s="34"/>
      <c r="E211" s="34"/>
      <c r="F211" s="34">
        <f t="shared" si="66"/>
        <v>0</v>
      </c>
      <c r="G211" s="10"/>
      <c r="H211" s="10"/>
      <c r="I211" s="10"/>
      <c r="J211" s="12">
        <f t="shared" si="67"/>
        <v>0</v>
      </c>
      <c r="L211" s="10">
        <v>29</v>
      </c>
      <c r="M211" s="32"/>
      <c r="N211" s="33"/>
      <c r="O211" s="51"/>
      <c r="P211" s="33"/>
      <c r="Q211" s="34">
        <f t="shared" si="68"/>
        <v>0</v>
      </c>
      <c r="R211" s="10"/>
      <c r="S211" s="10"/>
      <c r="T211" s="10"/>
      <c r="U211" s="12">
        <f t="shared" si="69"/>
        <v>0</v>
      </c>
      <c r="W211" s="10">
        <v>29</v>
      </c>
      <c r="X211" s="32"/>
      <c r="Y211" s="33"/>
      <c r="Z211" s="51"/>
      <c r="AA211" s="33"/>
      <c r="AB211" s="34">
        <f t="shared" si="79"/>
        <v>0</v>
      </c>
      <c r="AC211" s="10"/>
      <c r="AD211" s="10"/>
      <c r="AE211" s="10"/>
      <c r="AF211" s="12">
        <f t="shared" si="71"/>
        <v>0</v>
      </c>
      <c r="AH211" s="10">
        <v>29</v>
      </c>
      <c r="AI211" s="32"/>
      <c r="AJ211" s="33"/>
      <c r="AK211" s="51"/>
      <c r="AL211" s="33"/>
      <c r="AM211" s="34">
        <f t="shared" si="80"/>
        <v>0</v>
      </c>
      <c r="AN211" s="10"/>
      <c r="AO211" s="10"/>
      <c r="AP211" s="10"/>
      <c r="AQ211" s="12">
        <f t="shared" si="73"/>
        <v>0</v>
      </c>
      <c r="AR211" s="18"/>
    </row>
    <row r="212" spans="1:44" x14ac:dyDescent="0.25">
      <c r="A212" s="10">
        <v>30</v>
      </c>
      <c r="B212" s="32"/>
      <c r="C212" s="33"/>
      <c r="D212" s="34"/>
      <c r="E212" s="34"/>
      <c r="F212" s="34">
        <f t="shared" si="66"/>
        <v>0</v>
      </c>
      <c r="G212" s="10"/>
      <c r="H212" s="10"/>
      <c r="I212" s="10"/>
      <c r="J212" s="12">
        <f t="shared" si="67"/>
        <v>0</v>
      </c>
      <c r="L212" s="10">
        <v>30</v>
      </c>
      <c r="M212" s="32"/>
      <c r="N212" s="33"/>
      <c r="O212" s="51"/>
      <c r="P212" s="33"/>
      <c r="Q212" s="34">
        <f t="shared" si="68"/>
        <v>0</v>
      </c>
      <c r="R212" s="10"/>
      <c r="S212" s="10"/>
      <c r="T212" s="10"/>
      <c r="U212" s="12">
        <f t="shared" si="69"/>
        <v>0</v>
      </c>
      <c r="W212" s="10">
        <v>30</v>
      </c>
      <c r="X212" s="32"/>
      <c r="Y212" s="33"/>
      <c r="Z212" s="51"/>
      <c r="AA212" s="33"/>
      <c r="AB212" s="34">
        <f t="shared" si="79"/>
        <v>0</v>
      </c>
      <c r="AC212" s="10"/>
      <c r="AD212" s="10"/>
      <c r="AE212" s="10"/>
      <c r="AF212" s="12">
        <f t="shared" si="71"/>
        <v>0</v>
      </c>
      <c r="AH212" s="10">
        <v>30</v>
      </c>
      <c r="AI212" s="32"/>
      <c r="AJ212" s="33"/>
      <c r="AK212" s="51"/>
      <c r="AL212" s="33"/>
      <c r="AM212" s="34">
        <f t="shared" si="80"/>
        <v>0</v>
      </c>
      <c r="AN212" s="10"/>
      <c r="AO212" s="10"/>
      <c r="AP212" s="10"/>
      <c r="AQ212" s="12">
        <f t="shared" si="73"/>
        <v>0</v>
      </c>
      <c r="AR212" s="18"/>
    </row>
    <row r="213" spans="1:44" x14ac:dyDescent="0.25">
      <c r="A213" s="10">
        <v>31</v>
      </c>
      <c r="B213" s="32"/>
      <c r="C213" s="33"/>
      <c r="D213" s="34"/>
      <c r="E213" s="34"/>
      <c r="F213" s="34">
        <f t="shared" si="66"/>
        <v>0</v>
      </c>
      <c r="G213" s="10"/>
      <c r="H213" s="10"/>
      <c r="I213" s="10"/>
      <c r="J213" s="12">
        <f t="shared" si="67"/>
        <v>0</v>
      </c>
      <c r="L213" s="10">
        <v>31</v>
      </c>
      <c r="M213" s="32"/>
      <c r="N213" s="33"/>
      <c r="O213" s="51"/>
      <c r="P213" s="33"/>
      <c r="Q213" s="34">
        <f t="shared" si="68"/>
        <v>0</v>
      </c>
      <c r="R213" s="10"/>
      <c r="S213" s="10"/>
      <c r="T213" s="10"/>
      <c r="U213" s="12">
        <f t="shared" si="69"/>
        <v>0</v>
      </c>
      <c r="W213" s="10">
        <v>31</v>
      </c>
      <c r="X213" s="32"/>
      <c r="Y213" s="33"/>
      <c r="Z213" s="51"/>
      <c r="AA213" s="33"/>
      <c r="AB213" s="34">
        <f t="shared" si="79"/>
        <v>0</v>
      </c>
      <c r="AC213" s="10"/>
      <c r="AD213" s="10"/>
      <c r="AE213" s="10"/>
      <c r="AF213" s="12">
        <f t="shared" si="71"/>
        <v>0</v>
      </c>
      <c r="AH213" s="10">
        <v>31</v>
      </c>
      <c r="AI213" s="32"/>
      <c r="AJ213" s="33"/>
      <c r="AK213" s="51"/>
      <c r="AL213" s="33"/>
      <c r="AM213" s="34">
        <f t="shared" si="80"/>
        <v>0</v>
      </c>
      <c r="AN213" s="10"/>
      <c r="AO213" s="10"/>
      <c r="AP213" s="10"/>
      <c r="AQ213" s="12">
        <f t="shared" si="73"/>
        <v>0</v>
      </c>
      <c r="AR213" s="18"/>
    </row>
    <row r="214" spans="1:44" x14ac:dyDescent="0.25">
      <c r="A214" s="10">
        <v>32</v>
      </c>
      <c r="B214" s="32"/>
      <c r="C214" s="33"/>
      <c r="D214" s="34"/>
      <c r="E214" s="34"/>
      <c r="F214" s="34">
        <f t="shared" si="66"/>
        <v>0</v>
      </c>
      <c r="G214" s="10"/>
      <c r="H214" s="10"/>
      <c r="I214" s="10"/>
      <c r="J214" s="12">
        <f t="shared" si="67"/>
        <v>0</v>
      </c>
      <c r="L214" s="10">
        <v>32</v>
      </c>
      <c r="M214" s="32"/>
      <c r="N214" s="33"/>
      <c r="O214" s="51"/>
      <c r="P214" s="33"/>
      <c r="Q214" s="34">
        <f t="shared" si="68"/>
        <v>0</v>
      </c>
      <c r="R214" s="10"/>
      <c r="S214" s="10"/>
      <c r="T214" s="10"/>
      <c r="U214" s="12">
        <f t="shared" si="69"/>
        <v>0</v>
      </c>
      <c r="W214" s="10">
        <v>32</v>
      </c>
      <c r="X214" s="32"/>
      <c r="Y214" s="33"/>
      <c r="Z214" s="51"/>
      <c r="AA214" s="33"/>
      <c r="AB214" s="34">
        <f t="shared" si="79"/>
        <v>0</v>
      </c>
      <c r="AC214" s="10"/>
      <c r="AD214" s="10"/>
      <c r="AE214" s="10"/>
      <c r="AF214" s="12">
        <f t="shared" si="71"/>
        <v>0</v>
      </c>
      <c r="AH214" s="10">
        <v>32</v>
      </c>
      <c r="AI214" s="32"/>
      <c r="AJ214" s="33"/>
      <c r="AK214" s="51"/>
      <c r="AL214" s="33"/>
      <c r="AM214" s="34">
        <f t="shared" si="80"/>
        <v>0</v>
      </c>
      <c r="AN214" s="10"/>
      <c r="AO214" s="10"/>
      <c r="AP214" s="10"/>
      <c r="AQ214" s="12">
        <f t="shared" si="73"/>
        <v>0</v>
      </c>
      <c r="AR214" s="18"/>
    </row>
    <row r="215" spans="1:44" x14ac:dyDescent="0.25">
      <c r="A215" s="10">
        <v>33</v>
      </c>
      <c r="B215" s="32"/>
      <c r="C215" s="33"/>
      <c r="D215" s="34"/>
      <c r="E215" s="34"/>
      <c r="F215" s="34">
        <f t="shared" si="66"/>
        <v>0</v>
      </c>
      <c r="G215" s="10"/>
      <c r="H215" s="10"/>
      <c r="I215" s="10"/>
      <c r="J215" s="12">
        <f t="shared" si="67"/>
        <v>0</v>
      </c>
      <c r="L215" s="10">
        <v>33</v>
      </c>
      <c r="M215" s="32"/>
      <c r="O215" s="51"/>
      <c r="P215" s="33"/>
      <c r="Q215" s="34">
        <f t="shared" si="68"/>
        <v>0</v>
      </c>
      <c r="R215" s="10"/>
      <c r="S215" s="10"/>
      <c r="T215" s="10"/>
      <c r="U215" s="12">
        <f t="shared" si="69"/>
        <v>0</v>
      </c>
      <c r="W215" s="10">
        <v>33</v>
      </c>
      <c r="X215" s="32"/>
      <c r="Y215" s="33"/>
      <c r="Z215" s="51"/>
      <c r="AA215" s="33"/>
      <c r="AB215" s="34">
        <f t="shared" si="79"/>
        <v>0</v>
      </c>
      <c r="AC215" s="10"/>
      <c r="AD215" s="10"/>
      <c r="AE215" s="10"/>
      <c r="AF215" s="12">
        <f t="shared" si="71"/>
        <v>0</v>
      </c>
      <c r="AH215" s="10">
        <v>33</v>
      </c>
      <c r="AI215" s="32"/>
      <c r="AJ215" s="33"/>
      <c r="AK215" s="51"/>
      <c r="AL215" s="33"/>
      <c r="AM215" s="34">
        <f t="shared" si="80"/>
        <v>0</v>
      </c>
      <c r="AN215" s="10"/>
      <c r="AO215" s="10"/>
      <c r="AP215" s="10"/>
      <c r="AQ215" s="12">
        <f t="shared" si="73"/>
        <v>0</v>
      </c>
      <c r="AR215" s="18"/>
    </row>
    <row r="216" spans="1:44" x14ac:dyDescent="0.25">
      <c r="A216" s="10"/>
      <c r="B216" s="32"/>
      <c r="C216" s="33"/>
      <c r="D216" s="34"/>
      <c r="E216" s="34"/>
      <c r="F216" s="34">
        <f t="shared" si="66"/>
        <v>0</v>
      </c>
      <c r="G216" s="10"/>
      <c r="H216" s="10"/>
      <c r="I216" s="10"/>
      <c r="J216" s="12">
        <f t="shared" si="67"/>
        <v>0</v>
      </c>
      <c r="L216" s="10">
        <v>34</v>
      </c>
      <c r="M216" s="32"/>
      <c r="N216" s="33"/>
      <c r="O216" s="51"/>
      <c r="P216" s="33"/>
      <c r="Q216" s="34">
        <f t="shared" ref="Q216:Q221" si="81">SUM(O216:P216)</f>
        <v>0</v>
      </c>
      <c r="R216" s="10"/>
      <c r="S216" s="10"/>
      <c r="T216" s="10"/>
      <c r="U216" s="12">
        <f t="shared" ref="U216:U224" si="82">SUM(Q216:T216)</f>
        <v>0</v>
      </c>
      <c r="W216" s="10">
        <v>34</v>
      </c>
      <c r="X216" s="32"/>
      <c r="Y216" s="33"/>
      <c r="Z216" s="51"/>
      <c r="AA216" s="33"/>
      <c r="AB216" s="34">
        <f t="shared" ref="AB216:AB221" si="83">SUM(Z216:AA216)</f>
        <v>0</v>
      </c>
      <c r="AC216" s="10"/>
      <c r="AD216" s="10"/>
      <c r="AE216" s="10"/>
      <c r="AF216" s="12">
        <f t="shared" ref="AF216:AF224" si="84">SUM(AB216:AE216)</f>
        <v>0</v>
      </c>
      <c r="AH216" s="10">
        <v>34</v>
      </c>
      <c r="AI216" s="32"/>
      <c r="AJ216" s="33"/>
      <c r="AK216" s="51"/>
      <c r="AL216" s="33"/>
      <c r="AM216" s="34">
        <f t="shared" si="80"/>
        <v>0</v>
      </c>
      <c r="AN216" s="10"/>
      <c r="AO216" s="10"/>
      <c r="AP216" s="10"/>
      <c r="AQ216" s="12">
        <f t="shared" ref="AQ216:AQ224" si="85">SUM(AM216:AP216)</f>
        <v>0</v>
      </c>
      <c r="AR216" s="18"/>
    </row>
    <row r="217" spans="1:44" x14ac:dyDescent="0.25">
      <c r="A217" s="10"/>
      <c r="B217" s="32"/>
      <c r="C217" s="33"/>
      <c r="D217" s="34"/>
      <c r="E217" s="34"/>
      <c r="F217" s="34"/>
      <c r="G217" s="10"/>
      <c r="H217" s="10"/>
      <c r="I217" s="10"/>
      <c r="J217" s="12"/>
      <c r="L217" s="10">
        <v>35</v>
      </c>
      <c r="M217" s="32"/>
      <c r="N217" s="33"/>
      <c r="O217" s="51"/>
      <c r="P217" s="33"/>
      <c r="Q217" s="34">
        <f t="shared" si="81"/>
        <v>0</v>
      </c>
      <c r="R217" s="10"/>
      <c r="S217" s="10"/>
      <c r="T217" s="10"/>
      <c r="U217" s="12">
        <f t="shared" si="82"/>
        <v>0</v>
      </c>
      <c r="W217" s="10">
        <v>35</v>
      </c>
      <c r="X217" s="32"/>
      <c r="Y217" s="33"/>
      <c r="Z217" s="51"/>
      <c r="AA217" s="33"/>
      <c r="AB217" s="34">
        <f t="shared" si="83"/>
        <v>0</v>
      </c>
      <c r="AC217" s="10"/>
      <c r="AD217" s="10"/>
      <c r="AE217" s="10"/>
      <c r="AF217" s="12">
        <f t="shared" si="84"/>
        <v>0</v>
      </c>
      <c r="AH217" s="10">
        <v>35</v>
      </c>
      <c r="AI217" s="32"/>
      <c r="AJ217" s="33"/>
      <c r="AK217" s="51"/>
      <c r="AL217" s="33"/>
      <c r="AM217" s="34">
        <f t="shared" si="80"/>
        <v>0</v>
      </c>
      <c r="AN217" s="10"/>
      <c r="AO217" s="10"/>
      <c r="AP217" s="10"/>
      <c r="AQ217" s="12">
        <f t="shared" si="85"/>
        <v>0</v>
      </c>
      <c r="AR217" s="18"/>
    </row>
    <row r="218" spans="1:44" x14ac:dyDescent="0.25">
      <c r="A218" s="10"/>
      <c r="B218" s="32"/>
      <c r="C218" s="33"/>
      <c r="D218" s="34"/>
      <c r="E218" s="34"/>
      <c r="F218" s="34"/>
      <c r="G218" s="10"/>
      <c r="H218" s="10"/>
      <c r="I218" s="10"/>
      <c r="J218" s="12"/>
      <c r="L218" s="10">
        <v>36</v>
      </c>
      <c r="M218" s="32"/>
      <c r="N218" s="33"/>
      <c r="O218" s="51"/>
      <c r="P218" s="33"/>
      <c r="Q218" s="34">
        <f t="shared" si="81"/>
        <v>0</v>
      </c>
      <c r="R218" s="10"/>
      <c r="S218" s="10"/>
      <c r="T218" s="10"/>
      <c r="U218" s="12">
        <f t="shared" si="82"/>
        <v>0</v>
      </c>
      <c r="W218" s="10">
        <v>36</v>
      </c>
      <c r="X218" s="32"/>
      <c r="Y218" s="33"/>
      <c r="Z218" s="51"/>
      <c r="AA218" s="33"/>
      <c r="AB218" s="34">
        <f t="shared" si="83"/>
        <v>0</v>
      </c>
      <c r="AC218" s="10"/>
      <c r="AD218" s="10"/>
      <c r="AE218" s="10"/>
      <c r="AF218" s="12">
        <f t="shared" si="84"/>
        <v>0</v>
      </c>
      <c r="AH218" s="10">
        <v>36</v>
      </c>
      <c r="AI218" s="32"/>
      <c r="AJ218" s="33"/>
      <c r="AK218" s="51"/>
      <c r="AL218" s="33"/>
      <c r="AM218" s="34">
        <f t="shared" si="80"/>
        <v>0</v>
      </c>
      <c r="AN218" s="10"/>
      <c r="AO218" s="10"/>
      <c r="AP218" s="10"/>
      <c r="AQ218" s="12">
        <f t="shared" si="85"/>
        <v>0</v>
      </c>
      <c r="AR218" s="18"/>
    </row>
    <row r="219" spans="1:44" x14ac:dyDescent="0.25">
      <c r="A219" s="10"/>
      <c r="B219" s="32"/>
      <c r="C219" s="33"/>
      <c r="D219" s="34"/>
      <c r="E219" s="34"/>
      <c r="F219" s="34"/>
      <c r="G219" s="10"/>
      <c r="H219" s="10"/>
      <c r="I219" s="10"/>
      <c r="J219" s="12"/>
      <c r="L219" s="10">
        <v>37</v>
      </c>
      <c r="M219" s="32"/>
      <c r="N219" s="33"/>
      <c r="O219" s="51"/>
      <c r="P219" s="33"/>
      <c r="Q219" s="34">
        <f t="shared" si="81"/>
        <v>0</v>
      </c>
      <c r="R219" s="10"/>
      <c r="S219" s="10"/>
      <c r="T219" s="10"/>
      <c r="U219" s="12">
        <f t="shared" si="82"/>
        <v>0</v>
      </c>
      <c r="W219" s="10">
        <v>37</v>
      </c>
      <c r="X219" s="32"/>
      <c r="Y219" s="33"/>
      <c r="Z219" s="51"/>
      <c r="AA219" s="33"/>
      <c r="AB219" s="34">
        <f t="shared" si="83"/>
        <v>0</v>
      </c>
      <c r="AC219" s="10"/>
      <c r="AD219" s="10"/>
      <c r="AE219" s="10"/>
      <c r="AF219" s="12">
        <f t="shared" si="84"/>
        <v>0</v>
      </c>
      <c r="AH219" s="10">
        <v>37</v>
      </c>
      <c r="AI219" s="32"/>
      <c r="AJ219" s="33"/>
      <c r="AK219" s="51"/>
      <c r="AL219" s="33"/>
      <c r="AM219" s="34">
        <f t="shared" si="80"/>
        <v>0</v>
      </c>
      <c r="AN219" s="10"/>
      <c r="AO219" s="10"/>
      <c r="AP219" s="10"/>
      <c r="AQ219" s="12">
        <f t="shared" si="85"/>
        <v>0</v>
      </c>
      <c r="AR219" s="18"/>
    </row>
    <row r="220" spans="1:44" x14ac:dyDescent="0.25">
      <c r="A220" s="10"/>
      <c r="B220" s="32"/>
      <c r="C220" s="33"/>
      <c r="D220" s="34"/>
      <c r="E220" s="34"/>
      <c r="F220" s="34"/>
      <c r="G220" s="10"/>
      <c r="H220" s="10"/>
      <c r="I220" s="10"/>
      <c r="J220" s="12"/>
      <c r="L220" s="10">
        <v>38</v>
      </c>
      <c r="M220" s="32"/>
      <c r="N220" s="33"/>
      <c r="O220" s="51"/>
      <c r="P220" s="33"/>
      <c r="Q220" s="34">
        <f t="shared" si="81"/>
        <v>0</v>
      </c>
      <c r="R220" s="10"/>
      <c r="S220" s="10"/>
      <c r="T220" s="10"/>
      <c r="U220" s="12">
        <f t="shared" si="82"/>
        <v>0</v>
      </c>
      <c r="W220" s="10">
        <v>38</v>
      </c>
      <c r="X220" s="32"/>
      <c r="Y220" s="33"/>
      <c r="Z220" s="51"/>
      <c r="AA220" s="33"/>
      <c r="AB220" s="34">
        <f t="shared" si="83"/>
        <v>0</v>
      </c>
      <c r="AC220" s="10"/>
      <c r="AD220" s="10"/>
      <c r="AE220" s="10"/>
      <c r="AF220" s="12">
        <f t="shared" si="84"/>
        <v>0</v>
      </c>
      <c r="AH220" s="10">
        <v>38</v>
      </c>
      <c r="AI220" s="32"/>
      <c r="AJ220" s="33"/>
      <c r="AK220" s="51"/>
      <c r="AL220" s="33"/>
      <c r="AM220" s="34">
        <f t="shared" si="80"/>
        <v>0</v>
      </c>
      <c r="AN220" s="10"/>
      <c r="AO220" s="10"/>
      <c r="AP220" s="10"/>
      <c r="AQ220" s="12">
        <f t="shared" si="85"/>
        <v>0</v>
      </c>
      <c r="AR220" s="18"/>
    </row>
    <row r="221" spans="1:44" x14ac:dyDescent="0.25">
      <c r="A221" s="10"/>
      <c r="B221" s="32"/>
      <c r="C221" s="33"/>
      <c r="D221" s="34"/>
      <c r="E221" s="34"/>
      <c r="F221" s="34"/>
      <c r="G221" s="10"/>
      <c r="H221" s="10"/>
      <c r="I221" s="10"/>
      <c r="J221" s="12"/>
      <c r="L221" s="10">
        <v>39</v>
      </c>
      <c r="M221" s="32"/>
      <c r="N221" s="33"/>
      <c r="O221" s="51"/>
      <c r="P221" s="33"/>
      <c r="Q221" s="34">
        <f t="shared" si="81"/>
        <v>0</v>
      </c>
      <c r="R221" s="10"/>
      <c r="S221" s="10"/>
      <c r="T221" s="10"/>
      <c r="U221" s="12">
        <f t="shared" si="82"/>
        <v>0</v>
      </c>
      <c r="W221" s="10">
        <v>39</v>
      </c>
      <c r="X221" s="32"/>
      <c r="Y221" s="33"/>
      <c r="Z221" s="51"/>
      <c r="AA221" s="33"/>
      <c r="AB221" s="34">
        <f t="shared" si="83"/>
        <v>0</v>
      </c>
      <c r="AC221" s="10"/>
      <c r="AD221" s="10"/>
      <c r="AE221" s="10"/>
      <c r="AF221" s="12">
        <f t="shared" si="84"/>
        <v>0</v>
      </c>
      <c r="AH221" s="10">
        <v>39</v>
      </c>
      <c r="AI221" s="32"/>
      <c r="AJ221" s="33"/>
      <c r="AK221" s="51"/>
      <c r="AL221" s="33"/>
      <c r="AM221" s="34">
        <f t="shared" si="80"/>
        <v>0</v>
      </c>
      <c r="AN221" s="10"/>
      <c r="AO221" s="10"/>
      <c r="AP221" s="10"/>
      <c r="AQ221" s="12">
        <f t="shared" si="85"/>
        <v>0</v>
      </c>
      <c r="AR221" s="18"/>
    </row>
    <row r="222" spans="1:44" x14ac:dyDescent="0.25">
      <c r="A222" s="10"/>
      <c r="B222" s="32"/>
      <c r="D222" s="34"/>
      <c r="E222" s="34"/>
      <c r="F222" s="34"/>
      <c r="G222" s="10"/>
      <c r="H222" s="10"/>
      <c r="I222" s="10"/>
      <c r="J222" s="12"/>
      <c r="L222" s="10"/>
      <c r="M222" s="32"/>
      <c r="O222" s="51"/>
      <c r="P222" s="33"/>
      <c r="Q222" s="34"/>
      <c r="R222" s="10"/>
      <c r="S222" s="10"/>
      <c r="T222" s="10"/>
      <c r="U222" s="12">
        <f t="shared" si="82"/>
        <v>0</v>
      </c>
      <c r="W222" s="10"/>
      <c r="X222" s="32"/>
      <c r="Z222" s="51"/>
      <c r="AA222" s="33"/>
      <c r="AB222" s="34"/>
      <c r="AC222" s="10"/>
      <c r="AD222" s="10"/>
      <c r="AE222" s="10"/>
      <c r="AF222" s="12">
        <f t="shared" si="84"/>
        <v>0</v>
      </c>
      <c r="AH222" s="10"/>
      <c r="AI222" s="32"/>
      <c r="AK222" s="51"/>
      <c r="AL222" s="33"/>
      <c r="AM222" s="34"/>
      <c r="AN222" s="10"/>
      <c r="AO222" s="10"/>
      <c r="AP222" s="10"/>
      <c r="AQ222" s="12">
        <f t="shared" si="85"/>
        <v>0</v>
      </c>
      <c r="AR222" s="18"/>
    </row>
    <row r="223" spans="1:44" x14ac:dyDescent="0.25">
      <c r="A223" s="10"/>
      <c r="B223" s="32"/>
      <c r="C223" s="33"/>
      <c r="D223" s="34"/>
      <c r="E223" s="34"/>
      <c r="F223" s="34">
        <f t="shared" ref="F223" si="86">SUM(D223:E223)</f>
        <v>0</v>
      </c>
      <c r="G223" s="10"/>
      <c r="H223" s="10"/>
      <c r="I223" s="10"/>
      <c r="J223" s="12">
        <f t="shared" ref="J223" si="87">SUM(F223:I223)</f>
        <v>0</v>
      </c>
      <c r="L223" s="10"/>
      <c r="M223" s="32"/>
      <c r="N223" s="33"/>
      <c r="O223" s="51"/>
      <c r="P223" s="33"/>
      <c r="Q223" s="34">
        <f t="shared" ref="Q223" si="88">SUM(O223:P223)</f>
        <v>0</v>
      </c>
      <c r="R223" s="10"/>
      <c r="S223" s="10"/>
      <c r="T223" s="10"/>
      <c r="U223" s="12">
        <f t="shared" si="82"/>
        <v>0</v>
      </c>
      <c r="W223" s="10"/>
      <c r="X223" s="32"/>
      <c r="Y223" s="33"/>
      <c r="Z223" s="51"/>
      <c r="AA223" s="33"/>
      <c r="AB223" s="34">
        <f t="shared" ref="AB223" si="89">SUM(Z223:AA223)</f>
        <v>0</v>
      </c>
      <c r="AC223" s="10"/>
      <c r="AD223" s="10"/>
      <c r="AE223" s="10"/>
      <c r="AF223" s="12">
        <f t="shared" si="84"/>
        <v>0</v>
      </c>
      <c r="AH223" s="10"/>
      <c r="AI223" s="32"/>
      <c r="AJ223" s="33"/>
      <c r="AK223" s="51"/>
      <c r="AL223" s="33"/>
      <c r="AM223" s="34">
        <f t="shared" ref="AM223" si="90">SUM(AK223:AL223)</f>
        <v>0</v>
      </c>
      <c r="AN223" s="10"/>
      <c r="AO223" s="10"/>
      <c r="AP223" s="10"/>
      <c r="AQ223" s="12">
        <f t="shared" si="85"/>
        <v>0</v>
      </c>
      <c r="AR223" s="18"/>
    </row>
    <row r="224" spans="1:44" x14ac:dyDescent="0.25">
      <c r="A224" s="10"/>
      <c r="B224" s="32"/>
      <c r="C224" s="32"/>
      <c r="D224" s="34"/>
      <c r="E224" s="34"/>
      <c r="F224" s="34"/>
      <c r="G224" s="10"/>
      <c r="H224" s="10"/>
      <c r="I224" s="10"/>
      <c r="J224" s="12"/>
      <c r="L224" s="10"/>
      <c r="M224" s="33"/>
      <c r="N224" s="33"/>
      <c r="O224" s="33"/>
      <c r="P224" s="33"/>
      <c r="Q224" s="33"/>
      <c r="R224" s="10"/>
      <c r="S224" s="10"/>
      <c r="T224" s="10"/>
      <c r="U224" s="12">
        <f t="shared" si="82"/>
        <v>0</v>
      </c>
      <c r="W224" s="10"/>
      <c r="X224" s="33"/>
      <c r="Y224" s="33"/>
      <c r="Z224" s="33"/>
      <c r="AA224" s="33"/>
      <c r="AB224" s="33"/>
      <c r="AC224" s="10"/>
      <c r="AD224" s="10"/>
      <c r="AE224" s="10"/>
      <c r="AF224" s="12">
        <f t="shared" si="84"/>
        <v>0</v>
      </c>
      <c r="AH224" s="10"/>
      <c r="AI224" s="33"/>
      <c r="AJ224" s="33"/>
      <c r="AK224" s="33"/>
      <c r="AL224" s="33"/>
      <c r="AM224" s="33"/>
      <c r="AN224" s="10"/>
      <c r="AO224" s="10"/>
      <c r="AP224" s="10"/>
      <c r="AQ224" s="12">
        <f t="shared" si="85"/>
        <v>0</v>
      </c>
      <c r="AR224" s="18"/>
    </row>
    <row r="225" spans="1:44" x14ac:dyDescent="0.25">
      <c r="B225" s="68"/>
      <c r="C225" s="68"/>
      <c r="D225" s="38"/>
      <c r="E225" s="38"/>
      <c r="F225" s="38"/>
      <c r="G225" s="39"/>
      <c r="H225" s="39"/>
      <c r="I225" s="39"/>
      <c r="J225" s="39"/>
      <c r="M225" s="68"/>
      <c r="N225" s="68"/>
      <c r="O225" s="38"/>
      <c r="P225" s="38"/>
      <c r="Q225" s="38"/>
      <c r="R225" s="39"/>
      <c r="S225" s="39"/>
      <c r="T225" s="39"/>
      <c r="U225" s="39"/>
      <c r="X225" s="68"/>
      <c r="Y225" s="68"/>
      <c r="Z225" s="38"/>
      <c r="AA225" s="38"/>
      <c r="AB225" s="38"/>
      <c r="AC225" s="39"/>
      <c r="AD225" s="39"/>
      <c r="AE225" s="39"/>
      <c r="AF225" s="39"/>
      <c r="AI225" s="68"/>
      <c r="AJ225" s="68"/>
      <c r="AK225" s="38"/>
      <c r="AL225" s="38"/>
      <c r="AM225" s="38"/>
      <c r="AN225" s="39"/>
      <c r="AO225" s="39"/>
      <c r="AP225" s="39"/>
      <c r="AQ225" s="39"/>
      <c r="AR225" s="18"/>
    </row>
    <row r="226" spans="1:44" x14ac:dyDescent="0.25">
      <c r="B226" s="68"/>
      <c r="C226" s="68"/>
      <c r="D226" s="40">
        <f>SUM(D183:D225)</f>
        <v>276438.5</v>
      </c>
      <c r="E226" s="40">
        <f t="shared" ref="E226" si="91">SUM(E183:E223)</f>
        <v>-1872</v>
      </c>
      <c r="F226" s="40">
        <f>SUM(F183:F225)</f>
        <v>274566.5</v>
      </c>
      <c r="G226" s="4"/>
      <c r="H226" s="41">
        <f>SUM(H183:H225)</f>
        <v>1182.5</v>
      </c>
      <c r="I226" s="41">
        <f>SUM(I183:I225)</f>
        <v>-7384</v>
      </c>
      <c r="J226" s="42">
        <f>SUM(J183:J225)</f>
        <v>268365</v>
      </c>
      <c r="M226" s="68"/>
      <c r="N226" s="68"/>
      <c r="O226" s="40">
        <f>SUM(O183:O225)</f>
        <v>137973.5</v>
      </c>
      <c r="P226" s="40">
        <f>SUM(P183:P207)</f>
        <v>0</v>
      </c>
      <c r="Q226" s="40">
        <f>SUM(Q183:Q225)</f>
        <v>137973.5</v>
      </c>
      <c r="R226" s="4"/>
      <c r="S226" s="43">
        <f>SUM(S183:S225)</f>
        <v>622.5</v>
      </c>
      <c r="T226" s="43">
        <f>SUM(T183:T207)</f>
        <v>0</v>
      </c>
      <c r="U226" s="44">
        <f>SUM(U183:U225)</f>
        <v>138263</v>
      </c>
      <c r="X226" s="68"/>
      <c r="Y226" s="68"/>
      <c r="Z226" s="40">
        <f>SUM(Z183:Z225)</f>
        <v>297381</v>
      </c>
      <c r="AA226" s="40">
        <f>SUM(AA183:AA207)</f>
        <v>-2680</v>
      </c>
      <c r="AB226" s="40">
        <f>SUM(AB183:AB225)</f>
        <v>294701</v>
      </c>
      <c r="AC226" s="4"/>
      <c r="AD226" s="43">
        <f>SUM(AD183:AD225)</f>
        <v>17904</v>
      </c>
      <c r="AE226" s="43">
        <f>SUM(AE183:AE207)</f>
        <v>-3330</v>
      </c>
      <c r="AF226" s="44">
        <f>SUM(AF183:AF225)</f>
        <v>309275</v>
      </c>
      <c r="AI226" s="68"/>
      <c r="AJ226" s="68"/>
      <c r="AK226" s="40">
        <f>SUM(AK183:AK225)</f>
        <v>5860</v>
      </c>
      <c r="AL226" s="40">
        <f>SUM(AL183:AL207)</f>
        <v>0</v>
      </c>
      <c r="AM226" s="40">
        <f>SUM(AM183:AM225)</f>
        <v>5860</v>
      </c>
      <c r="AN226" s="4"/>
      <c r="AO226" s="43">
        <f>SUM(AO183:AO225)</f>
        <v>1008</v>
      </c>
      <c r="AP226" s="43">
        <f>SUM(AP183:AP207)</f>
        <v>0</v>
      </c>
      <c r="AQ226" s="44">
        <f>SUM(AQ183:AQ225)</f>
        <v>6868</v>
      </c>
      <c r="AR226" s="18"/>
    </row>
    <row r="227" spans="1:44" x14ac:dyDescent="0.25">
      <c r="B227" s="68"/>
      <c r="C227" s="68"/>
      <c r="D227" s="68"/>
      <c r="E227" s="68"/>
      <c r="F227" s="68"/>
      <c r="M227" s="68"/>
      <c r="N227" s="68"/>
      <c r="O227" s="45"/>
      <c r="P227" s="68"/>
      <c r="Q227" s="68"/>
      <c r="X227" s="68"/>
      <c r="Y227" s="68"/>
      <c r="Z227" s="45"/>
      <c r="AA227" s="68"/>
      <c r="AB227" s="68"/>
      <c r="AI227" s="68"/>
      <c r="AJ227" s="68"/>
      <c r="AK227" s="45"/>
      <c r="AL227" s="68"/>
      <c r="AM227" s="68"/>
      <c r="AR227" s="18"/>
    </row>
    <row r="228" spans="1:44" x14ac:dyDescent="0.25">
      <c r="B228" s="68"/>
      <c r="C228" s="68"/>
      <c r="D228" s="68"/>
      <c r="E228" s="68"/>
      <c r="F228" s="68"/>
      <c r="M228" s="68"/>
      <c r="N228" s="68"/>
      <c r="O228" s="68"/>
      <c r="P228" s="68"/>
      <c r="Q228" s="68"/>
      <c r="X228" s="68"/>
      <c r="Y228" s="68"/>
      <c r="Z228" s="68"/>
      <c r="AA228" s="68"/>
      <c r="AB228" s="68"/>
      <c r="AI228" s="68"/>
      <c r="AJ228" s="68"/>
      <c r="AK228" s="68"/>
      <c r="AL228" s="68"/>
      <c r="AM228" s="68"/>
      <c r="AR228" s="18"/>
    </row>
    <row r="229" spans="1:44" x14ac:dyDescent="0.25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</row>
    <row r="230" spans="1:44" x14ac:dyDescent="0.25">
      <c r="A230" t="s">
        <v>0</v>
      </c>
      <c r="B230" s="69"/>
      <c r="C230" s="69"/>
      <c r="D230" s="69"/>
      <c r="E230" s="69"/>
      <c r="F230" s="69"/>
      <c r="L230" t="s">
        <v>0</v>
      </c>
      <c r="M230" s="69"/>
      <c r="N230" s="69"/>
      <c r="O230" s="69"/>
      <c r="P230" s="69"/>
      <c r="Q230" s="69"/>
      <c r="W230" t="s">
        <v>0</v>
      </c>
      <c r="X230" s="69"/>
      <c r="Y230" s="69"/>
      <c r="Z230" s="69"/>
      <c r="AA230" s="69"/>
      <c r="AB230" s="69"/>
    </row>
    <row r="231" spans="1:44" x14ac:dyDescent="0.25">
      <c r="A231" t="s">
        <v>30</v>
      </c>
      <c r="B231" s="69"/>
      <c r="C231" s="69"/>
      <c r="D231" s="69"/>
      <c r="E231" s="69"/>
      <c r="F231" s="69"/>
      <c r="L231" t="s">
        <v>30</v>
      </c>
      <c r="M231" s="69"/>
      <c r="N231" s="69"/>
      <c r="O231" s="69"/>
      <c r="P231" s="69"/>
      <c r="Q231" s="69"/>
      <c r="W231" t="s">
        <v>30</v>
      </c>
      <c r="X231" s="69"/>
      <c r="Y231" s="69"/>
      <c r="Z231" s="69"/>
      <c r="AA231" s="69"/>
      <c r="AB231" s="69"/>
    </row>
    <row r="232" spans="1:44" x14ac:dyDescent="0.25">
      <c r="B232" s="69"/>
      <c r="C232" s="69"/>
      <c r="D232" s="69"/>
      <c r="E232" s="69"/>
      <c r="F232" s="69"/>
      <c r="M232" s="69"/>
      <c r="N232" s="69"/>
      <c r="O232" s="69"/>
      <c r="P232" s="69"/>
      <c r="Q232" s="69"/>
      <c r="X232" s="69"/>
      <c r="Y232" s="69"/>
      <c r="Z232" s="69"/>
      <c r="AA232" s="69"/>
      <c r="AB232" s="69"/>
    </row>
    <row r="233" spans="1:44" x14ac:dyDescent="0.25">
      <c r="A233" s="4" t="s">
        <v>15</v>
      </c>
      <c r="B233" s="69"/>
      <c r="C233" s="69"/>
      <c r="D233" s="69"/>
      <c r="E233" s="69"/>
      <c r="F233" s="69"/>
      <c r="L233" s="4" t="s">
        <v>15</v>
      </c>
      <c r="M233" s="69"/>
      <c r="N233" s="69"/>
      <c r="O233" s="69"/>
      <c r="P233" s="69"/>
      <c r="Q233" s="69"/>
      <c r="W233" s="4" t="s">
        <v>15</v>
      </c>
      <c r="X233" s="69"/>
      <c r="Y233" s="69"/>
      <c r="Z233" s="69"/>
      <c r="AA233" s="69"/>
      <c r="AB233" s="69"/>
    </row>
    <row r="234" spans="1:44" x14ac:dyDescent="0.25">
      <c r="B234" s="69"/>
      <c r="C234" s="69"/>
      <c r="D234" s="69"/>
      <c r="E234" s="69"/>
      <c r="F234" s="69"/>
      <c r="M234" s="69"/>
      <c r="N234" s="69"/>
      <c r="O234" s="69"/>
      <c r="P234" s="69"/>
      <c r="Q234" s="69"/>
      <c r="X234" s="69"/>
      <c r="Y234" s="69"/>
      <c r="Z234" s="69"/>
      <c r="AA234" s="69"/>
      <c r="AB234" s="69"/>
    </row>
    <row r="235" spans="1:44" ht="15.75" x14ac:dyDescent="0.25">
      <c r="A235" t="s">
        <v>35</v>
      </c>
      <c r="B235" s="69"/>
      <c r="C235" s="69"/>
      <c r="D235" s="69"/>
      <c r="E235" s="69"/>
      <c r="F235" s="69"/>
      <c r="H235" s="69" t="s">
        <v>16</v>
      </c>
      <c r="I235" s="19">
        <v>1</v>
      </c>
      <c r="L235" t="s">
        <v>35</v>
      </c>
      <c r="M235" s="69"/>
      <c r="N235" s="69"/>
      <c r="O235" s="69"/>
      <c r="P235" s="69"/>
      <c r="Q235" s="69"/>
      <c r="S235" s="69" t="s">
        <v>16</v>
      </c>
      <c r="T235" s="19">
        <v>2</v>
      </c>
      <c r="W235" t="s">
        <v>35</v>
      </c>
      <c r="X235" s="69"/>
      <c r="Y235" s="69"/>
      <c r="Z235" s="69"/>
      <c r="AA235" s="69"/>
      <c r="AB235" s="69"/>
      <c r="AD235" s="69" t="s">
        <v>16</v>
      </c>
      <c r="AE235" s="20">
        <v>3</v>
      </c>
    </row>
    <row r="236" spans="1:44" x14ac:dyDescent="0.25">
      <c r="A236" s="21" t="s">
        <v>55</v>
      </c>
      <c r="B236" s="20"/>
      <c r="C236" s="69"/>
      <c r="D236" s="69"/>
      <c r="E236" s="69"/>
      <c r="F236" s="69"/>
      <c r="H236" s="22" t="s">
        <v>17</v>
      </c>
      <c r="I236" s="23" t="s">
        <v>46</v>
      </c>
      <c r="J236" s="24"/>
      <c r="L236" s="21" t="s">
        <v>55</v>
      </c>
      <c r="M236" s="20"/>
      <c r="N236" s="69"/>
      <c r="O236" s="69"/>
      <c r="P236" s="69"/>
      <c r="Q236" s="69"/>
      <c r="S236" s="22" t="s">
        <v>17</v>
      </c>
      <c r="T236" s="23" t="s">
        <v>34</v>
      </c>
      <c r="U236" s="24"/>
      <c r="W236" s="21" t="s">
        <v>55</v>
      </c>
      <c r="X236" s="20"/>
      <c r="Y236" s="69"/>
      <c r="Z236" s="69"/>
      <c r="AA236" s="69"/>
      <c r="AB236" s="69"/>
      <c r="AD236" s="22" t="s">
        <v>17</v>
      </c>
      <c r="AE236" s="23" t="s">
        <v>47</v>
      </c>
      <c r="AF236" s="24"/>
    </row>
    <row r="237" spans="1:44" x14ac:dyDescent="0.25">
      <c r="B237" s="69"/>
      <c r="C237" s="69"/>
      <c r="D237" s="69"/>
      <c r="E237" s="69"/>
      <c r="F237" s="69"/>
      <c r="M237" s="69"/>
      <c r="N237" s="69"/>
      <c r="O237" s="69"/>
      <c r="P237" s="69"/>
      <c r="Q237" s="69"/>
      <c r="X237" s="69"/>
      <c r="Y237" s="69"/>
      <c r="Z237" s="69"/>
      <c r="AA237" s="69"/>
      <c r="AB237" s="69"/>
    </row>
    <row r="238" spans="1:44" x14ac:dyDescent="0.25">
      <c r="B238" s="25"/>
      <c r="C238" s="26"/>
      <c r="D238" s="79" t="s">
        <v>18</v>
      </c>
      <c r="E238" s="79"/>
      <c r="F238" s="27"/>
      <c r="H238" s="77" t="s">
        <v>19</v>
      </c>
      <c r="I238" s="78"/>
      <c r="J238" s="75" t="s">
        <v>20</v>
      </c>
      <c r="M238" s="25"/>
      <c r="N238" s="26"/>
      <c r="O238" s="79" t="s">
        <v>18</v>
      </c>
      <c r="P238" s="79"/>
      <c r="Q238" s="27"/>
      <c r="S238" s="77" t="s">
        <v>19</v>
      </c>
      <c r="T238" s="78"/>
      <c r="U238" s="75" t="s">
        <v>20</v>
      </c>
      <c r="X238" s="25"/>
      <c r="Y238" s="26"/>
      <c r="Z238" s="79" t="s">
        <v>18</v>
      </c>
      <c r="AA238" s="79"/>
      <c r="AB238" s="27"/>
      <c r="AD238" s="77" t="s">
        <v>19</v>
      </c>
      <c r="AE238" s="78"/>
      <c r="AF238" s="75" t="s">
        <v>20</v>
      </c>
    </row>
    <row r="239" spans="1:44" ht="30" x14ac:dyDescent="0.25">
      <c r="B239" s="28" t="s">
        <v>21</v>
      </c>
      <c r="C239" s="28" t="s">
        <v>22</v>
      </c>
      <c r="D239" s="29" t="s">
        <v>23</v>
      </c>
      <c r="E239" s="30" t="s">
        <v>24</v>
      </c>
      <c r="F239" s="30" t="s">
        <v>25</v>
      </c>
      <c r="H239" s="31" t="s">
        <v>26</v>
      </c>
      <c r="I239" s="31" t="s">
        <v>27</v>
      </c>
      <c r="J239" s="76"/>
      <c r="M239" s="28" t="s">
        <v>21</v>
      </c>
      <c r="N239" s="28" t="s">
        <v>22</v>
      </c>
      <c r="O239" s="29" t="s">
        <v>23</v>
      </c>
      <c r="P239" s="30" t="s">
        <v>24</v>
      </c>
      <c r="Q239" s="30" t="s">
        <v>25</v>
      </c>
      <c r="S239" s="31" t="s">
        <v>26</v>
      </c>
      <c r="T239" s="31" t="s">
        <v>27</v>
      </c>
      <c r="U239" s="76"/>
      <c r="X239" s="28" t="s">
        <v>21</v>
      </c>
      <c r="Y239" s="28" t="s">
        <v>22</v>
      </c>
      <c r="Z239" s="29" t="s">
        <v>23</v>
      </c>
      <c r="AA239" s="30" t="s">
        <v>24</v>
      </c>
      <c r="AB239" s="30" t="s">
        <v>25</v>
      </c>
      <c r="AD239" s="31" t="s">
        <v>26</v>
      </c>
      <c r="AE239" s="31" t="s">
        <v>27</v>
      </c>
      <c r="AF239" s="76"/>
    </row>
    <row r="240" spans="1:44" x14ac:dyDescent="0.25">
      <c r="A240" s="10">
        <v>1</v>
      </c>
      <c r="B240" s="32">
        <v>45298</v>
      </c>
      <c r="C240" s="33">
        <v>7089</v>
      </c>
      <c r="D240" s="34">
        <f>1878+25.5</f>
        <v>1903.5</v>
      </c>
      <c r="E240" s="34"/>
      <c r="F240" s="34">
        <f t="shared" ref="F240:F273" si="92">SUM(D240:E240)</f>
        <v>1903.5</v>
      </c>
      <c r="G240" s="12"/>
      <c r="H240" s="12">
        <v>18</v>
      </c>
      <c r="I240" s="12"/>
      <c r="J240" s="12">
        <f t="shared" ref="J240:J273" si="93">SUM(F240:I240)</f>
        <v>1921.5</v>
      </c>
      <c r="L240" s="10">
        <v>1</v>
      </c>
      <c r="M240" s="32">
        <v>45298</v>
      </c>
      <c r="N240" s="33">
        <v>7170</v>
      </c>
      <c r="O240" s="34">
        <f>626*216+614*10+205*9</f>
        <v>143201</v>
      </c>
      <c r="P240" s="34">
        <v>-2115</v>
      </c>
      <c r="Q240" s="34">
        <f>SUM(O240:P240)</f>
        <v>141086</v>
      </c>
      <c r="R240" s="12"/>
      <c r="S240" s="12">
        <f>23976+702+1110</f>
        <v>25788</v>
      </c>
      <c r="T240" s="12"/>
      <c r="U240" s="12">
        <f>SUM(Q240:T240)</f>
        <v>166874</v>
      </c>
      <c r="W240" s="10">
        <v>1</v>
      </c>
      <c r="X240" s="32">
        <v>45298</v>
      </c>
      <c r="Y240" s="33">
        <v>7013</v>
      </c>
      <c r="Z240" s="34">
        <f>626*216+596*34+205*10</f>
        <v>157530</v>
      </c>
      <c r="AA240" s="34">
        <v>-2340</v>
      </c>
      <c r="AB240" s="34">
        <f>SUM(Z240:AA240)</f>
        <v>155190</v>
      </c>
      <c r="AC240" s="12"/>
      <c r="AD240" s="12"/>
      <c r="AE240" s="12"/>
      <c r="AF240" s="12">
        <f>SUM(AB240:AE240)</f>
        <v>155190</v>
      </c>
    </row>
    <row r="241" spans="1:32" x14ac:dyDescent="0.25">
      <c r="A241" s="10">
        <v>2</v>
      </c>
      <c r="B241" s="32">
        <v>45298</v>
      </c>
      <c r="C241" s="33">
        <f>C240+1</f>
        <v>7090</v>
      </c>
      <c r="D241" s="34">
        <f>626*15+614*2+596*2+17*8.5</f>
        <v>11954.5</v>
      </c>
      <c r="E241" s="34"/>
      <c r="F241" s="34">
        <f t="shared" si="92"/>
        <v>11954.5</v>
      </c>
      <c r="G241" s="12"/>
      <c r="H241" s="12"/>
      <c r="I241" s="12"/>
      <c r="J241" s="12">
        <f t="shared" si="93"/>
        <v>11954.5</v>
      </c>
      <c r="L241" s="10">
        <v>2</v>
      </c>
      <c r="M241" s="32">
        <v>45298</v>
      </c>
      <c r="N241" s="33">
        <f>N240+1</f>
        <v>7171</v>
      </c>
      <c r="O241" s="34">
        <f>626+8.5</f>
        <v>634.5</v>
      </c>
      <c r="P241" s="34"/>
      <c r="Q241" s="34">
        <f t="shared" ref="Q241:Q272" si="94">SUM(O241:P241)</f>
        <v>634.5</v>
      </c>
      <c r="R241" s="12"/>
      <c r="S241" s="12"/>
      <c r="T241" s="12"/>
      <c r="U241" s="12">
        <f t="shared" ref="U241:U281" si="95">SUM(Q241:T241)</f>
        <v>634.5</v>
      </c>
      <c r="W241" s="10">
        <v>2</v>
      </c>
      <c r="X241" s="32">
        <v>45298</v>
      </c>
      <c r="Y241" s="33">
        <f>Y240+1</f>
        <v>7014</v>
      </c>
      <c r="Z241" s="34">
        <f>626*324+913*5+596*60+832*3+205*16</f>
        <v>248925</v>
      </c>
      <c r="AA241" s="34">
        <v>-3528</v>
      </c>
      <c r="AB241" s="34">
        <f t="shared" ref="AB241:AB243" si="96">SUM(Z241:AA241)</f>
        <v>245397</v>
      </c>
      <c r="AC241" s="12"/>
      <c r="AD241" s="12"/>
      <c r="AE241" s="12"/>
      <c r="AF241" s="12">
        <f t="shared" ref="AF241:AF281" si="97">SUM(AB241:AE241)</f>
        <v>245397</v>
      </c>
    </row>
    <row r="242" spans="1:32" x14ac:dyDescent="0.25">
      <c r="A242" s="10">
        <v>3</v>
      </c>
      <c r="B242" s="32">
        <v>45298</v>
      </c>
      <c r="C242" s="33">
        <f t="shared" ref="C242:C268" si="98">C241+1</f>
        <v>7091</v>
      </c>
      <c r="D242" s="35">
        <f>626*10+614*2+8.5*10</f>
        <v>7573</v>
      </c>
      <c r="E242" s="35"/>
      <c r="F242" s="35">
        <f t="shared" si="92"/>
        <v>7573</v>
      </c>
      <c r="G242" s="36"/>
      <c r="H242" s="36"/>
      <c r="I242" s="36"/>
      <c r="J242" s="36">
        <f t="shared" si="93"/>
        <v>7573</v>
      </c>
      <c r="L242" s="10">
        <v>3</v>
      </c>
      <c r="M242" s="32">
        <v>45298</v>
      </c>
      <c r="N242" s="33">
        <f t="shared" ref="N242:N267" si="99">N241+1</f>
        <v>7172</v>
      </c>
      <c r="O242" s="34">
        <f>1878+25.5+674</f>
        <v>2577.5</v>
      </c>
      <c r="P242" s="34"/>
      <c r="Q242" s="34">
        <f t="shared" si="94"/>
        <v>2577.5</v>
      </c>
      <c r="R242" s="12"/>
      <c r="S242" s="12"/>
      <c r="T242" s="12"/>
      <c r="U242" s="12">
        <f t="shared" si="95"/>
        <v>2577.5</v>
      </c>
      <c r="W242" s="10">
        <v>3</v>
      </c>
      <c r="X242" s="32">
        <v>45298</v>
      </c>
      <c r="Y242" s="33">
        <f t="shared" ref="Y242:Y245" si="100">Y241+1</f>
        <v>7015</v>
      </c>
      <c r="Z242" s="34">
        <f>626*27+4*614+596*17+1005*2+205</f>
        <v>31705</v>
      </c>
      <c r="AA242" s="34">
        <v>-400</v>
      </c>
      <c r="AB242" s="34">
        <f t="shared" si="96"/>
        <v>31305</v>
      </c>
      <c r="AC242" s="12"/>
      <c r="AD242" s="12"/>
      <c r="AE242" s="12"/>
      <c r="AF242" s="12">
        <f t="shared" si="97"/>
        <v>31305</v>
      </c>
    </row>
    <row r="243" spans="1:32" x14ac:dyDescent="0.25">
      <c r="A243" s="10">
        <v>4</v>
      </c>
      <c r="B243" s="32">
        <v>45298</v>
      </c>
      <c r="C243" s="33">
        <f t="shared" si="98"/>
        <v>7092</v>
      </c>
      <c r="D243" s="34">
        <f>626*2+596+25.5</f>
        <v>1873.5</v>
      </c>
      <c r="E243" s="34"/>
      <c r="F243" s="34">
        <f t="shared" si="92"/>
        <v>1873.5</v>
      </c>
      <c r="G243" s="12"/>
      <c r="H243" s="12"/>
      <c r="I243" s="12">
        <f>-1110+-84</f>
        <v>-1194</v>
      </c>
      <c r="J243" s="12">
        <f t="shared" si="93"/>
        <v>679.5</v>
      </c>
      <c r="L243" s="10">
        <v>4</v>
      </c>
      <c r="M243" s="32">
        <v>45298</v>
      </c>
      <c r="N243" s="33">
        <f t="shared" si="99"/>
        <v>7173</v>
      </c>
      <c r="O243" s="34">
        <f>3130+42.5</f>
        <v>3172.5</v>
      </c>
      <c r="P243" s="34"/>
      <c r="Q243" s="34">
        <f t="shared" si="94"/>
        <v>3172.5</v>
      </c>
      <c r="R243" s="12"/>
      <c r="S243" s="12"/>
      <c r="T243" s="12"/>
      <c r="U243" s="12">
        <f t="shared" si="95"/>
        <v>3172.5</v>
      </c>
      <c r="W243" s="10">
        <v>4</v>
      </c>
      <c r="X243" s="32">
        <v>45298</v>
      </c>
      <c r="Y243" s="33">
        <f t="shared" si="100"/>
        <v>7016</v>
      </c>
      <c r="Z243" s="34">
        <f>626*12+614+596+110.5+500</f>
        <v>9332.5</v>
      </c>
      <c r="AA243" s="34"/>
      <c r="AB243" s="34">
        <f t="shared" si="96"/>
        <v>9332.5</v>
      </c>
      <c r="AC243" s="12"/>
      <c r="AE243" s="12">
        <v>-222</v>
      </c>
      <c r="AF243" s="12">
        <f t="shared" si="97"/>
        <v>9110.5</v>
      </c>
    </row>
    <row r="244" spans="1:32" x14ac:dyDescent="0.25">
      <c r="A244" s="10">
        <v>5</v>
      </c>
      <c r="B244" s="32">
        <v>45298</v>
      </c>
      <c r="C244" s="33">
        <f t="shared" si="98"/>
        <v>7093</v>
      </c>
      <c r="D244" s="34">
        <f>1252+17</f>
        <v>1269</v>
      </c>
      <c r="E244" s="34"/>
      <c r="F244" s="34">
        <f t="shared" si="92"/>
        <v>1269</v>
      </c>
      <c r="G244" s="12"/>
      <c r="H244" s="12"/>
      <c r="I244" s="12"/>
      <c r="J244" s="12">
        <f t="shared" si="93"/>
        <v>1269</v>
      </c>
      <c r="L244" s="10">
        <v>5</v>
      </c>
      <c r="M244" s="32">
        <v>45298</v>
      </c>
      <c r="N244" s="33">
        <f t="shared" si="99"/>
        <v>7174</v>
      </c>
      <c r="O244" s="34">
        <f>1252+17</f>
        <v>1269</v>
      </c>
      <c r="P244" s="34"/>
      <c r="Q244" s="34">
        <f t="shared" si="94"/>
        <v>1269</v>
      </c>
      <c r="R244" s="12"/>
      <c r="S244" s="12"/>
      <c r="T244" s="12"/>
      <c r="U244" s="12">
        <f t="shared" si="95"/>
        <v>1269</v>
      </c>
      <c r="W244" s="10">
        <v>5</v>
      </c>
      <c r="X244" s="32">
        <v>45298</v>
      </c>
      <c r="Y244" s="33">
        <f t="shared" si="100"/>
        <v>7017</v>
      </c>
      <c r="Z244" s="34">
        <f>1252+17</f>
        <v>1269</v>
      </c>
      <c r="AA244" s="34"/>
      <c r="AB244" s="34">
        <f t="shared" ref="AB244:AB249" si="101">SUM(Z244:AA244)</f>
        <v>1269</v>
      </c>
      <c r="AC244" s="12"/>
      <c r="AD244" s="12"/>
      <c r="AE244" s="12"/>
      <c r="AF244" s="12">
        <f t="shared" si="97"/>
        <v>1269</v>
      </c>
    </row>
    <row r="245" spans="1:32" x14ac:dyDescent="0.25">
      <c r="A245" s="10">
        <v>6</v>
      </c>
      <c r="B245" s="32">
        <v>45298</v>
      </c>
      <c r="C245" s="33">
        <f t="shared" si="98"/>
        <v>7094</v>
      </c>
      <c r="D245" s="34">
        <f>626+596+17</f>
        <v>1239</v>
      </c>
      <c r="E245" s="34"/>
      <c r="F245" s="34">
        <f t="shared" si="92"/>
        <v>1239</v>
      </c>
      <c r="G245" s="12"/>
      <c r="H245" s="12"/>
      <c r="I245" s="12"/>
      <c r="J245" s="12">
        <f t="shared" si="93"/>
        <v>1239</v>
      </c>
      <c r="L245" s="10">
        <v>6</v>
      </c>
      <c r="M245" s="32">
        <v>45298</v>
      </c>
      <c r="N245" s="33">
        <f t="shared" si="99"/>
        <v>7175</v>
      </c>
      <c r="O245" s="34">
        <f>3130+614+596+51+1348</f>
        <v>5739</v>
      </c>
      <c r="P245" s="34"/>
      <c r="Q245" s="34">
        <f t="shared" si="94"/>
        <v>5739</v>
      </c>
      <c r="R245" s="12"/>
      <c r="S245" s="12"/>
      <c r="T245" s="10"/>
      <c r="U245" s="12">
        <f t="shared" si="95"/>
        <v>5739</v>
      </c>
      <c r="W245" s="10">
        <v>6</v>
      </c>
      <c r="X245" s="32">
        <v>45298</v>
      </c>
      <c r="Y245" s="33">
        <f t="shared" si="100"/>
        <v>7018</v>
      </c>
      <c r="Z245" s="34">
        <f>626*100+205*4</f>
        <v>63420</v>
      </c>
      <c r="AA245" s="34">
        <v>-800</v>
      </c>
      <c r="AB245" s="34">
        <f t="shared" si="101"/>
        <v>62620</v>
      </c>
      <c r="AC245" s="12"/>
      <c r="AD245" s="12">
        <v>1.5</v>
      </c>
      <c r="AE245" s="10"/>
      <c r="AF245" s="12">
        <f t="shared" si="97"/>
        <v>62621.5</v>
      </c>
    </row>
    <row r="246" spans="1:32" x14ac:dyDescent="0.25">
      <c r="A246" s="10">
        <v>7</v>
      </c>
      <c r="B246" s="32">
        <v>45298</v>
      </c>
      <c r="C246" s="33">
        <f t="shared" si="98"/>
        <v>7095</v>
      </c>
      <c r="D246" s="34">
        <f>626+614+8.5</f>
        <v>1248.5</v>
      </c>
      <c r="E246" s="34"/>
      <c r="F246" s="34">
        <f t="shared" si="92"/>
        <v>1248.5</v>
      </c>
      <c r="G246" s="12"/>
      <c r="H246" s="12"/>
      <c r="I246" s="12">
        <v>-1.5</v>
      </c>
      <c r="J246" s="12">
        <f t="shared" si="93"/>
        <v>1247</v>
      </c>
      <c r="L246" s="10">
        <v>7</v>
      </c>
      <c r="M246" s="32">
        <v>45298</v>
      </c>
      <c r="N246" s="33">
        <f t="shared" si="99"/>
        <v>7176</v>
      </c>
      <c r="O246" s="34">
        <f>1252+17</f>
        <v>1269</v>
      </c>
      <c r="P246" s="34"/>
      <c r="Q246" s="34">
        <f t="shared" si="94"/>
        <v>1269</v>
      </c>
      <c r="R246" s="12"/>
      <c r="S246" s="12"/>
      <c r="T246" s="12"/>
      <c r="U246" s="12">
        <f t="shared" si="95"/>
        <v>1269</v>
      </c>
      <c r="W246" s="10">
        <v>7</v>
      </c>
      <c r="X246" s="32"/>
      <c r="Y246" s="11" t="s">
        <v>28</v>
      </c>
      <c r="Z246" s="34"/>
      <c r="AA246" s="34"/>
      <c r="AB246" s="34">
        <f t="shared" si="101"/>
        <v>0</v>
      </c>
      <c r="AC246" s="12"/>
      <c r="AD246" s="66"/>
      <c r="AE246" s="12"/>
      <c r="AF246" s="12">
        <f t="shared" si="97"/>
        <v>0</v>
      </c>
    </row>
    <row r="247" spans="1:32" x14ac:dyDescent="0.25">
      <c r="A247" s="10">
        <v>8</v>
      </c>
      <c r="B247" s="32">
        <v>45298</v>
      </c>
      <c r="C247" s="33">
        <f t="shared" si="98"/>
        <v>7096</v>
      </c>
      <c r="D247" s="34">
        <f>626*2+8.5*2</f>
        <v>1269</v>
      </c>
      <c r="E247" s="34"/>
      <c r="F247" s="34">
        <f t="shared" si="92"/>
        <v>1269</v>
      </c>
      <c r="G247" s="12"/>
      <c r="H247" s="12"/>
      <c r="I247" s="12"/>
      <c r="J247" s="12">
        <f t="shared" si="93"/>
        <v>1269</v>
      </c>
      <c r="L247" s="10">
        <v>8</v>
      </c>
      <c r="M247" s="32">
        <v>45298</v>
      </c>
      <c r="N247" s="33">
        <f t="shared" si="99"/>
        <v>7177</v>
      </c>
      <c r="O247" s="34">
        <f>626+8.5</f>
        <v>634.5</v>
      </c>
      <c r="P247" s="34"/>
      <c r="Q247" s="34">
        <f t="shared" si="94"/>
        <v>634.5</v>
      </c>
      <c r="R247" s="12"/>
      <c r="S247" s="12"/>
      <c r="T247" s="12"/>
      <c r="U247" s="12">
        <f t="shared" si="95"/>
        <v>634.5</v>
      </c>
      <c r="W247" s="10">
        <v>8</v>
      </c>
      <c r="X247" s="32"/>
      <c r="Y247" s="33"/>
      <c r="Z247" s="34"/>
      <c r="AB247" s="34">
        <f t="shared" si="101"/>
        <v>0</v>
      </c>
      <c r="AC247" s="12"/>
      <c r="AD247" s="12"/>
      <c r="AE247" s="12"/>
      <c r="AF247" s="12">
        <f t="shared" si="97"/>
        <v>0</v>
      </c>
    </row>
    <row r="248" spans="1:32" x14ac:dyDescent="0.25">
      <c r="A248" s="10">
        <v>9</v>
      </c>
      <c r="B248" s="32">
        <v>45298</v>
      </c>
      <c r="C248" s="33">
        <f t="shared" si="98"/>
        <v>7097</v>
      </c>
      <c r="D248" s="34">
        <f>1252+17</f>
        <v>1269</v>
      </c>
      <c r="E248" s="34"/>
      <c r="F248" s="34">
        <f t="shared" si="92"/>
        <v>1269</v>
      </c>
      <c r="G248" s="12"/>
      <c r="H248" s="12"/>
      <c r="I248" s="12"/>
      <c r="J248" s="12">
        <f t="shared" si="93"/>
        <v>1269</v>
      </c>
      <c r="L248" s="10">
        <v>9</v>
      </c>
      <c r="M248" s="32">
        <v>45298</v>
      </c>
      <c r="N248" s="33">
        <f t="shared" si="99"/>
        <v>7178</v>
      </c>
      <c r="O248" s="34">
        <f>5008+1192+85</f>
        <v>6285</v>
      </c>
      <c r="P248" s="34"/>
      <c r="Q248" s="34">
        <f t="shared" si="94"/>
        <v>6285</v>
      </c>
      <c r="R248" s="12"/>
      <c r="S248" s="12"/>
      <c r="T248" s="12"/>
      <c r="U248" s="12">
        <f t="shared" si="95"/>
        <v>6285</v>
      </c>
      <c r="W248" s="10">
        <v>9</v>
      </c>
      <c r="X248" s="32"/>
      <c r="Y248" s="33"/>
      <c r="AA248" s="34"/>
      <c r="AB248" s="34">
        <f t="shared" si="101"/>
        <v>0</v>
      </c>
      <c r="AC248" s="12"/>
      <c r="AE248" s="12"/>
      <c r="AF248" s="12">
        <f t="shared" si="97"/>
        <v>0</v>
      </c>
    </row>
    <row r="249" spans="1:32" x14ac:dyDescent="0.25">
      <c r="A249" s="10">
        <v>10</v>
      </c>
      <c r="B249" s="32">
        <v>45298</v>
      </c>
      <c r="C249" s="33">
        <f t="shared" si="98"/>
        <v>7098</v>
      </c>
      <c r="D249" s="34">
        <f>1252+17</f>
        <v>1269</v>
      </c>
      <c r="E249" s="34"/>
      <c r="F249" s="34">
        <f t="shared" si="92"/>
        <v>1269</v>
      </c>
      <c r="G249" s="12"/>
      <c r="H249" s="12"/>
      <c r="I249" s="12"/>
      <c r="J249" s="12">
        <f t="shared" si="93"/>
        <v>1269</v>
      </c>
      <c r="L249" s="10">
        <v>10</v>
      </c>
      <c r="M249" s="32">
        <v>45298</v>
      </c>
      <c r="N249" s="33">
        <f t="shared" si="99"/>
        <v>7179</v>
      </c>
      <c r="O249" s="34">
        <f>614</f>
        <v>614</v>
      </c>
      <c r="P249" s="34"/>
      <c r="Q249" s="34">
        <f t="shared" si="94"/>
        <v>614</v>
      </c>
      <c r="R249" s="12"/>
      <c r="S249" s="12"/>
      <c r="T249" s="12"/>
      <c r="U249" s="12">
        <f t="shared" si="95"/>
        <v>614</v>
      </c>
      <c r="W249" s="10">
        <v>10</v>
      </c>
      <c r="X249" s="32"/>
      <c r="Y249" s="33"/>
      <c r="Z249" s="34"/>
      <c r="AA249" s="34"/>
      <c r="AB249" s="34">
        <f t="shared" si="101"/>
        <v>0</v>
      </c>
      <c r="AC249" s="12"/>
      <c r="AD249" s="12"/>
      <c r="AE249" s="12"/>
      <c r="AF249" s="12">
        <f t="shared" si="97"/>
        <v>0</v>
      </c>
    </row>
    <row r="250" spans="1:32" x14ac:dyDescent="0.25">
      <c r="A250" s="10">
        <v>11</v>
      </c>
      <c r="B250" s="32">
        <v>45298</v>
      </c>
      <c r="C250" s="33">
        <f t="shared" si="98"/>
        <v>7099</v>
      </c>
      <c r="D250" s="34">
        <f>6260+1192+102</f>
        <v>7554</v>
      </c>
      <c r="E250" s="34"/>
      <c r="F250" s="34">
        <f t="shared" si="92"/>
        <v>7554</v>
      </c>
      <c r="G250" s="12"/>
      <c r="H250" s="12"/>
      <c r="I250" s="12"/>
      <c r="J250" s="12">
        <f t="shared" si="93"/>
        <v>7554</v>
      </c>
      <c r="L250" s="10">
        <v>11</v>
      </c>
      <c r="M250" s="32">
        <v>45298</v>
      </c>
      <c r="N250" s="33">
        <f t="shared" si="99"/>
        <v>7180</v>
      </c>
      <c r="O250" s="34">
        <f>614</f>
        <v>614</v>
      </c>
      <c r="P250" s="34"/>
      <c r="Q250" s="34">
        <f t="shared" si="94"/>
        <v>614</v>
      </c>
      <c r="R250" s="12"/>
      <c r="S250" s="12"/>
      <c r="T250" s="12"/>
      <c r="U250" s="12">
        <f t="shared" si="95"/>
        <v>614</v>
      </c>
      <c r="W250" s="10">
        <v>11</v>
      </c>
      <c r="X250" s="32"/>
      <c r="Y250" s="33"/>
      <c r="Z250" s="34"/>
      <c r="AA250" s="34"/>
      <c r="AB250" s="34">
        <f t="shared" ref="AB250:AB272" si="102">SUM(Z250:AA250)</f>
        <v>0</v>
      </c>
      <c r="AC250" s="12"/>
      <c r="AD250" s="12"/>
      <c r="AE250" s="12"/>
      <c r="AF250" s="12">
        <f t="shared" si="97"/>
        <v>0</v>
      </c>
    </row>
    <row r="251" spans="1:32" x14ac:dyDescent="0.25">
      <c r="A251" s="10">
        <v>12</v>
      </c>
      <c r="B251" s="32">
        <v>45298</v>
      </c>
      <c r="C251" s="33">
        <f t="shared" si="98"/>
        <v>7100</v>
      </c>
      <c r="D251" s="34">
        <f>626*35+205+93.5</f>
        <v>22208.5</v>
      </c>
      <c r="E251" s="34"/>
      <c r="F251" s="34">
        <f t="shared" si="92"/>
        <v>22208.5</v>
      </c>
      <c r="G251" s="12"/>
      <c r="H251" s="12">
        <f>27+4.5</f>
        <v>31.5</v>
      </c>
      <c r="I251" s="10"/>
      <c r="J251" s="12">
        <f t="shared" si="93"/>
        <v>22240</v>
      </c>
      <c r="L251" s="10">
        <v>12</v>
      </c>
      <c r="M251" s="32">
        <v>45298</v>
      </c>
      <c r="N251" s="33">
        <f t="shared" si="99"/>
        <v>7181</v>
      </c>
      <c r="O251" s="34">
        <f>1878+596+34</f>
        <v>2508</v>
      </c>
      <c r="P251" s="34"/>
      <c r="Q251" s="34">
        <f t="shared" si="94"/>
        <v>2508</v>
      </c>
      <c r="R251" s="12"/>
      <c r="S251" s="12"/>
      <c r="T251" s="12"/>
      <c r="U251" s="12">
        <f t="shared" si="95"/>
        <v>2508</v>
      </c>
      <c r="W251" s="10">
        <v>12</v>
      </c>
      <c r="X251" s="32"/>
      <c r="Y251" s="33"/>
      <c r="Z251" s="34"/>
      <c r="AA251" s="34"/>
      <c r="AB251" s="34">
        <f t="shared" si="102"/>
        <v>0</v>
      </c>
      <c r="AC251" s="12"/>
      <c r="AD251" s="12"/>
      <c r="AE251" s="12"/>
      <c r="AF251" s="12">
        <f t="shared" si="97"/>
        <v>0</v>
      </c>
    </row>
    <row r="252" spans="1:32" x14ac:dyDescent="0.25">
      <c r="A252" s="10">
        <v>13</v>
      </c>
      <c r="B252" s="32">
        <v>45298</v>
      </c>
      <c r="C252" s="33">
        <v>7251</v>
      </c>
      <c r="D252" s="34">
        <f>626*30+596*4+205</f>
        <v>21369</v>
      </c>
      <c r="E252" s="34"/>
      <c r="F252" s="34">
        <f t="shared" si="92"/>
        <v>21369</v>
      </c>
      <c r="G252" s="12"/>
      <c r="H252" s="12"/>
      <c r="I252" s="12"/>
      <c r="J252" s="12">
        <f t="shared" si="93"/>
        <v>21369</v>
      </c>
      <c r="L252" s="10">
        <v>13</v>
      </c>
      <c r="M252" s="32">
        <v>45298</v>
      </c>
      <c r="N252" s="33">
        <f t="shared" si="99"/>
        <v>7182</v>
      </c>
      <c r="O252" s="34">
        <f>9390+4768+68</f>
        <v>14226</v>
      </c>
      <c r="P252" s="34"/>
      <c r="Q252" s="34">
        <f t="shared" si="94"/>
        <v>14226</v>
      </c>
      <c r="R252" s="12"/>
      <c r="S252" s="12"/>
      <c r="T252" s="12"/>
      <c r="U252" s="12">
        <f t="shared" si="95"/>
        <v>14226</v>
      </c>
      <c r="W252" s="10">
        <v>13</v>
      </c>
      <c r="X252" s="32"/>
      <c r="Y252" s="33"/>
      <c r="Z252" s="34"/>
      <c r="AA252" s="34"/>
      <c r="AB252" s="34">
        <f t="shared" si="102"/>
        <v>0</v>
      </c>
      <c r="AC252" s="12"/>
      <c r="AD252" s="12"/>
      <c r="AE252" s="12"/>
      <c r="AF252" s="12">
        <f t="shared" si="97"/>
        <v>0</v>
      </c>
    </row>
    <row r="253" spans="1:32" x14ac:dyDescent="0.25">
      <c r="A253" s="10">
        <v>14</v>
      </c>
      <c r="B253" s="32">
        <v>45298</v>
      </c>
      <c r="C253" s="33">
        <f t="shared" si="98"/>
        <v>7252</v>
      </c>
      <c r="D253" s="34">
        <f>650</f>
        <v>650</v>
      </c>
      <c r="E253" s="34"/>
      <c r="F253" s="34">
        <f t="shared" si="92"/>
        <v>650</v>
      </c>
      <c r="G253" s="12"/>
      <c r="H253" s="12"/>
      <c r="I253" s="12"/>
      <c r="J253" s="12">
        <f t="shared" si="93"/>
        <v>650</v>
      </c>
      <c r="L253" s="10">
        <v>14</v>
      </c>
      <c r="M253" s="32">
        <v>45298</v>
      </c>
      <c r="N253" s="33">
        <f t="shared" si="99"/>
        <v>7183</v>
      </c>
      <c r="O253" s="34">
        <f>3130+596+51</f>
        <v>3777</v>
      </c>
      <c r="P253" s="34"/>
      <c r="Q253" s="34">
        <f t="shared" si="94"/>
        <v>3777</v>
      </c>
      <c r="R253" s="12"/>
      <c r="S253" s="12">
        <v>13.5</v>
      </c>
      <c r="T253" s="12"/>
      <c r="U253" s="12">
        <f t="shared" si="95"/>
        <v>3790.5</v>
      </c>
      <c r="W253" s="10">
        <v>14</v>
      </c>
      <c r="X253" s="32"/>
      <c r="Y253" s="33"/>
      <c r="AA253" s="34"/>
      <c r="AB253" s="34">
        <f t="shared" si="102"/>
        <v>0</v>
      </c>
      <c r="AC253" s="12"/>
      <c r="AD253" s="12"/>
      <c r="AE253" s="12"/>
      <c r="AF253" s="12">
        <f t="shared" si="97"/>
        <v>0</v>
      </c>
    </row>
    <row r="254" spans="1:32" x14ac:dyDescent="0.25">
      <c r="A254" s="10">
        <v>15</v>
      </c>
      <c r="B254" s="32">
        <v>45298</v>
      </c>
      <c r="C254" s="33">
        <f t="shared" si="98"/>
        <v>7253</v>
      </c>
      <c r="D254" s="34">
        <f>3756+205</f>
        <v>3961</v>
      </c>
      <c r="E254" s="34"/>
      <c r="F254" s="34">
        <f t="shared" si="92"/>
        <v>3961</v>
      </c>
      <c r="G254" s="12"/>
      <c r="H254" s="12"/>
      <c r="I254" s="12">
        <v>-444</v>
      </c>
      <c r="J254" s="12">
        <f t="shared" si="93"/>
        <v>3517</v>
      </c>
      <c r="L254" s="10">
        <v>15</v>
      </c>
      <c r="M254" s="32">
        <v>45298</v>
      </c>
      <c r="N254" s="33">
        <f t="shared" si="99"/>
        <v>7184</v>
      </c>
      <c r="O254" s="34">
        <f>626+1192+25.5</f>
        <v>1843.5</v>
      </c>
      <c r="P254" s="34"/>
      <c r="Q254" s="34">
        <f t="shared" si="94"/>
        <v>1843.5</v>
      </c>
      <c r="R254" s="12"/>
      <c r="S254" s="12"/>
      <c r="T254" s="12"/>
      <c r="U254" s="12">
        <f t="shared" si="95"/>
        <v>1843.5</v>
      </c>
      <c r="W254" s="10">
        <v>15</v>
      </c>
      <c r="X254" s="32"/>
      <c r="Y254" s="33"/>
      <c r="Z254" s="34"/>
      <c r="AA254" s="34"/>
      <c r="AB254" s="34">
        <f t="shared" si="102"/>
        <v>0</v>
      </c>
      <c r="AC254" s="12"/>
      <c r="AD254" s="12"/>
      <c r="AE254" s="12"/>
      <c r="AF254" s="12">
        <f t="shared" si="97"/>
        <v>0</v>
      </c>
    </row>
    <row r="255" spans="1:32" x14ac:dyDescent="0.25">
      <c r="A255" s="10">
        <v>16</v>
      </c>
      <c r="B255" s="32">
        <v>45298</v>
      </c>
      <c r="C255" s="33">
        <f t="shared" si="98"/>
        <v>7254</v>
      </c>
      <c r="D255" s="34">
        <f>1252+17</f>
        <v>1269</v>
      </c>
      <c r="E255" s="34"/>
      <c r="F255" s="34">
        <f t="shared" si="92"/>
        <v>1269</v>
      </c>
      <c r="G255" s="12"/>
      <c r="H255" s="12"/>
      <c r="I255" s="12"/>
      <c r="J255" s="12">
        <f t="shared" si="93"/>
        <v>1269</v>
      </c>
      <c r="L255" s="10">
        <v>16</v>
      </c>
      <c r="M255" s="32">
        <v>45298</v>
      </c>
      <c r="N255" s="33">
        <f t="shared" si="99"/>
        <v>7185</v>
      </c>
      <c r="O255" s="34">
        <f>626+1192+25.5</f>
        <v>1843.5</v>
      </c>
      <c r="P255" s="34"/>
      <c r="Q255" s="34">
        <f t="shared" si="94"/>
        <v>1843.5</v>
      </c>
      <c r="R255" s="12"/>
      <c r="S255" s="12"/>
      <c r="T255" s="12"/>
      <c r="U255" s="12">
        <f t="shared" si="95"/>
        <v>1843.5</v>
      </c>
      <c r="W255" s="10">
        <v>16</v>
      </c>
      <c r="X255" s="32"/>
      <c r="Y255" s="33"/>
      <c r="Z255" s="34"/>
      <c r="AA255" s="34"/>
      <c r="AB255" s="34">
        <f t="shared" si="102"/>
        <v>0</v>
      </c>
      <c r="AC255" s="12"/>
      <c r="AD255" s="12"/>
      <c r="AE255" s="12"/>
      <c r="AF255" s="12">
        <f t="shared" si="97"/>
        <v>0</v>
      </c>
    </row>
    <row r="256" spans="1:32" x14ac:dyDescent="0.25">
      <c r="A256" s="10">
        <v>17</v>
      </c>
      <c r="B256" s="32">
        <v>45298</v>
      </c>
      <c r="C256" s="33">
        <f t="shared" si="98"/>
        <v>7255</v>
      </c>
      <c r="D256" s="34">
        <f>6260+85</f>
        <v>6345</v>
      </c>
      <c r="E256" s="34"/>
      <c r="F256" s="34">
        <f t="shared" si="92"/>
        <v>6345</v>
      </c>
      <c r="G256" s="12"/>
      <c r="H256" s="12">
        <v>14</v>
      </c>
      <c r="I256" s="12"/>
      <c r="J256" s="12">
        <f t="shared" si="93"/>
        <v>6359</v>
      </c>
      <c r="L256" s="10">
        <v>17</v>
      </c>
      <c r="M256" s="32">
        <v>45298</v>
      </c>
      <c r="N256" s="33">
        <f t="shared" si="99"/>
        <v>7186</v>
      </c>
      <c r="O256" s="37">
        <f>1878+25.5</f>
        <v>1903.5</v>
      </c>
      <c r="P256" s="34"/>
      <c r="Q256" s="34">
        <f t="shared" si="94"/>
        <v>1903.5</v>
      </c>
      <c r="R256" s="12"/>
      <c r="S256" s="12"/>
      <c r="T256" s="12">
        <v>-222</v>
      </c>
      <c r="U256" s="12">
        <f t="shared" si="95"/>
        <v>1681.5</v>
      </c>
      <c r="W256" s="10">
        <v>17</v>
      </c>
      <c r="X256" s="32"/>
      <c r="Z256" s="37"/>
      <c r="AA256" s="34"/>
      <c r="AB256" s="34">
        <f t="shared" si="102"/>
        <v>0</v>
      </c>
      <c r="AC256" s="12"/>
      <c r="AD256" s="12"/>
      <c r="AE256" s="12"/>
      <c r="AF256" s="12">
        <f t="shared" si="97"/>
        <v>0</v>
      </c>
    </row>
    <row r="257" spans="1:32" x14ac:dyDescent="0.25">
      <c r="A257" s="10">
        <v>18</v>
      </c>
      <c r="B257" s="32">
        <v>45298</v>
      </c>
      <c r="C257" s="33">
        <f t="shared" si="98"/>
        <v>7256</v>
      </c>
      <c r="D257" s="34">
        <f>2504+1192+51</f>
        <v>3747</v>
      </c>
      <c r="E257" s="34"/>
      <c r="F257" s="34">
        <f t="shared" si="92"/>
        <v>3747</v>
      </c>
      <c r="G257" s="12"/>
      <c r="H257" s="12"/>
      <c r="I257" s="12"/>
      <c r="J257" s="12">
        <f t="shared" si="93"/>
        <v>3747</v>
      </c>
      <c r="L257" s="10">
        <v>18</v>
      </c>
      <c r="M257" s="32">
        <v>45298</v>
      </c>
      <c r="N257" s="33">
        <f t="shared" si="99"/>
        <v>7187</v>
      </c>
      <c r="O257" s="34">
        <f>626*9+76.5</f>
        <v>5710.5</v>
      </c>
      <c r="P257" s="34"/>
      <c r="Q257" s="34">
        <f t="shared" si="94"/>
        <v>5710.5</v>
      </c>
      <c r="R257" s="12"/>
      <c r="S257" s="12"/>
      <c r="T257" s="12"/>
      <c r="U257" s="12">
        <f t="shared" si="95"/>
        <v>5710.5</v>
      </c>
      <c r="W257" s="10">
        <v>18</v>
      </c>
      <c r="X257" s="32"/>
      <c r="Y257" s="33"/>
      <c r="Z257" s="34"/>
      <c r="AA257" s="34"/>
      <c r="AB257" s="34">
        <f t="shared" si="102"/>
        <v>0</v>
      </c>
      <c r="AC257" s="12"/>
      <c r="AD257" s="12"/>
      <c r="AE257" s="12"/>
      <c r="AF257" s="12">
        <f t="shared" si="97"/>
        <v>0</v>
      </c>
    </row>
    <row r="258" spans="1:32" x14ac:dyDescent="0.25">
      <c r="A258" s="10">
        <v>19</v>
      </c>
      <c r="B258" s="32">
        <v>45298</v>
      </c>
      <c r="C258" s="33">
        <f t="shared" si="98"/>
        <v>7257</v>
      </c>
      <c r="D258" s="34">
        <f>6886+93.5</f>
        <v>6979.5</v>
      </c>
      <c r="E258" s="34"/>
      <c r="F258" s="34">
        <f t="shared" si="92"/>
        <v>6979.5</v>
      </c>
      <c r="G258" s="12"/>
      <c r="H258" s="12">
        <v>7.5</v>
      </c>
      <c r="I258" s="12"/>
      <c r="J258" s="12">
        <f t="shared" si="93"/>
        <v>6987</v>
      </c>
      <c r="L258" s="10">
        <v>19</v>
      </c>
      <c r="M258" s="32">
        <v>45298</v>
      </c>
      <c r="N258" s="33">
        <f t="shared" si="99"/>
        <v>7188</v>
      </c>
      <c r="O258" s="34">
        <f>2384+832+34</f>
        <v>3250</v>
      </c>
      <c r="P258" s="34"/>
      <c r="Q258" s="34">
        <f t="shared" si="94"/>
        <v>3250</v>
      </c>
      <c r="R258" s="12"/>
      <c r="S258" s="12"/>
      <c r="T258" s="12"/>
      <c r="U258" s="12">
        <f t="shared" si="95"/>
        <v>3250</v>
      </c>
      <c r="W258" s="10">
        <v>19</v>
      </c>
      <c r="X258" s="32"/>
      <c r="Z258" s="34"/>
      <c r="AA258" s="34"/>
      <c r="AB258" s="34">
        <f t="shared" si="102"/>
        <v>0</v>
      </c>
      <c r="AC258" s="12"/>
      <c r="AD258" s="12"/>
      <c r="AE258" s="12"/>
      <c r="AF258" s="12">
        <f t="shared" si="97"/>
        <v>0</v>
      </c>
    </row>
    <row r="259" spans="1:32" x14ac:dyDescent="0.25">
      <c r="A259" s="10">
        <v>20</v>
      </c>
      <c r="B259" s="32">
        <v>45298</v>
      </c>
      <c r="C259" s="33">
        <f t="shared" si="98"/>
        <v>7258</v>
      </c>
      <c r="D259" s="34">
        <f>2504+1192+51</f>
        <v>3747</v>
      </c>
      <c r="E259" s="34"/>
      <c r="F259" s="34">
        <f t="shared" si="92"/>
        <v>3747</v>
      </c>
      <c r="G259" s="12"/>
      <c r="H259" s="12"/>
      <c r="I259" s="12"/>
      <c r="J259" s="12">
        <f t="shared" si="93"/>
        <v>3747</v>
      </c>
      <c r="L259" s="10">
        <v>20</v>
      </c>
      <c r="M259" s="32">
        <v>45298</v>
      </c>
      <c r="N259" s="33">
        <f t="shared" si="99"/>
        <v>7189</v>
      </c>
      <c r="O259" s="34">
        <f>626+8.5</f>
        <v>634.5</v>
      </c>
      <c r="P259" s="34"/>
      <c r="Q259" s="34">
        <f t="shared" si="94"/>
        <v>634.5</v>
      </c>
      <c r="R259" s="12"/>
      <c r="S259" s="12"/>
      <c r="T259" s="12"/>
      <c r="U259" s="12">
        <f t="shared" si="95"/>
        <v>634.5</v>
      </c>
      <c r="W259" s="10">
        <v>20</v>
      </c>
      <c r="X259" s="32"/>
      <c r="Y259" s="33"/>
      <c r="Z259" s="34"/>
      <c r="AA259" s="34"/>
      <c r="AB259" s="34">
        <f t="shared" si="102"/>
        <v>0</v>
      </c>
      <c r="AC259" s="12"/>
      <c r="AD259" s="12"/>
      <c r="AE259" s="12"/>
      <c r="AF259" s="12">
        <f t="shared" si="97"/>
        <v>0</v>
      </c>
    </row>
    <row r="260" spans="1:32" x14ac:dyDescent="0.25">
      <c r="A260" s="10">
        <v>21</v>
      </c>
      <c r="B260" s="32">
        <v>45298</v>
      </c>
      <c r="C260" s="33">
        <f t="shared" si="98"/>
        <v>7259</v>
      </c>
      <c r="D260" s="34">
        <f>650</f>
        <v>650</v>
      </c>
      <c r="E260" s="34"/>
      <c r="F260" s="34">
        <f t="shared" si="92"/>
        <v>650</v>
      </c>
      <c r="G260" s="10"/>
      <c r="H260" s="10"/>
      <c r="I260" s="10"/>
      <c r="J260" s="12">
        <f t="shared" si="93"/>
        <v>650</v>
      </c>
      <c r="L260" s="10">
        <v>21</v>
      </c>
      <c r="M260" s="32">
        <v>45298</v>
      </c>
      <c r="N260" s="33">
        <f t="shared" si="99"/>
        <v>7190</v>
      </c>
      <c r="O260" s="50">
        <f>1878+614+25.5</f>
        <v>2517.5</v>
      </c>
      <c r="P260" s="33"/>
      <c r="Q260" s="34">
        <f t="shared" si="94"/>
        <v>2517.5</v>
      </c>
      <c r="R260" s="10"/>
      <c r="S260" s="10"/>
      <c r="T260" s="10"/>
      <c r="U260" s="12">
        <f t="shared" si="95"/>
        <v>2517.5</v>
      </c>
      <c r="W260" s="10">
        <v>21</v>
      </c>
      <c r="X260" s="32"/>
      <c r="Z260" s="50"/>
      <c r="AA260" s="33"/>
      <c r="AB260" s="34">
        <f t="shared" si="102"/>
        <v>0</v>
      </c>
      <c r="AC260" s="10"/>
      <c r="AD260" s="10"/>
      <c r="AE260" s="10"/>
      <c r="AF260" s="12">
        <f t="shared" si="97"/>
        <v>0</v>
      </c>
    </row>
    <row r="261" spans="1:32" x14ac:dyDescent="0.25">
      <c r="A261" s="10">
        <v>22</v>
      </c>
      <c r="B261" s="32">
        <v>45298</v>
      </c>
      <c r="C261" s="33">
        <f t="shared" si="98"/>
        <v>7260</v>
      </c>
      <c r="D261" s="34">
        <f>5008+1842+2980+832+500+1348</f>
        <v>12510</v>
      </c>
      <c r="E261" s="34"/>
      <c r="F261" s="34">
        <f t="shared" si="92"/>
        <v>12510</v>
      </c>
      <c r="G261" s="10"/>
      <c r="H261" s="10">
        <v>59</v>
      </c>
      <c r="I261" s="10"/>
      <c r="J261" s="12">
        <f t="shared" si="93"/>
        <v>12569</v>
      </c>
      <c r="L261" s="10">
        <v>22</v>
      </c>
      <c r="M261" s="32">
        <v>45298</v>
      </c>
      <c r="N261" s="33">
        <f t="shared" si="99"/>
        <v>7191</v>
      </c>
      <c r="O261" s="49">
        <f>2504+34</f>
        <v>2538</v>
      </c>
      <c r="P261" s="33"/>
      <c r="Q261" s="34">
        <f t="shared" si="94"/>
        <v>2538</v>
      </c>
      <c r="R261" s="10"/>
      <c r="S261" s="10">
        <v>6</v>
      </c>
      <c r="T261" s="10"/>
      <c r="U261" s="12">
        <f t="shared" si="95"/>
        <v>2544</v>
      </c>
      <c r="W261" s="10">
        <v>22</v>
      </c>
      <c r="X261" s="32"/>
      <c r="Y261" s="33"/>
      <c r="Z261" s="49"/>
      <c r="AA261" s="33"/>
      <c r="AB261" s="34">
        <f t="shared" si="102"/>
        <v>0</v>
      </c>
      <c r="AC261" s="10"/>
      <c r="AD261" s="10"/>
      <c r="AE261" s="10"/>
      <c r="AF261" s="12">
        <f t="shared" si="97"/>
        <v>0</v>
      </c>
    </row>
    <row r="262" spans="1:32" x14ac:dyDescent="0.25">
      <c r="A262" s="10">
        <v>23</v>
      </c>
      <c r="B262" s="32">
        <v>45298</v>
      </c>
      <c r="C262" s="33">
        <f t="shared" si="98"/>
        <v>7261</v>
      </c>
      <c r="D262" s="34">
        <f>1252+17</f>
        <v>1269</v>
      </c>
      <c r="E262" s="34"/>
      <c r="F262" s="34">
        <f t="shared" si="92"/>
        <v>1269</v>
      </c>
      <c r="G262" s="10"/>
      <c r="H262" s="10"/>
      <c r="I262" s="12"/>
      <c r="J262" s="12">
        <f t="shared" si="93"/>
        <v>1269</v>
      </c>
      <c r="L262" s="10">
        <v>23</v>
      </c>
      <c r="M262" s="32">
        <v>45298</v>
      </c>
      <c r="N262" s="33">
        <f t="shared" si="99"/>
        <v>7192</v>
      </c>
      <c r="O262" s="51">
        <f>1252+596+205*2</f>
        <v>2258</v>
      </c>
      <c r="Q262" s="34">
        <f t="shared" si="94"/>
        <v>2258</v>
      </c>
      <c r="R262" s="10"/>
      <c r="S262" s="10"/>
      <c r="T262" s="10"/>
      <c r="U262" s="12">
        <f t="shared" si="95"/>
        <v>2258</v>
      </c>
      <c r="W262" s="10">
        <v>23</v>
      </c>
      <c r="X262" s="32"/>
      <c r="Z262" s="51"/>
      <c r="AB262" s="34">
        <f t="shared" si="102"/>
        <v>0</v>
      </c>
      <c r="AC262" s="10"/>
      <c r="AD262" s="10"/>
      <c r="AE262" s="10"/>
      <c r="AF262" s="12">
        <f t="shared" si="97"/>
        <v>0</v>
      </c>
    </row>
    <row r="263" spans="1:32" x14ac:dyDescent="0.25">
      <c r="A263" s="10">
        <v>24</v>
      </c>
      <c r="B263" s="32">
        <v>45298</v>
      </c>
      <c r="C263" s="33">
        <f t="shared" si="98"/>
        <v>7262</v>
      </c>
      <c r="D263" s="34">
        <f>3130+416+43</f>
        <v>3589</v>
      </c>
      <c r="E263" s="34"/>
      <c r="F263" s="34">
        <f t="shared" si="92"/>
        <v>3589</v>
      </c>
      <c r="G263" s="10"/>
      <c r="H263" s="10"/>
      <c r="I263" s="10"/>
      <c r="J263" s="12">
        <f t="shared" si="93"/>
        <v>3589</v>
      </c>
      <c r="L263" s="10">
        <v>24</v>
      </c>
      <c r="M263" s="32">
        <v>45298</v>
      </c>
      <c r="N263" s="33">
        <f t="shared" si="99"/>
        <v>7193</v>
      </c>
      <c r="O263" s="51">
        <f>626*15+8.5*15</f>
        <v>9517.5</v>
      </c>
      <c r="P263" s="33"/>
      <c r="Q263" s="34">
        <f t="shared" si="94"/>
        <v>9517.5</v>
      </c>
      <c r="R263" s="10"/>
      <c r="S263" s="10"/>
      <c r="T263" s="10"/>
      <c r="U263" s="12">
        <f t="shared" si="95"/>
        <v>9517.5</v>
      </c>
      <c r="W263" s="10">
        <v>24</v>
      </c>
      <c r="X263" s="32"/>
      <c r="Y263" s="34"/>
      <c r="Z263" s="51"/>
      <c r="AA263" s="33"/>
      <c r="AB263" s="34">
        <f t="shared" si="102"/>
        <v>0</v>
      </c>
      <c r="AC263" s="10"/>
      <c r="AD263" s="10"/>
      <c r="AE263" s="10"/>
      <c r="AF263" s="12">
        <f t="shared" si="97"/>
        <v>0</v>
      </c>
    </row>
    <row r="264" spans="1:32" x14ac:dyDescent="0.25">
      <c r="A264" s="10">
        <v>25</v>
      </c>
      <c r="B264" s="32">
        <v>45298</v>
      </c>
      <c r="C264" s="33">
        <f t="shared" si="98"/>
        <v>7263</v>
      </c>
      <c r="D264" s="34">
        <f>626*20+614+170</f>
        <v>13304</v>
      </c>
      <c r="E264" s="34"/>
      <c r="F264" s="34">
        <f t="shared" si="92"/>
        <v>13304</v>
      </c>
      <c r="G264" s="10"/>
      <c r="H264" s="10"/>
      <c r="I264" s="10"/>
      <c r="J264" s="12">
        <f t="shared" si="93"/>
        <v>13304</v>
      </c>
      <c r="L264" s="10">
        <v>25</v>
      </c>
      <c r="M264" s="32">
        <v>45298</v>
      </c>
      <c r="N264" s="33">
        <f t="shared" si="99"/>
        <v>7194</v>
      </c>
      <c r="O264" s="51">
        <f>1878</f>
        <v>1878</v>
      </c>
      <c r="P264" s="33"/>
      <c r="Q264" s="34">
        <f t="shared" si="94"/>
        <v>1878</v>
      </c>
      <c r="R264" s="10"/>
      <c r="S264" s="10"/>
      <c r="T264" s="10"/>
      <c r="U264" s="12">
        <f t="shared" si="95"/>
        <v>1878</v>
      </c>
      <c r="W264" s="10">
        <v>25</v>
      </c>
      <c r="X264" s="32"/>
      <c r="Y264" s="33"/>
      <c r="Z264" s="51"/>
      <c r="AA264" s="33"/>
      <c r="AB264" s="34">
        <f t="shared" si="102"/>
        <v>0</v>
      </c>
      <c r="AC264" s="10"/>
      <c r="AD264" s="10"/>
      <c r="AE264" s="10"/>
      <c r="AF264" s="12">
        <f t="shared" si="97"/>
        <v>0</v>
      </c>
    </row>
    <row r="265" spans="1:32" x14ac:dyDescent="0.25">
      <c r="A265" s="10">
        <v>26</v>
      </c>
      <c r="B265" s="32">
        <v>45298</v>
      </c>
      <c r="C265" s="33">
        <f t="shared" si="98"/>
        <v>7264</v>
      </c>
      <c r="D265" s="34">
        <f>1252+17</f>
        <v>1269</v>
      </c>
      <c r="E265" s="34"/>
      <c r="F265" s="34">
        <f t="shared" si="92"/>
        <v>1269</v>
      </c>
      <c r="G265" s="10"/>
      <c r="H265" s="10"/>
      <c r="I265" s="10"/>
      <c r="J265" s="12">
        <f t="shared" si="93"/>
        <v>1269</v>
      </c>
      <c r="L265" s="10">
        <v>26</v>
      </c>
      <c r="M265" s="32">
        <v>45298</v>
      </c>
      <c r="N265" s="33">
        <f t="shared" si="99"/>
        <v>7195</v>
      </c>
      <c r="O265" s="51">
        <f>3130+42.5</f>
        <v>3172.5</v>
      </c>
      <c r="P265" s="33"/>
      <c r="Q265" s="34">
        <f t="shared" si="94"/>
        <v>3172.5</v>
      </c>
      <c r="R265" s="10"/>
      <c r="S265" s="10"/>
      <c r="T265" s="10"/>
      <c r="U265" s="12">
        <f t="shared" si="95"/>
        <v>3172.5</v>
      </c>
      <c r="W265" s="10">
        <v>26</v>
      </c>
      <c r="X265" s="32"/>
      <c r="Z265" s="51"/>
      <c r="AA265" s="33"/>
      <c r="AB265" s="34">
        <f t="shared" si="102"/>
        <v>0</v>
      </c>
      <c r="AC265" s="10"/>
      <c r="AD265" s="10"/>
      <c r="AE265" s="10"/>
      <c r="AF265" s="12">
        <f t="shared" si="97"/>
        <v>0</v>
      </c>
    </row>
    <row r="266" spans="1:32" x14ac:dyDescent="0.25">
      <c r="A266" s="10">
        <v>27</v>
      </c>
      <c r="B266" s="32">
        <v>45298</v>
      </c>
      <c r="C266" s="33">
        <f t="shared" si="98"/>
        <v>7265</v>
      </c>
      <c r="D266" s="34">
        <f>31300+410+17</f>
        <v>31727</v>
      </c>
      <c r="E266" s="34"/>
      <c r="F266" s="34">
        <f t="shared" si="92"/>
        <v>31727</v>
      </c>
      <c r="G266" s="10"/>
      <c r="H266" s="10"/>
      <c r="I266" s="10"/>
      <c r="J266" s="12">
        <f t="shared" si="93"/>
        <v>31727</v>
      </c>
      <c r="L266" s="10">
        <v>27</v>
      </c>
      <c r="M266" s="32">
        <v>45298</v>
      </c>
      <c r="N266" s="33">
        <f t="shared" si="99"/>
        <v>7196</v>
      </c>
      <c r="O266" s="51">
        <f>1878+25.5</f>
        <v>1903.5</v>
      </c>
      <c r="P266" s="33"/>
      <c r="Q266" s="34">
        <f t="shared" si="94"/>
        <v>1903.5</v>
      </c>
      <c r="R266" s="10"/>
      <c r="S266" s="10"/>
      <c r="T266" s="10"/>
      <c r="U266" s="12">
        <f t="shared" si="95"/>
        <v>1903.5</v>
      </c>
      <c r="W266" s="10">
        <v>27</v>
      </c>
      <c r="X266" s="32"/>
      <c r="Y266" s="33"/>
      <c r="Z266" s="51"/>
      <c r="AA266" s="33"/>
      <c r="AB266" s="34">
        <f t="shared" si="102"/>
        <v>0</v>
      </c>
      <c r="AC266" s="10"/>
      <c r="AD266" s="10"/>
      <c r="AE266" s="10"/>
      <c r="AF266" s="12">
        <f t="shared" si="97"/>
        <v>0</v>
      </c>
    </row>
    <row r="267" spans="1:32" x14ac:dyDescent="0.25">
      <c r="A267" s="10">
        <v>28</v>
      </c>
      <c r="B267" s="32">
        <v>45298</v>
      </c>
      <c r="C267" s="33">
        <f t="shared" si="98"/>
        <v>7266</v>
      </c>
      <c r="D267" s="34">
        <f>17528+205</f>
        <v>17733</v>
      </c>
      <c r="E267" s="34"/>
      <c r="F267" s="34">
        <f t="shared" si="92"/>
        <v>17733</v>
      </c>
      <c r="G267" s="10"/>
      <c r="H267" s="10"/>
      <c r="I267" s="10"/>
      <c r="J267" s="12">
        <f t="shared" si="93"/>
        <v>17733</v>
      </c>
      <c r="L267" s="10">
        <v>28</v>
      </c>
      <c r="M267" s="32">
        <v>45298</v>
      </c>
      <c r="N267" s="33">
        <f t="shared" si="99"/>
        <v>7197</v>
      </c>
      <c r="O267" s="51">
        <f>1878+614+25.5</f>
        <v>2517.5</v>
      </c>
      <c r="P267" s="33"/>
      <c r="Q267" s="34">
        <f t="shared" si="94"/>
        <v>2517.5</v>
      </c>
      <c r="R267" s="10"/>
      <c r="S267" s="10"/>
      <c r="T267" s="10">
        <v>-1122</v>
      </c>
      <c r="U267" s="12">
        <f t="shared" si="95"/>
        <v>1395.5</v>
      </c>
      <c r="W267" s="10">
        <v>28</v>
      </c>
      <c r="X267" s="32"/>
      <c r="Y267" s="33"/>
      <c r="Z267" s="51"/>
      <c r="AA267" s="33"/>
      <c r="AB267" s="34">
        <f t="shared" si="102"/>
        <v>0</v>
      </c>
      <c r="AC267" s="10"/>
      <c r="AD267" s="10"/>
      <c r="AE267" s="10"/>
      <c r="AF267" s="12">
        <f t="shared" si="97"/>
        <v>0</v>
      </c>
    </row>
    <row r="268" spans="1:32" x14ac:dyDescent="0.25">
      <c r="A268" s="10">
        <v>29</v>
      </c>
      <c r="B268" s="32">
        <v>45298</v>
      </c>
      <c r="C268" s="33">
        <f t="shared" si="98"/>
        <v>7267</v>
      </c>
      <c r="D268" s="34">
        <f>674</f>
        <v>674</v>
      </c>
      <c r="E268" s="34"/>
      <c r="F268" s="34">
        <f t="shared" si="92"/>
        <v>674</v>
      </c>
      <c r="G268" s="10"/>
      <c r="H268" s="10"/>
      <c r="I268" s="10"/>
      <c r="J268" s="12">
        <f t="shared" si="93"/>
        <v>674</v>
      </c>
      <c r="L268" s="10">
        <v>29</v>
      </c>
      <c r="M268" s="32"/>
      <c r="N268" s="11" t="s">
        <v>28</v>
      </c>
      <c r="O268" s="51"/>
      <c r="P268" s="33"/>
      <c r="Q268" s="34">
        <f t="shared" si="94"/>
        <v>0</v>
      </c>
      <c r="R268" s="10"/>
      <c r="S268" s="10"/>
      <c r="T268" s="10"/>
      <c r="U268" s="12">
        <f t="shared" si="95"/>
        <v>0</v>
      </c>
      <c r="W268" s="10">
        <v>29</v>
      </c>
      <c r="X268" s="32"/>
      <c r="Y268" s="33"/>
      <c r="Z268" s="51"/>
      <c r="AA268" s="33"/>
      <c r="AB268" s="34">
        <f t="shared" si="102"/>
        <v>0</v>
      </c>
      <c r="AC268" s="10"/>
      <c r="AD268" s="10"/>
      <c r="AE268" s="10"/>
      <c r="AF268" s="12">
        <f t="shared" si="97"/>
        <v>0</v>
      </c>
    </row>
    <row r="269" spans="1:32" x14ac:dyDescent="0.25">
      <c r="A269" s="10">
        <v>30</v>
      </c>
      <c r="B269" s="32"/>
      <c r="C269" s="11" t="s">
        <v>28</v>
      </c>
      <c r="D269" s="34"/>
      <c r="E269" s="34"/>
      <c r="F269" s="34">
        <f t="shared" si="92"/>
        <v>0</v>
      </c>
      <c r="G269" s="10"/>
      <c r="H269" s="10"/>
      <c r="I269" s="10"/>
      <c r="J269" s="12">
        <f t="shared" si="93"/>
        <v>0</v>
      </c>
      <c r="L269" s="10">
        <v>30</v>
      </c>
      <c r="M269" s="32"/>
      <c r="N269" s="33"/>
      <c r="O269" s="51"/>
      <c r="P269" s="33"/>
      <c r="Q269" s="34">
        <f t="shared" si="94"/>
        <v>0</v>
      </c>
      <c r="R269" s="10"/>
      <c r="S269" s="10"/>
      <c r="T269" s="10"/>
      <c r="U269" s="12">
        <f t="shared" si="95"/>
        <v>0</v>
      </c>
      <c r="W269" s="10">
        <v>30</v>
      </c>
      <c r="X269" s="32"/>
      <c r="Y269" s="33"/>
      <c r="Z269" s="51"/>
      <c r="AA269" s="33"/>
      <c r="AB269" s="34">
        <f t="shared" si="102"/>
        <v>0</v>
      </c>
      <c r="AC269" s="10"/>
      <c r="AD269" s="10"/>
      <c r="AE269" s="10"/>
      <c r="AF269" s="12">
        <f t="shared" si="97"/>
        <v>0</v>
      </c>
    </row>
    <row r="270" spans="1:32" x14ac:dyDescent="0.25">
      <c r="A270" s="10">
        <v>31</v>
      </c>
      <c r="B270" s="32"/>
      <c r="C270" s="33"/>
      <c r="D270" s="34"/>
      <c r="E270" s="34"/>
      <c r="F270" s="34">
        <f t="shared" si="92"/>
        <v>0</v>
      </c>
      <c r="G270" s="10"/>
      <c r="H270" s="10"/>
      <c r="I270" s="10"/>
      <c r="J270" s="12">
        <f t="shared" si="93"/>
        <v>0</v>
      </c>
      <c r="L270" s="10">
        <v>31</v>
      </c>
      <c r="M270" s="32"/>
      <c r="N270" s="33"/>
      <c r="O270" s="51"/>
      <c r="P270" s="33"/>
      <c r="Q270" s="34">
        <f t="shared" si="94"/>
        <v>0</v>
      </c>
      <c r="R270" s="10"/>
      <c r="S270" s="10"/>
      <c r="T270" s="10"/>
      <c r="U270" s="12">
        <f t="shared" si="95"/>
        <v>0</v>
      </c>
      <c r="W270" s="10">
        <v>31</v>
      </c>
      <c r="X270" s="32"/>
      <c r="Y270" s="33"/>
      <c r="Z270" s="51"/>
      <c r="AA270" s="33"/>
      <c r="AB270" s="34">
        <f t="shared" si="102"/>
        <v>0</v>
      </c>
      <c r="AC270" s="10"/>
      <c r="AD270" s="10"/>
      <c r="AE270" s="10"/>
      <c r="AF270" s="12">
        <f t="shared" si="97"/>
        <v>0</v>
      </c>
    </row>
    <row r="271" spans="1:32" x14ac:dyDescent="0.25">
      <c r="A271" s="10">
        <v>32</v>
      </c>
      <c r="B271" s="32"/>
      <c r="C271" s="33"/>
      <c r="D271" s="34"/>
      <c r="E271" s="34"/>
      <c r="F271" s="34">
        <f t="shared" si="92"/>
        <v>0</v>
      </c>
      <c r="G271" s="10"/>
      <c r="H271" s="10"/>
      <c r="I271" s="10"/>
      <c r="J271" s="12">
        <f t="shared" si="93"/>
        <v>0</v>
      </c>
      <c r="L271" s="10">
        <v>32</v>
      </c>
      <c r="M271" s="32"/>
      <c r="N271" s="33"/>
      <c r="O271" s="51"/>
      <c r="P271" s="33"/>
      <c r="Q271" s="34">
        <f t="shared" si="94"/>
        <v>0</v>
      </c>
      <c r="R271" s="10"/>
      <c r="S271" s="10"/>
      <c r="T271" s="10"/>
      <c r="U271" s="12">
        <f t="shared" si="95"/>
        <v>0</v>
      </c>
      <c r="W271" s="10">
        <v>32</v>
      </c>
      <c r="X271" s="32"/>
      <c r="Y271" s="33"/>
      <c r="Z271" s="51"/>
      <c r="AA271" s="33"/>
      <c r="AB271" s="34">
        <f t="shared" si="102"/>
        <v>0</v>
      </c>
      <c r="AC271" s="10"/>
      <c r="AD271" s="10"/>
      <c r="AE271" s="10"/>
      <c r="AF271" s="12">
        <f t="shared" si="97"/>
        <v>0</v>
      </c>
    </row>
    <row r="272" spans="1:32" x14ac:dyDescent="0.25">
      <c r="A272" s="10">
        <v>33</v>
      </c>
      <c r="B272" s="32"/>
      <c r="C272" s="33"/>
      <c r="D272" s="34"/>
      <c r="E272" s="34"/>
      <c r="F272" s="34">
        <f t="shared" si="92"/>
        <v>0</v>
      </c>
      <c r="G272" s="10"/>
      <c r="H272" s="10"/>
      <c r="I272" s="10"/>
      <c r="J272" s="12">
        <f t="shared" si="93"/>
        <v>0</v>
      </c>
      <c r="L272" s="10">
        <v>33</v>
      </c>
      <c r="M272" s="32"/>
      <c r="N272" s="33"/>
      <c r="O272" s="51"/>
      <c r="P272" s="33"/>
      <c r="Q272" s="34">
        <f t="shared" si="94"/>
        <v>0</v>
      </c>
      <c r="R272" s="10"/>
      <c r="S272" s="10"/>
      <c r="T272" s="10"/>
      <c r="U272" s="12">
        <f t="shared" si="95"/>
        <v>0</v>
      </c>
      <c r="W272" s="10">
        <v>33</v>
      </c>
      <c r="X272" s="32"/>
      <c r="Y272" s="33"/>
      <c r="Z272" s="51"/>
      <c r="AA272" s="33"/>
      <c r="AB272" s="34">
        <f t="shared" si="102"/>
        <v>0</v>
      </c>
      <c r="AC272" s="10"/>
      <c r="AD272" s="10"/>
      <c r="AE272" s="10"/>
      <c r="AF272" s="12">
        <f t="shared" si="97"/>
        <v>0</v>
      </c>
    </row>
    <row r="273" spans="1:32" x14ac:dyDescent="0.25">
      <c r="A273" s="10"/>
      <c r="B273" s="32"/>
      <c r="C273" s="33"/>
      <c r="D273" s="34"/>
      <c r="E273" s="34"/>
      <c r="F273" s="34">
        <f t="shared" si="92"/>
        <v>0</v>
      </c>
      <c r="G273" s="10"/>
      <c r="H273" s="10"/>
      <c r="I273" s="10"/>
      <c r="J273" s="12">
        <f t="shared" si="93"/>
        <v>0</v>
      </c>
      <c r="L273" s="10">
        <v>34</v>
      </c>
      <c r="M273" s="32"/>
      <c r="N273" s="33"/>
      <c r="O273" s="51"/>
      <c r="P273" s="33"/>
      <c r="Q273" s="34">
        <f t="shared" ref="Q273:Q278" si="103">SUM(O273:P273)</f>
        <v>0</v>
      </c>
      <c r="R273" s="10"/>
      <c r="S273" s="10"/>
      <c r="T273" s="10"/>
      <c r="U273" s="12">
        <f t="shared" si="95"/>
        <v>0</v>
      </c>
      <c r="W273" s="10">
        <v>34</v>
      </c>
      <c r="X273" s="32"/>
      <c r="Y273" s="33"/>
      <c r="Z273" s="51"/>
      <c r="AA273" s="33"/>
      <c r="AB273" s="34">
        <f t="shared" ref="AB273:AB278" si="104">SUM(Z273:AA273)</f>
        <v>0</v>
      </c>
      <c r="AC273" s="10"/>
      <c r="AD273" s="10"/>
      <c r="AE273" s="10"/>
      <c r="AF273" s="12">
        <f t="shared" si="97"/>
        <v>0</v>
      </c>
    </row>
    <row r="274" spans="1:32" x14ac:dyDescent="0.25">
      <c r="A274" s="10"/>
      <c r="B274" s="32"/>
      <c r="C274" s="33"/>
      <c r="D274" s="34"/>
      <c r="E274" s="34"/>
      <c r="F274" s="34"/>
      <c r="G274" s="10"/>
      <c r="H274" s="10"/>
      <c r="I274" s="10"/>
      <c r="J274" s="12"/>
      <c r="L274" s="10">
        <v>35</v>
      </c>
      <c r="M274" s="32"/>
      <c r="O274" s="51"/>
      <c r="P274" s="33"/>
      <c r="Q274" s="34">
        <f t="shared" si="103"/>
        <v>0</v>
      </c>
      <c r="R274" s="10"/>
      <c r="S274" s="10"/>
      <c r="T274" s="10"/>
      <c r="U274" s="12">
        <f t="shared" si="95"/>
        <v>0</v>
      </c>
      <c r="W274" s="10">
        <v>35</v>
      </c>
      <c r="X274" s="32"/>
      <c r="Y274" s="33"/>
      <c r="Z274" s="51"/>
      <c r="AA274" s="33"/>
      <c r="AB274" s="34">
        <f t="shared" si="104"/>
        <v>0</v>
      </c>
      <c r="AC274" s="10"/>
      <c r="AD274" s="10"/>
      <c r="AE274" s="10"/>
      <c r="AF274" s="12">
        <f t="shared" si="97"/>
        <v>0</v>
      </c>
    </row>
    <row r="275" spans="1:32" x14ac:dyDescent="0.25">
      <c r="A275" s="10"/>
      <c r="B275" s="32"/>
      <c r="D275" s="34"/>
      <c r="E275" s="34"/>
      <c r="F275" s="34"/>
      <c r="G275" s="10"/>
      <c r="H275" s="10"/>
      <c r="I275" s="10"/>
      <c r="J275" s="12"/>
      <c r="L275" s="10">
        <v>36</v>
      </c>
      <c r="M275" s="32"/>
      <c r="N275" s="33"/>
      <c r="O275" s="51"/>
      <c r="P275" s="33"/>
      <c r="Q275" s="34">
        <f t="shared" si="103"/>
        <v>0</v>
      </c>
      <c r="R275" s="10"/>
      <c r="S275" s="10"/>
      <c r="T275" s="10"/>
      <c r="U275" s="12">
        <f t="shared" si="95"/>
        <v>0</v>
      </c>
      <c r="W275" s="10">
        <v>36</v>
      </c>
      <c r="X275" s="32"/>
      <c r="Y275" s="33"/>
      <c r="Z275" s="51"/>
      <c r="AA275" s="33"/>
      <c r="AB275" s="34">
        <f t="shared" si="104"/>
        <v>0</v>
      </c>
      <c r="AC275" s="10"/>
      <c r="AD275" s="10"/>
      <c r="AE275" s="10"/>
      <c r="AF275" s="12">
        <f t="shared" si="97"/>
        <v>0</v>
      </c>
    </row>
    <row r="276" spans="1:32" x14ac:dyDescent="0.25">
      <c r="A276" s="10"/>
      <c r="B276" s="32"/>
      <c r="C276" s="33"/>
      <c r="D276" s="34"/>
      <c r="E276" s="34"/>
      <c r="F276" s="34"/>
      <c r="G276" s="10"/>
      <c r="H276" s="10"/>
      <c r="I276" s="10"/>
      <c r="J276" s="12"/>
      <c r="L276" s="10">
        <v>37</v>
      </c>
      <c r="M276" s="32"/>
      <c r="N276" s="33"/>
      <c r="O276" s="51"/>
      <c r="P276" s="33"/>
      <c r="Q276" s="34">
        <f t="shared" si="103"/>
        <v>0</v>
      </c>
      <c r="R276" s="10"/>
      <c r="S276" s="10"/>
      <c r="T276" s="10"/>
      <c r="U276" s="12">
        <f t="shared" si="95"/>
        <v>0</v>
      </c>
      <c r="W276" s="10">
        <v>37</v>
      </c>
      <c r="X276" s="32"/>
      <c r="Y276" s="33"/>
      <c r="Z276" s="51"/>
      <c r="AA276" s="33"/>
      <c r="AB276" s="34">
        <f t="shared" si="104"/>
        <v>0</v>
      </c>
      <c r="AC276" s="10"/>
      <c r="AD276" s="10"/>
      <c r="AE276" s="10"/>
      <c r="AF276" s="12">
        <f t="shared" si="97"/>
        <v>0</v>
      </c>
    </row>
    <row r="277" spans="1:32" x14ac:dyDescent="0.25">
      <c r="A277" s="10"/>
      <c r="B277" s="32"/>
      <c r="C277" s="33"/>
      <c r="D277" s="34"/>
      <c r="E277" s="34"/>
      <c r="F277" s="34"/>
      <c r="G277" s="10"/>
      <c r="H277" s="10"/>
      <c r="I277" s="10"/>
      <c r="J277" s="12"/>
      <c r="L277" s="10">
        <v>38</v>
      </c>
      <c r="M277" s="32"/>
      <c r="N277" s="33"/>
      <c r="O277" s="51"/>
      <c r="P277" s="33"/>
      <c r="Q277" s="34">
        <f t="shared" si="103"/>
        <v>0</v>
      </c>
      <c r="R277" s="10"/>
      <c r="S277" s="10"/>
      <c r="T277" s="10"/>
      <c r="U277" s="12">
        <f t="shared" si="95"/>
        <v>0</v>
      </c>
      <c r="W277" s="10">
        <v>38</v>
      </c>
      <c r="X277" s="32"/>
      <c r="Y277" s="33"/>
      <c r="Z277" s="51"/>
      <c r="AA277" s="33"/>
      <c r="AB277" s="34">
        <f t="shared" si="104"/>
        <v>0</v>
      </c>
      <c r="AC277" s="10"/>
      <c r="AD277" s="10"/>
      <c r="AE277" s="10"/>
      <c r="AF277" s="12">
        <f t="shared" si="97"/>
        <v>0</v>
      </c>
    </row>
    <row r="278" spans="1:32" x14ac:dyDescent="0.25">
      <c r="A278" s="10"/>
      <c r="B278" s="32"/>
      <c r="C278" s="33"/>
      <c r="D278" s="34"/>
      <c r="E278" s="34"/>
      <c r="F278" s="34"/>
      <c r="G278" s="10"/>
      <c r="H278" s="10"/>
      <c r="I278" s="10"/>
      <c r="J278" s="12"/>
      <c r="L278" s="10">
        <v>39</v>
      </c>
      <c r="M278" s="32"/>
      <c r="N278" s="33"/>
      <c r="O278" s="51"/>
      <c r="P278" s="33"/>
      <c r="Q278" s="34">
        <f t="shared" si="103"/>
        <v>0</v>
      </c>
      <c r="R278" s="10"/>
      <c r="S278" s="10"/>
      <c r="T278" s="10"/>
      <c r="U278" s="12">
        <f t="shared" si="95"/>
        <v>0</v>
      </c>
      <c r="W278" s="10">
        <v>39</v>
      </c>
      <c r="X278" s="32"/>
      <c r="Y278" s="33"/>
      <c r="Z278" s="51"/>
      <c r="AA278" s="33"/>
      <c r="AB278" s="34">
        <f t="shared" si="104"/>
        <v>0</v>
      </c>
      <c r="AC278" s="10"/>
      <c r="AD278" s="10"/>
      <c r="AE278" s="10"/>
      <c r="AF278" s="12">
        <f t="shared" si="97"/>
        <v>0</v>
      </c>
    </row>
    <row r="279" spans="1:32" x14ac:dyDescent="0.25">
      <c r="A279" s="10"/>
      <c r="B279" s="32"/>
      <c r="C279" s="69"/>
      <c r="D279" s="34"/>
      <c r="E279" s="34"/>
      <c r="F279" s="34"/>
      <c r="G279" s="10"/>
      <c r="H279" s="10"/>
      <c r="I279" s="10"/>
      <c r="J279" s="12"/>
      <c r="L279" s="10"/>
      <c r="M279" s="32"/>
      <c r="O279" s="51"/>
      <c r="P279" s="33"/>
      <c r="Q279" s="34"/>
      <c r="R279" s="10"/>
      <c r="S279" s="10"/>
      <c r="T279" s="10"/>
      <c r="U279" s="12">
        <f t="shared" si="95"/>
        <v>0</v>
      </c>
      <c r="W279" s="10"/>
      <c r="X279" s="32"/>
      <c r="Z279" s="51"/>
      <c r="AA279" s="33"/>
      <c r="AB279" s="34"/>
      <c r="AC279" s="10"/>
      <c r="AD279" s="10"/>
      <c r="AE279" s="10"/>
      <c r="AF279" s="12">
        <f t="shared" si="97"/>
        <v>0</v>
      </c>
    </row>
    <row r="280" spans="1:32" x14ac:dyDescent="0.25">
      <c r="A280" s="10"/>
      <c r="B280" s="32"/>
      <c r="C280" s="33"/>
      <c r="D280" s="34"/>
      <c r="E280" s="34"/>
      <c r="F280" s="34">
        <f t="shared" ref="F280" si="105">SUM(D280:E280)</f>
        <v>0</v>
      </c>
      <c r="G280" s="10"/>
      <c r="H280" s="10"/>
      <c r="I280" s="10"/>
      <c r="J280" s="12">
        <f t="shared" ref="J280" si="106">SUM(F280:I280)</f>
        <v>0</v>
      </c>
      <c r="L280" s="10"/>
      <c r="M280" s="32"/>
      <c r="N280" s="33"/>
      <c r="O280" s="51"/>
      <c r="P280" s="33"/>
      <c r="Q280" s="34">
        <f t="shared" ref="Q280" si="107">SUM(O280:P280)</f>
        <v>0</v>
      </c>
      <c r="R280" s="10"/>
      <c r="S280" s="10"/>
      <c r="T280" s="10"/>
      <c r="U280" s="12">
        <f t="shared" si="95"/>
        <v>0</v>
      </c>
      <c r="W280" s="10"/>
      <c r="X280" s="32"/>
      <c r="Y280" s="33"/>
      <c r="Z280" s="51"/>
      <c r="AA280" s="33"/>
      <c r="AB280" s="34">
        <f t="shared" ref="AB280" si="108">SUM(Z280:AA280)</f>
        <v>0</v>
      </c>
      <c r="AC280" s="10"/>
      <c r="AD280" s="10"/>
      <c r="AE280" s="10"/>
      <c r="AF280" s="12">
        <f t="shared" si="97"/>
        <v>0</v>
      </c>
    </row>
    <row r="281" spans="1:32" x14ac:dyDescent="0.25">
      <c r="A281" s="10"/>
      <c r="B281" s="32"/>
      <c r="C281" s="32"/>
      <c r="D281" s="34"/>
      <c r="E281" s="34"/>
      <c r="F281" s="34"/>
      <c r="G281" s="10"/>
      <c r="H281" s="10"/>
      <c r="I281" s="10"/>
      <c r="J281" s="12"/>
      <c r="L281" s="10"/>
      <c r="M281" s="33"/>
      <c r="N281" s="33"/>
      <c r="O281" s="33"/>
      <c r="P281" s="33"/>
      <c r="Q281" s="33"/>
      <c r="R281" s="10"/>
      <c r="S281" s="10"/>
      <c r="T281" s="10"/>
      <c r="U281" s="12">
        <f t="shared" si="95"/>
        <v>0</v>
      </c>
      <c r="W281" s="10"/>
      <c r="X281" s="33"/>
      <c r="Y281" s="33"/>
      <c r="Z281" s="33"/>
      <c r="AA281" s="33"/>
      <c r="AB281" s="33"/>
      <c r="AC281" s="10"/>
      <c r="AD281" s="10"/>
      <c r="AE281" s="10"/>
      <c r="AF281" s="12">
        <f t="shared" si="97"/>
        <v>0</v>
      </c>
    </row>
    <row r="282" spans="1:32" x14ac:dyDescent="0.25">
      <c r="B282" s="69"/>
      <c r="C282" s="69"/>
      <c r="D282" s="38"/>
      <c r="E282" s="38"/>
      <c r="F282" s="38"/>
      <c r="G282" s="39"/>
      <c r="H282" s="39"/>
      <c r="I282" s="39"/>
      <c r="J282" s="39"/>
      <c r="M282" s="69"/>
      <c r="N282" s="69"/>
      <c r="O282" s="38"/>
      <c r="P282" s="38"/>
      <c r="Q282" s="38"/>
      <c r="R282" s="39"/>
      <c r="S282" s="39"/>
      <c r="T282" s="39"/>
      <c r="U282" s="39"/>
      <c r="X282" s="69"/>
      <c r="Y282" s="69"/>
      <c r="Z282" s="38"/>
      <c r="AA282" s="38"/>
      <c r="AB282" s="38"/>
      <c r="AC282" s="39"/>
      <c r="AD282" s="39"/>
      <c r="AE282" s="39"/>
      <c r="AF282" s="39"/>
    </row>
    <row r="283" spans="1:32" x14ac:dyDescent="0.25">
      <c r="B283" s="69"/>
      <c r="C283" s="69"/>
      <c r="D283" s="40">
        <f>SUM(D240:D282)</f>
        <v>191423</v>
      </c>
      <c r="E283" s="40">
        <f t="shared" ref="E283" si="109">SUM(E240:E280)</f>
        <v>0</v>
      </c>
      <c r="F283" s="40">
        <f>SUM(F240:F282)</f>
        <v>191423</v>
      </c>
      <c r="G283" s="4"/>
      <c r="H283" s="41">
        <f>SUM(H240:H282)</f>
        <v>130</v>
      </c>
      <c r="I283" s="41">
        <f>SUM(I240:I282)</f>
        <v>-1639.5</v>
      </c>
      <c r="J283" s="42">
        <f>SUM(J240:J282)</f>
        <v>189913.5</v>
      </c>
      <c r="M283" s="69"/>
      <c r="N283" s="69"/>
      <c r="O283" s="40">
        <f>SUM(O240:O282)</f>
        <v>228009</v>
      </c>
      <c r="P283" s="40">
        <f>SUM(P240:P264)</f>
        <v>-2115</v>
      </c>
      <c r="Q283" s="40">
        <f>SUM(Q240:Q282)</f>
        <v>225894</v>
      </c>
      <c r="R283" s="4"/>
      <c r="S283" s="43">
        <f>SUM(S240:S282)</f>
        <v>25807.5</v>
      </c>
      <c r="T283" s="43">
        <f>SUM(T240:T264)</f>
        <v>-222</v>
      </c>
      <c r="U283" s="44">
        <f>SUM(U240:U282)</f>
        <v>250357.5</v>
      </c>
      <c r="X283" s="69"/>
      <c r="Y283" s="69"/>
      <c r="Z283" s="40">
        <f>SUM(Z240:Z282)</f>
        <v>512181.5</v>
      </c>
      <c r="AA283" s="40">
        <f>SUM(AA240:AA264)</f>
        <v>-7068</v>
      </c>
      <c r="AB283" s="40">
        <f>SUM(AB240:AB282)</f>
        <v>505113.5</v>
      </c>
      <c r="AC283" s="4"/>
      <c r="AD283" s="43">
        <f>SUM(AD240:AD282)</f>
        <v>1.5</v>
      </c>
      <c r="AE283" s="43">
        <f>SUM(AE240:AE264)</f>
        <v>-222</v>
      </c>
      <c r="AF283" s="44">
        <f>SUM(AF240:AF282)</f>
        <v>504893</v>
      </c>
    </row>
    <row r="284" spans="1:32" x14ac:dyDescent="0.25">
      <c r="B284" s="69"/>
      <c r="C284" s="69"/>
      <c r="D284" s="69"/>
      <c r="E284" s="69"/>
      <c r="F284" s="69"/>
      <c r="M284" s="69"/>
      <c r="N284" s="69"/>
      <c r="O284" s="45"/>
      <c r="P284" s="69"/>
      <c r="Q284" s="69"/>
      <c r="X284" s="69"/>
      <c r="Y284" s="69"/>
      <c r="Z284" s="45"/>
      <c r="AA284" s="69"/>
      <c r="AB284" s="69"/>
    </row>
    <row r="285" spans="1:32" x14ac:dyDescent="0.25">
      <c r="B285" s="69"/>
      <c r="C285" s="69"/>
      <c r="D285" s="69"/>
      <c r="E285" s="69"/>
      <c r="F285" s="69"/>
      <c r="M285" s="69"/>
      <c r="N285" s="69"/>
      <c r="O285" s="69"/>
      <c r="P285" s="69"/>
      <c r="Q285" s="69"/>
      <c r="X285" s="69"/>
      <c r="Y285" s="69"/>
      <c r="Z285" s="69"/>
      <c r="AA285" s="69"/>
      <c r="AB285" s="69"/>
    </row>
    <row r="286" spans="1:32" x14ac:dyDescent="0.2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</row>
    <row r="287" spans="1:32" x14ac:dyDescent="0.25">
      <c r="A287" t="s">
        <v>0</v>
      </c>
      <c r="B287" s="70"/>
      <c r="C287" s="70"/>
      <c r="D287" s="70"/>
      <c r="E287" s="70"/>
      <c r="F287" s="70"/>
      <c r="L287" t="s">
        <v>0</v>
      </c>
      <c r="M287" s="70"/>
      <c r="N287" s="70"/>
      <c r="O287" s="70"/>
      <c r="P287" s="70"/>
      <c r="Q287" s="70"/>
      <c r="W287" t="s">
        <v>0</v>
      </c>
      <c r="X287" s="70"/>
      <c r="Y287" s="70"/>
      <c r="Z287" s="70"/>
      <c r="AA287" s="70"/>
      <c r="AB287" s="70"/>
    </row>
    <row r="288" spans="1:32" x14ac:dyDescent="0.25">
      <c r="A288" t="s">
        <v>30</v>
      </c>
      <c r="B288" s="70"/>
      <c r="C288" s="70"/>
      <c r="D288" s="70"/>
      <c r="E288" s="70"/>
      <c r="F288" s="70"/>
      <c r="L288" t="s">
        <v>30</v>
      </c>
      <c r="M288" s="70"/>
      <c r="N288" s="70"/>
      <c r="O288" s="70"/>
      <c r="P288" s="70"/>
      <c r="Q288" s="70"/>
      <c r="W288" t="s">
        <v>30</v>
      </c>
      <c r="X288" s="70"/>
      <c r="Y288" s="70"/>
      <c r="Z288" s="70"/>
      <c r="AA288" s="70"/>
      <c r="AB288" s="70"/>
    </row>
    <row r="289" spans="1:32" x14ac:dyDescent="0.25">
      <c r="B289" s="70"/>
      <c r="C289" s="70"/>
      <c r="D289" s="70"/>
      <c r="E289" s="70"/>
      <c r="F289" s="70"/>
      <c r="M289" s="70"/>
      <c r="N289" s="70"/>
      <c r="O289" s="70"/>
      <c r="P289" s="70"/>
      <c r="Q289" s="70"/>
      <c r="X289" s="70"/>
      <c r="Y289" s="70"/>
      <c r="Z289" s="70"/>
      <c r="AA289" s="70"/>
      <c r="AB289" s="70"/>
    </row>
    <row r="290" spans="1:32" x14ac:dyDescent="0.25">
      <c r="A290" s="4" t="s">
        <v>15</v>
      </c>
      <c r="B290" s="70"/>
      <c r="C290" s="70"/>
      <c r="D290" s="70"/>
      <c r="E290" s="70"/>
      <c r="F290" s="70"/>
      <c r="L290" s="4" t="s">
        <v>15</v>
      </c>
      <c r="M290" s="70"/>
      <c r="N290" s="70"/>
      <c r="O290" s="70"/>
      <c r="P290" s="70"/>
      <c r="Q290" s="70"/>
      <c r="W290" s="4" t="s">
        <v>15</v>
      </c>
      <c r="X290" s="70"/>
      <c r="Y290" s="70"/>
      <c r="Z290" s="70"/>
      <c r="AA290" s="70"/>
      <c r="AB290" s="70"/>
    </row>
    <row r="291" spans="1:32" x14ac:dyDescent="0.25">
      <c r="B291" s="70"/>
      <c r="C291" s="70"/>
      <c r="D291" s="70"/>
      <c r="E291" s="70"/>
      <c r="F291" s="70"/>
      <c r="M291" s="70"/>
      <c r="N291" s="70"/>
      <c r="O291" s="70"/>
      <c r="P291" s="70"/>
      <c r="Q291" s="70"/>
      <c r="X291" s="70"/>
      <c r="Y291" s="70"/>
      <c r="Z291" s="70"/>
      <c r="AA291" s="70"/>
      <c r="AB291" s="70"/>
    </row>
    <row r="292" spans="1:32" ht="15.75" x14ac:dyDescent="0.25">
      <c r="A292" t="s">
        <v>36</v>
      </c>
      <c r="B292" s="70"/>
      <c r="C292" s="70"/>
      <c r="D292" s="70"/>
      <c r="E292" s="70"/>
      <c r="F292" s="70"/>
      <c r="H292" s="70" t="s">
        <v>16</v>
      </c>
      <c r="I292" s="19">
        <v>1</v>
      </c>
      <c r="L292" t="s">
        <v>36</v>
      </c>
      <c r="M292" s="70"/>
      <c r="N292" s="70"/>
      <c r="O292" s="70"/>
      <c r="P292" s="70"/>
      <c r="Q292" s="70"/>
      <c r="S292" s="70" t="s">
        <v>16</v>
      </c>
      <c r="T292" s="19">
        <v>2</v>
      </c>
      <c r="W292" t="s">
        <v>36</v>
      </c>
      <c r="X292" s="70"/>
      <c r="Y292" s="70"/>
      <c r="Z292" s="70"/>
      <c r="AA292" s="70"/>
      <c r="AB292" s="70"/>
      <c r="AD292" s="70" t="s">
        <v>16</v>
      </c>
      <c r="AE292" s="20">
        <v>3</v>
      </c>
    </row>
    <row r="293" spans="1:32" x14ac:dyDescent="0.25">
      <c r="A293" s="21" t="s">
        <v>57</v>
      </c>
      <c r="B293" s="20"/>
      <c r="C293" s="70"/>
      <c r="D293" s="70"/>
      <c r="E293" s="70"/>
      <c r="F293" s="70"/>
      <c r="H293" s="22" t="s">
        <v>17</v>
      </c>
      <c r="I293" s="23" t="s">
        <v>46</v>
      </c>
      <c r="J293" s="24"/>
      <c r="L293" s="21" t="s">
        <v>57</v>
      </c>
      <c r="M293" s="20"/>
      <c r="N293" s="70"/>
      <c r="O293" s="70"/>
      <c r="P293" s="70"/>
      <c r="Q293" s="70"/>
      <c r="S293" s="22" t="s">
        <v>17</v>
      </c>
      <c r="T293" s="23" t="s">
        <v>34</v>
      </c>
      <c r="U293" s="24"/>
      <c r="W293" s="21" t="s">
        <v>57</v>
      </c>
      <c r="X293" s="20"/>
      <c r="Y293" s="70"/>
      <c r="Z293" s="70"/>
      <c r="AA293" s="70"/>
      <c r="AB293" s="70"/>
      <c r="AD293" s="22" t="s">
        <v>17</v>
      </c>
      <c r="AE293" s="23" t="s">
        <v>47</v>
      </c>
      <c r="AF293" s="24"/>
    </row>
    <row r="294" spans="1:32" x14ac:dyDescent="0.25">
      <c r="B294" s="70"/>
      <c r="C294" s="70"/>
      <c r="D294" s="70"/>
      <c r="E294" s="70"/>
      <c r="F294" s="70"/>
      <c r="M294" s="70"/>
      <c r="N294" s="70"/>
      <c r="O294" s="70"/>
      <c r="P294" s="70"/>
      <c r="Q294" s="70"/>
      <c r="X294" s="70"/>
      <c r="Y294" s="70"/>
      <c r="Z294" s="70"/>
      <c r="AA294" s="70"/>
      <c r="AB294" s="70"/>
    </row>
    <row r="295" spans="1:32" x14ac:dyDescent="0.25">
      <c r="B295" s="25"/>
      <c r="C295" s="26"/>
      <c r="D295" s="79" t="s">
        <v>18</v>
      </c>
      <c r="E295" s="79"/>
      <c r="F295" s="27"/>
      <c r="H295" s="77" t="s">
        <v>19</v>
      </c>
      <c r="I295" s="78"/>
      <c r="J295" s="75" t="s">
        <v>20</v>
      </c>
      <c r="M295" s="25"/>
      <c r="N295" s="26"/>
      <c r="O295" s="79" t="s">
        <v>18</v>
      </c>
      <c r="P295" s="79"/>
      <c r="Q295" s="27"/>
      <c r="S295" s="77" t="s">
        <v>19</v>
      </c>
      <c r="T295" s="78"/>
      <c r="U295" s="75" t="s">
        <v>20</v>
      </c>
      <c r="X295" s="25"/>
      <c r="Y295" s="26"/>
      <c r="Z295" s="79" t="s">
        <v>18</v>
      </c>
      <c r="AA295" s="79"/>
      <c r="AB295" s="27"/>
      <c r="AD295" s="77" t="s">
        <v>19</v>
      </c>
      <c r="AE295" s="78"/>
      <c r="AF295" s="75" t="s">
        <v>20</v>
      </c>
    </row>
    <row r="296" spans="1:32" ht="30" x14ac:dyDescent="0.25">
      <c r="B296" s="28" t="s">
        <v>21</v>
      </c>
      <c r="C296" s="28" t="s">
        <v>22</v>
      </c>
      <c r="D296" s="29" t="s">
        <v>23</v>
      </c>
      <c r="E296" s="30" t="s">
        <v>24</v>
      </c>
      <c r="F296" s="30" t="s">
        <v>25</v>
      </c>
      <c r="H296" s="31" t="s">
        <v>26</v>
      </c>
      <c r="I296" s="31" t="s">
        <v>27</v>
      </c>
      <c r="J296" s="76"/>
      <c r="M296" s="28" t="s">
        <v>21</v>
      </c>
      <c r="N296" s="28" t="s">
        <v>22</v>
      </c>
      <c r="O296" s="29" t="s">
        <v>23</v>
      </c>
      <c r="P296" s="30" t="s">
        <v>24</v>
      </c>
      <c r="Q296" s="30" t="s">
        <v>25</v>
      </c>
      <c r="S296" s="31" t="s">
        <v>26</v>
      </c>
      <c r="T296" s="31" t="s">
        <v>27</v>
      </c>
      <c r="U296" s="76"/>
      <c r="X296" s="28" t="s">
        <v>21</v>
      </c>
      <c r="Y296" s="28" t="s">
        <v>22</v>
      </c>
      <c r="Z296" s="29" t="s">
        <v>23</v>
      </c>
      <c r="AA296" s="30" t="s">
        <v>24</v>
      </c>
      <c r="AB296" s="30" t="s">
        <v>25</v>
      </c>
      <c r="AD296" s="31" t="s">
        <v>26</v>
      </c>
      <c r="AE296" s="31" t="s">
        <v>27</v>
      </c>
      <c r="AF296" s="76"/>
    </row>
    <row r="297" spans="1:32" x14ac:dyDescent="0.25">
      <c r="A297" s="10">
        <v>1</v>
      </c>
      <c r="B297" s="32">
        <v>45299</v>
      </c>
      <c r="C297" s="33">
        <v>7268</v>
      </c>
      <c r="D297" s="34">
        <f>1025</f>
        <v>1025</v>
      </c>
      <c r="E297" s="34"/>
      <c r="F297" s="34">
        <f t="shared" ref="F297:F330" si="110">SUM(D297:E297)</f>
        <v>1025</v>
      </c>
      <c r="G297" s="12"/>
      <c r="H297" s="12"/>
      <c r="I297" s="12"/>
      <c r="J297" s="12">
        <f t="shared" ref="J297:J330" si="111">SUM(F297:I297)</f>
        <v>1025</v>
      </c>
      <c r="L297" s="10">
        <v>1</v>
      </c>
      <c r="M297" s="32">
        <v>45299</v>
      </c>
      <c r="N297" s="33">
        <v>7198</v>
      </c>
      <c r="O297" s="34">
        <f>626*324+614*5+596*10+205*14</f>
        <v>214724</v>
      </c>
      <c r="P297" s="34">
        <v>-3177</v>
      </c>
      <c r="Q297" s="34">
        <f>SUM(O297:P297)</f>
        <v>211547</v>
      </c>
      <c r="R297" s="12"/>
      <c r="S297" s="12"/>
      <c r="T297" s="12">
        <v>-5634</v>
      </c>
      <c r="U297" s="12">
        <f>SUM(Q297:T297)</f>
        <v>205913</v>
      </c>
      <c r="W297" s="10">
        <v>1</v>
      </c>
      <c r="X297" s="32">
        <v>45299</v>
      </c>
      <c r="Y297" s="33">
        <v>7019</v>
      </c>
      <c r="Z297" s="34">
        <f>2504+1192+51</f>
        <v>3747</v>
      </c>
      <c r="AA297" s="34"/>
      <c r="AB297" s="34">
        <f>SUM(Z297:AA297)</f>
        <v>3747</v>
      </c>
      <c r="AC297" s="12"/>
      <c r="AD297" s="12"/>
      <c r="AE297" s="12"/>
      <c r="AF297" s="12">
        <f>SUM(AB297:AE297)</f>
        <v>3747</v>
      </c>
    </row>
    <row r="298" spans="1:32" x14ac:dyDescent="0.25">
      <c r="A298" s="10">
        <v>2</v>
      </c>
      <c r="B298" s="32">
        <v>45299</v>
      </c>
      <c r="C298" s="33">
        <f>C297+1</f>
        <v>7269</v>
      </c>
      <c r="D298" s="34">
        <f>5008+614+68</f>
        <v>5690</v>
      </c>
      <c r="E298" s="34"/>
      <c r="F298" s="34">
        <f t="shared" si="110"/>
        <v>5690</v>
      </c>
      <c r="G298" s="12"/>
      <c r="H298" s="12">
        <v>27</v>
      </c>
      <c r="I298" s="12"/>
      <c r="J298" s="12">
        <f t="shared" si="111"/>
        <v>5717</v>
      </c>
      <c r="L298" s="10">
        <v>2</v>
      </c>
      <c r="M298" s="32">
        <v>45299</v>
      </c>
      <c r="N298" s="33">
        <f>N297+1</f>
        <v>7199</v>
      </c>
      <c r="O298" s="34">
        <f>1878+614+1788+51</f>
        <v>4331</v>
      </c>
      <c r="P298" s="34"/>
      <c r="Q298" s="34">
        <f t="shared" ref="Q298:Q329" si="112">SUM(O298:P298)</f>
        <v>4331</v>
      </c>
      <c r="R298" s="12"/>
      <c r="S298" s="12"/>
      <c r="T298" s="12"/>
      <c r="U298" s="12">
        <f t="shared" ref="U298:U338" si="113">SUM(Q298:T298)</f>
        <v>4331</v>
      </c>
      <c r="W298" s="10">
        <v>2</v>
      </c>
      <c r="X298" s="32">
        <v>45299</v>
      </c>
      <c r="Y298" s="33">
        <f>Y297+1</f>
        <v>7020</v>
      </c>
      <c r="Z298" s="34">
        <f>2504+596+42.5</f>
        <v>3142.5</v>
      </c>
      <c r="AA298" s="34"/>
      <c r="AB298" s="34">
        <f t="shared" ref="AB298:AB300" si="114">SUM(Z298:AA298)</f>
        <v>3142.5</v>
      </c>
      <c r="AC298" s="12"/>
      <c r="AD298" s="12"/>
      <c r="AE298" s="12"/>
      <c r="AF298" s="12">
        <f t="shared" ref="AF298:AF338" si="115">SUM(AB298:AE298)</f>
        <v>3142.5</v>
      </c>
    </row>
    <row r="299" spans="1:32" x14ac:dyDescent="0.25">
      <c r="A299" s="10">
        <v>3</v>
      </c>
      <c r="B299" s="32">
        <v>45299</v>
      </c>
      <c r="C299" s="33">
        <f t="shared" ref="C299:C314" si="116">C298+1</f>
        <v>7270</v>
      </c>
      <c r="D299" s="35">
        <f>3756+51</f>
        <v>3807</v>
      </c>
      <c r="E299" s="35"/>
      <c r="F299" s="35">
        <f t="shared" si="110"/>
        <v>3807</v>
      </c>
      <c r="G299" s="36"/>
      <c r="H299" s="36"/>
      <c r="I299" s="36"/>
      <c r="J299" s="36">
        <f t="shared" si="111"/>
        <v>3807</v>
      </c>
      <c r="L299" s="10">
        <v>3</v>
      </c>
      <c r="M299" s="32">
        <v>45299</v>
      </c>
      <c r="N299" s="33">
        <f t="shared" ref="N299:N303" si="117">N298+1</f>
        <v>7200</v>
      </c>
      <c r="O299" s="34">
        <f>1192+17</f>
        <v>1209</v>
      </c>
      <c r="P299" s="34"/>
      <c r="Q299" s="34">
        <f t="shared" si="112"/>
        <v>1209</v>
      </c>
      <c r="R299" s="12"/>
      <c r="S299" s="12"/>
      <c r="T299" s="12"/>
      <c r="U299" s="12">
        <f t="shared" si="113"/>
        <v>1209</v>
      </c>
      <c r="W299" s="10">
        <v>3</v>
      </c>
      <c r="X299" s="32">
        <v>45299</v>
      </c>
      <c r="Y299" s="33">
        <f t="shared" ref="Y299:Y306" si="118">Y298+1</f>
        <v>7021</v>
      </c>
      <c r="Z299" s="34">
        <f>4382+59.5</f>
        <v>4441.5</v>
      </c>
      <c r="AA299" s="34"/>
      <c r="AB299" s="34">
        <f t="shared" si="114"/>
        <v>4441.5</v>
      </c>
      <c r="AC299" s="12"/>
      <c r="AD299" s="12"/>
      <c r="AE299" s="12"/>
      <c r="AF299" s="12">
        <f t="shared" si="115"/>
        <v>4441.5</v>
      </c>
    </row>
    <row r="300" spans="1:32" x14ac:dyDescent="0.25">
      <c r="A300" s="10">
        <v>4</v>
      </c>
      <c r="B300" s="32">
        <v>45299</v>
      </c>
      <c r="C300" s="33">
        <f t="shared" si="116"/>
        <v>7271</v>
      </c>
      <c r="D300" s="34">
        <f>626*17+596+832+153</f>
        <v>12223</v>
      </c>
      <c r="E300" s="34"/>
      <c r="F300" s="34">
        <f t="shared" si="110"/>
        <v>12223</v>
      </c>
      <c r="G300" s="12"/>
      <c r="H300" s="12">
        <v>27</v>
      </c>
      <c r="I300" s="12"/>
      <c r="J300" s="12">
        <f t="shared" si="111"/>
        <v>12250</v>
      </c>
      <c r="L300" s="10">
        <v>4</v>
      </c>
      <c r="M300" s="32">
        <v>45299</v>
      </c>
      <c r="N300" s="33">
        <f t="shared" si="117"/>
        <v>7201</v>
      </c>
      <c r="O300" s="34">
        <f>1878+25.5</f>
        <v>1903.5</v>
      </c>
      <c r="P300" s="34"/>
      <c r="Q300" s="34">
        <f t="shared" si="112"/>
        <v>1903.5</v>
      </c>
      <c r="R300" s="12"/>
      <c r="S300" s="12"/>
      <c r="T300" s="12"/>
      <c r="U300" s="12">
        <f t="shared" si="113"/>
        <v>1903.5</v>
      </c>
      <c r="W300" s="10">
        <v>4</v>
      </c>
      <c r="X300" s="32">
        <v>45299</v>
      </c>
      <c r="Y300" s="33">
        <f t="shared" si="118"/>
        <v>7022</v>
      </c>
      <c r="Z300" s="34">
        <f>626*13+626*3+1102+205+650+1102</f>
        <v>13075</v>
      </c>
      <c r="AA300" s="34"/>
      <c r="AB300" s="34">
        <f t="shared" si="114"/>
        <v>13075</v>
      </c>
      <c r="AC300" s="12"/>
      <c r="AE300" s="12"/>
      <c r="AF300" s="12">
        <f t="shared" si="115"/>
        <v>13075</v>
      </c>
    </row>
    <row r="301" spans="1:32" x14ac:dyDescent="0.25">
      <c r="A301" s="10">
        <v>5</v>
      </c>
      <c r="B301" s="32">
        <v>45299</v>
      </c>
      <c r="C301" s="33">
        <f t="shared" si="116"/>
        <v>7272</v>
      </c>
      <c r="D301" s="34">
        <f>626*6+51</f>
        <v>3807</v>
      </c>
      <c r="E301" s="34"/>
      <c r="F301" s="34">
        <f t="shared" si="110"/>
        <v>3807</v>
      </c>
      <c r="G301" s="12"/>
      <c r="H301" s="12">
        <v>5</v>
      </c>
      <c r="I301" s="12"/>
      <c r="J301" s="12">
        <f t="shared" si="111"/>
        <v>3812</v>
      </c>
      <c r="L301" s="10">
        <v>5</v>
      </c>
      <c r="M301" s="32">
        <v>45299</v>
      </c>
      <c r="N301" s="33">
        <f t="shared" si="117"/>
        <v>7202</v>
      </c>
      <c r="O301" s="34">
        <f>626+614+17</f>
        <v>1257</v>
      </c>
      <c r="P301" s="34"/>
      <c r="Q301" s="34">
        <f t="shared" si="112"/>
        <v>1257</v>
      </c>
      <c r="R301" s="12"/>
      <c r="S301" s="12">
        <v>2.25</v>
      </c>
      <c r="T301" s="12"/>
      <c r="U301" s="12">
        <f t="shared" si="113"/>
        <v>1259.25</v>
      </c>
      <c r="W301" s="10">
        <v>5</v>
      </c>
      <c r="X301" s="32">
        <v>45299</v>
      </c>
      <c r="Y301" s="33">
        <f t="shared" si="118"/>
        <v>7023</v>
      </c>
      <c r="Z301" s="34">
        <f>626*10+614+85</f>
        <v>6959</v>
      </c>
      <c r="AA301" s="34"/>
      <c r="AB301" s="34">
        <f t="shared" ref="AB301:AB306" si="119">SUM(Z301:AA301)</f>
        <v>6959</v>
      </c>
      <c r="AC301" s="12"/>
      <c r="AD301" s="12"/>
      <c r="AE301" s="12"/>
      <c r="AF301" s="12">
        <f t="shared" si="115"/>
        <v>6959</v>
      </c>
    </row>
    <row r="302" spans="1:32" x14ac:dyDescent="0.25">
      <c r="A302" s="10">
        <v>6</v>
      </c>
      <c r="B302" s="32">
        <v>45299</v>
      </c>
      <c r="C302" s="33">
        <f t="shared" si="116"/>
        <v>7273</v>
      </c>
      <c r="E302" s="34"/>
      <c r="F302" s="34">
        <f t="shared" si="110"/>
        <v>0</v>
      </c>
      <c r="G302" s="12"/>
      <c r="I302" s="12"/>
      <c r="J302" s="12">
        <f t="shared" si="111"/>
        <v>0</v>
      </c>
      <c r="L302" s="10">
        <v>6</v>
      </c>
      <c r="M302" s="32">
        <v>45299</v>
      </c>
      <c r="N302" s="33">
        <f t="shared" si="117"/>
        <v>7203</v>
      </c>
      <c r="O302" s="34">
        <f>1252+17</f>
        <v>1269</v>
      </c>
      <c r="P302" s="34"/>
      <c r="Q302" s="34">
        <f t="shared" si="112"/>
        <v>1269</v>
      </c>
      <c r="R302" s="12"/>
      <c r="S302" s="12"/>
      <c r="T302" s="10">
        <v>-666</v>
      </c>
      <c r="U302" s="12">
        <f t="shared" si="113"/>
        <v>603</v>
      </c>
      <c r="W302" s="10">
        <v>6</v>
      </c>
      <c r="X302" s="32">
        <v>45299</v>
      </c>
      <c r="Y302" s="33">
        <f t="shared" si="118"/>
        <v>7024</v>
      </c>
      <c r="Z302" s="34">
        <f>626*20+832*2+205</f>
        <v>14389</v>
      </c>
      <c r="AA302" s="34"/>
      <c r="AB302" s="34">
        <f t="shared" si="119"/>
        <v>14389</v>
      </c>
      <c r="AC302" s="12"/>
      <c r="AD302" s="12"/>
      <c r="AE302" s="10"/>
      <c r="AF302" s="12">
        <f t="shared" si="115"/>
        <v>14389</v>
      </c>
    </row>
    <row r="303" spans="1:32" x14ac:dyDescent="0.25">
      <c r="A303" s="10">
        <v>7</v>
      </c>
      <c r="B303" s="32">
        <v>45299</v>
      </c>
      <c r="C303" s="33">
        <f t="shared" si="116"/>
        <v>7274</v>
      </c>
      <c r="D303" s="34">
        <f>626*28+596*4+205+650*2+674*4</f>
        <v>24113</v>
      </c>
      <c r="E303" s="34"/>
      <c r="F303" s="34">
        <f>SUM(D303:E303)</f>
        <v>24113</v>
      </c>
      <c r="G303" s="12"/>
      <c r="H303" s="12">
        <f>175.5+1.5+111</f>
        <v>288</v>
      </c>
      <c r="I303" s="12"/>
      <c r="J303" s="12">
        <f t="shared" si="111"/>
        <v>24401</v>
      </c>
      <c r="L303" s="10">
        <v>7</v>
      </c>
      <c r="M303" s="32">
        <v>45299</v>
      </c>
      <c r="N303" s="33">
        <f t="shared" si="117"/>
        <v>7204</v>
      </c>
      <c r="O303" s="34">
        <f>2504+596+42.5</f>
        <v>3142.5</v>
      </c>
      <c r="P303" s="34"/>
      <c r="Q303" s="34">
        <f t="shared" si="112"/>
        <v>3142.5</v>
      </c>
      <c r="R303" s="12"/>
      <c r="S303" s="12"/>
      <c r="T303" s="12"/>
      <c r="U303" s="12">
        <f t="shared" si="113"/>
        <v>3142.5</v>
      </c>
      <c r="W303" s="10">
        <v>7</v>
      </c>
      <c r="X303" s="32">
        <v>45299</v>
      </c>
      <c r="Y303" s="33">
        <f t="shared" si="118"/>
        <v>7025</v>
      </c>
      <c r="Z303" s="34">
        <f>626*30+674*5+596*2+205+1102</f>
        <v>24649</v>
      </c>
      <c r="AA303" s="34"/>
      <c r="AB303" s="34">
        <f t="shared" si="119"/>
        <v>24649</v>
      </c>
      <c r="AC303" s="12"/>
      <c r="AD303" s="66"/>
      <c r="AE303" s="12"/>
      <c r="AF303" s="12">
        <f t="shared" si="115"/>
        <v>24649</v>
      </c>
    </row>
    <row r="304" spans="1:32" x14ac:dyDescent="0.25">
      <c r="A304" s="10">
        <v>8</v>
      </c>
      <c r="B304" s="32">
        <v>45299</v>
      </c>
      <c r="C304" s="33">
        <f t="shared" si="116"/>
        <v>7275</v>
      </c>
      <c r="D304" s="34">
        <f>25040+1228+205</f>
        <v>26473</v>
      </c>
      <c r="E304" s="34"/>
      <c r="F304" s="34">
        <f t="shared" si="110"/>
        <v>26473</v>
      </c>
      <c r="G304" s="12"/>
      <c r="H304" s="12"/>
      <c r="I304" s="12"/>
      <c r="J304" s="12">
        <f t="shared" si="111"/>
        <v>26473</v>
      </c>
      <c r="L304" s="10">
        <v>8</v>
      </c>
      <c r="M304" s="32"/>
      <c r="N304" s="11" t="s">
        <v>28</v>
      </c>
      <c r="O304" s="34"/>
      <c r="P304" s="34"/>
      <c r="Q304" s="34">
        <f t="shared" si="112"/>
        <v>0</v>
      </c>
      <c r="R304" s="12"/>
      <c r="S304" s="12"/>
      <c r="T304" s="12"/>
      <c r="U304" s="12">
        <f t="shared" si="113"/>
        <v>0</v>
      </c>
      <c r="W304" s="10">
        <v>8</v>
      </c>
      <c r="X304" s="32">
        <v>45299</v>
      </c>
      <c r="Y304" s="33">
        <f t="shared" si="118"/>
        <v>7026</v>
      </c>
      <c r="Z304" s="34">
        <f>2504+1192+51</f>
        <v>3747</v>
      </c>
      <c r="AB304" s="34">
        <f t="shared" si="119"/>
        <v>3747</v>
      </c>
      <c r="AC304" s="12"/>
      <c r="AD304" s="12"/>
      <c r="AE304" s="12"/>
      <c r="AF304" s="12">
        <f t="shared" si="115"/>
        <v>3747</v>
      </c>
    </row>
    <row r="305" spans="1:32" x14ac:dyDescent="0.25">
      <c r="A305" s="10">
        <v>9</v>
      </c>
      <c r="B305" s="32">
        <v>45299</v>
      </c>
      <c r="C305" s="33">
        <f t="shared" si="116"/>
        <v>7276</v>
      </c>
      <c r="D305" s="34">
        <f>1252+17+500</f>
        <v>1769</v>
      </c>
      <c r="E305" s="34"/>
      <c r="F305" s="34">
        <f t="shared" si="110"/>
        <v>1769</v>
      </c>
      <c r="G305" s="12"/>
      <c r="H305" s="12"/>
      <c r="I305" s="12"/>
      <c r="J305" s="12">
        <f t="shared" si="111"/>
        <v>1769</v>
      </c>
      <c r="L305" s="10">
        <v>9</v>
      </c>
      <c r="M305" s="32"/>
      <c r="N305" s="33"/>
      <c r="O305" s="34"/>
      <c r="P305" s="34"/>
      <c r="Q305" s="34">
        <f t="shared" si="112"/>
        <v>0</v>
      </c>
      <c r="R305" s="12"/>
      <c r="S305" s="12"/>
      <c r="T305" s="12"/>
      <c r="U305" s="12">
        <f t="shared" si="113"/>
        <v>0</v>
      </c>
      <c r="W305" s="10">
        <v>9</v>
      </c>
      <c r="X305" s="32">
        <v>45299</v>
      </c>
      <c r="Y305" s="33">
        <f t="shared" si="118"/>
        <v>7027</v>
      </c>
      <c r="Z305">
        <f>145232+1845+8762</f>
        <v>155839</v>
      </c>
      <c r="AA305" s="34">
        <v>-2205</v>
      </c>
      <c r="AB305" s="34">
        <f t="shared" si="119"/>
        <v>153634</v>
      </c>
      <c r="AC305" s="12"/>
      <c r="AE305" s="12"/>
      <c r="AF305" s="12">
        <f t="shared" si="115"/>
        <v>153634</v>
      </c>
    </row>
    <row r="306" spans="1:32" x14ac:dyDescent="0.25">
      <c r="A306" s="10">
        <v>10</v>
      </c>
      <c r="B306" s="32">
        <v>45299</v>
      </c>
      <c r="C306" s="33">
        <f t="shared" si="116"/>
        <v>7277</v>
      </c>
      <c r="D306" s="34">
        <f>3130+42.5</f>
        <v>3172.5</v>
      </c>
      <c r="E306" s="34"/>
      <c r="F306" s="34">
        <f t="shared" si="110"/>
        <v>3172.5</v>
      </c>
      <c r="G306" s="12"/>
      <c r="H306" s="12"/>
      <c r="I306" s="12">
        <v>-1.5</v>
      </c>
      <c r="J306" s="12">
        <f t="shared" si="111"/>
        <v>3171</v>
      </c>
      <c r="L306" s="10">
        <v>10</v>
      </c>
      <c r="M306" s="32"/>
      <c r="N306" s="33"/>
      <c r="O306" s="34"/>
      <c r="P306" s="34"/>
      <c r="Q306" s="34">
        <f t="shared" si="112"/>
        <v>0</v>
      </c>
      <c r="R306" s="12"/>
      <c r="S306" s="12"/>
      <c r="T306" s="12"/>
      <c r="U306" s="12">
        <f t="shared" si="113"/>
        <v>0</v>
      </c>
      <c r="W306" s="10">
        <v>10</v>
      </c>
      <c r="X306" s="32">
        <v>45299</v>
      </c>
      <c r="Y306" s="33">
        <f t="shared" si="118"/>
        <v>7028</v>
      </c>
      <c r="Z306" s="34">
        <f>1878+25.5+674</f>
        <v>2577.5</v>
      </c>
      <c r="AA306" s="34"/>
      <c r="AB306" s="34">
        <f t="shared" si="119"/>
        <v>2577.5</v>
      </c>
      <c r="AC306" s="12"/>
      <c r="AD306" s="12"/>
      <c r="AE306" s="12"/>
      <c r="AF306" s="12">
        <f t="shared" si="115"/>
        <v>2577.5</v>
      </c>
    </row>
    <row r="307" spans="1:32" x14ac:dyDescent="0.25">
      <c r="A307" s="10">
        <v>11</v>
      </c>
      <c r="B307" s="32">
        <v>45299</v>
      </c>
      <c r="C307" s="33">
        <f t="shared" si="116"/>
        <v>7278</v>
      </c>
      <c r="D307" s="34">
        <f>3756+51</f>
        <v>3807</v>
      </c>
      <c r="E307" s="34"/>
      <c r="F307" s="34">
        <f t="shared" si="110"/>
        <v>3807</v>
      </c>
      <c r="G307" s="12"/>
      <c r="H307" s="12"/>
      <c r="I307" s="12"/>
      <c r="J307" s="12">
        <f t="shared" si="111"/>
        <v>3807</v>
      </c>
      <c r="L307" s="10">
        <v>11</v>
      </c>
      <c r="M307" s="32"/>
      <c r="N307" s="33"/>
      <c r="O307" s="34"/>
      <c r="P307" s="34"/>
      <c r="Q307" s="34">
        <f t="shared" si="112"/>
        <v>0</v>
      </c>
      <c r="R307" s="12"/>
      <c r="S307" s="12"/>
      <c r="T307" s="12"/>
      <c r="U307" s="12">
        <f t="shared" si="113"/>
        <v>0</v>
      </c>
      <c r="W307" s="10">
        <v>11</v>
      </c>
      <c r="X307" s="32"/>
      <c r="Y307" s="11" t="s">
        <v>28</v>
      </c>
      <c r="Z307" s="34"/>
      <c r="AA307" s="34"/>
      <c r="AB307" s="34">
        <f t="shared" ref="AB307:AB329" si="120">SUM(Z307:AA307)</f>
        <v>0</v>
      </c>
      <c r="AC307" s="12"/>
      <c r="AD307" s="12"/>
      <c r="AE307" s="12"/>
      <c r="AF307" s="12">
        <f t="shared" si="115"/>
        <v>0</v>
      </c>
    </row>
    <row r="308" spans="1:32" x14ac:dyDescent="0.25">
      <c r="A308" s="10">
        <v>12</v>
      </c>
      <c r="B308" s="32">
        <v>45299</v>
      </c>
      <c r="C308" s="33">
        <f t="shared" si="116"/>
        <v>7279</v>
      </c>
      <c r="D308" s="34">
        <f>626*4+596+42.5</f>
        <v>3142.5</v>
      </c>
      <c r="E308" s="34"/>
      <c r="F308" s="34">
        <f t="shared" si="110"/>
        <v>3142.5</v>
      </c>
      <c r="G308" s="12"/>
      <c r="H308" s="12"/>
      <c r="I308" s="10">
        <v>-1.5</v>
      </c>
      <c r="J308" s="12">
        <f t="shared" si="111"/>
        <v>3141</v>
      </c>
      <c r="L308" s="10">
        <v>12</v>
      </c>
      <c r="M308" s="32"/>
      <c r="N308" s="33"/>
      <c r="O308" s="34"/>
      <c r="P308" s="34"/>
      <c r="Q308" s="34">
        <f t="shared" si="112"/>
        <v>0</v>
      </c>
      <c r="R308" s="12"/>
      <c r="S308" s="12"/>
      <c r="T308" s="12"/>
      <c r="U308" s="12">
        <f t="shared" si="113"/>
        <v>0</v>
      </c>
      <c r="W308" s="10">
        <v>12</v>
      </c>
      <c r="X308" s="32"/>
      <c r="Y308" s="33"/>
      <c r="Z308" s="34"/>
      <c r="AA308" s="34"/>
      <c r="AB308" s="34">
        <f t="shared" si="120"/>
        <v>0</v>
      </c>
      <c r="AC308" s="12"/>
      <c r="AD308" s="12"/>
      <c r="AE308" s="12"/>
      <c r="AF308" s="12">
        <f t="shared" si="115"/>
        <v>0</v>
      </c>
    </row>
    <row r="309" spans="1:32" x14ac:dyDescent="0.25">
      <c r="A309" s="10">
        <v>13</v>
      </c>
      <c r="B309" s="32">
        <v>45299</v>
      </c>
      <c r="C309" s="33">
        <f t="shared" si="116"/>
        <v>7280</v>
      </c>
      <c r="D309" s="34">
        <f>626*6+614+205</f>
        <v>4575</v>
      </c>
      <c r="E309" s="34"/>
      <c r="F309" s="34">
        <f t="shared" si="110"/>
        <v>4575</v>
      </c>
      <c r="G309" s="12"/>
      <c r="H309" s="12"/>
      <c r="I309" s="12"/>
      <c r="J309" s="12">
        <f t="shared" si="111"/>
        <v>4575</v>
      </c>
      <c r="L309" s="10">
        <v>13</v>
      </c>
      <c r="M309" s="32"/>
      <c r="N309" s="33"/>
      <c r="O309" s="34"/>
      <c r="P309" s="34"/>
      <c r="Q309" s="34">
        <f t="shared" si="112"/>
        <v>0</v>
      </c>
      <c r="R309" s="12"/>
      <c r="S309" s="12"/>
      <c r="T309" s="12"/>
      <c r="U309" s="12">
        <f t="shared" si="113"/>
        <v>0</v>
      </c>
      <c r="W309" s="10">
        <v>13</v>
      </c>
      <c r="X309" s="32"/>
      <c r="Y309" s="33"/>
      <c r="Z309" s="34"/>
      <c r="AA309" s="34"/>
      <c r="AB309" s="34">
        <f t="shared" si="120"/>
        <v>0</v>
      </c>
      <c r="AC309" s="12"/>
      <c r="AD309" s="12"/>
      <c r="AE309" s="12"/>
      <c r="AF309" s="12">
        <f t="shared" si="115"/>
        <v>0</v>
      </c>
    </row>
    <row r="310" spans="1:32" x14ac:dyDescent="0.25">
      <c r="A310" s="10">
        <v>14</v>
      </c>
      <c r="B310" s="32">
        <v>45299</v>
      </c>
      <c r="C310" s="33">
        <f t="shared" si="116"/>
        <v>7281</v>
      </c>
      <c r="D310" s="34">
        <f>5008+1192+85</f>
        <v>6285</v>
      </c>
      <c r="E310" s="34"/>
      <c r="F310" s="34">
        <f t="shared" si="110"/>
        <v>6285</v>
      </c>
      <c r="G310" s="12"/>
      <c r="H310" s="12"/>
      <c r="I310" s="12"/>
      <c r="J310" s="12">
        <f t="shared" si="111"/>
        <v>6285</v>
      </c>
      <c r="L310" s="10">
        <v>14</v>
      </c>
      <c r="M310" s="32"/>
      <c r="N310" s="33"/>
      <c r="O310" s="34"/>
      <c r="P310" s="34"/>
      <c r="Q310" s="34">
        <f t="shared" si="112"/>
        <v>0</v>
      </c>
      <c r="R310" s="12"/>
      <c r="S310" s="12"/>
      <c r="T310" s="12"/>
      <c r="U310" s="12">
        <f t="shared" si="113"/>
        <v>0</v>
      </c>
      <c r="W310" s="10">
        <v>14</v>
      </c>
      <c r="X310" s="32"/>
      <c r="Y310" s="33"/>
      <c r="AA310" s="34"/>
      <c r="AB310" s="34">
        <f t="shared" si="120"/>
        <v>0</v>
      </c>
      <c r="AC310" s="12"/>
      <c r="AD310" s="12"/>
      <c r="AE310" s="12"/>
      <c r="AF310" s="12">
        <f t="shared" si="115"/>
        <v>0</v>
      </c>
    </row>
    <row r="311" spans="1:32" x14ac:dyDescent="0.25">
      <c r="A311" s="10">
        <v>15</v>
      </c>
      <c r="B311" s="32">
        <v>45299</v>
      </c>
      <c r="C311" s="33">
        <f t="shared" si="116"/>
        <v>7282</v>
      </c>
      <c r="D311" s="34">
        <f>1252+17</f>
        <v>1269</v>
      </c>
      <c r="E311" s="34"/>
      <c r="F311" s="34">
        <f t="shared" si="110"/>
        <v>1269</v>
      </c>
      <c r="G311" s="12"/>
      <c r="H311" s="12"/>
      <c r="I311" s="12"/>
      <c r="J311" s="12">
        <f t="shared" si="111"/>
        <v>1269</v>
      </c>
      <c r="L311" s="10">
        <v>15</v>
      </c>
      <c r="M311" s="32"/>
      <c r="N311" s="33"/>
      <c r="O311" s="34"/>
      <c r="P311" s="34"/>
      <c r="Q311" s="34">
        <f t="shared" si="112"/>
        <v>0</v>
      </c>
      <c r="R311" s="12"/>
      <c r="S311" s="12"/>
      <c r="T311" s="12"/>
      <c r="U311" s="12">
        <f t="shared" si="113"/>
        <v>0</v>
      </c>
      <c r="W311" s="10">
        <v>15</v>
      </c>
      <c r="X311" s="32"/>
      <c r="Y311" s="33"/>
      <c r="Z311" s="34"/>
      <c r="AA311" s="34"/>
      <c r="AB311" s="34">
        <f t="shared" si="120"/>
        <v>0</v>
      </c>
      <c r="AC311" s="12"/>
      <c r="AD311" s="12"/>
      <c r="AE311" s="12"/>
      <c r="AF311" s="12">
        <f t="shared" si="115"/>
        <v>0</v>
      </c>
    </row>
    <row r="312" spans="1:32" x14ac:dyDescent="0.25">
      <c r="A312" s="10">
        <v>16</v>
      </c>
      <c r="B312" s="32">
        <v>45299</v>
      </c>
      <c r="C312" s="33">
        <f t="shared" si="116"/>
        <v>7283</v>
      </c>
      <c r="D312" s="34">
        <f>626*16+596*2+136</f>
        <v>11344</v>
      </c>
      <c r="E312" s="34"/>
      <c r="F312" s="34">
        <f t="shared" si="110"/>
        <v>11344</v>
      </c>
      <c r="G312" s="12"/>
      <c r="H312" s="12">
        <v>9</v>
      </c>
      <c r="I312" s="12"/>
      <c r="J312" s="12">
        <f t="shared" si="111"/>
        <v>11353</v>
      </c>
      <c r="L312" s="10">
        <v>16</v>
      </c>
      <c r="M312" s="32"/>
      <c r="N312" s="33"/>
      <c r="O312" s="34"/>
      <c r="P312" s="34"/>
      <c r="Q312" s="34">
        <f t="shared" si="112"/>
        <v>0</v>
      </c>
      <c r="R312" s="12"/>
      <c r="S312" s="12"/>
      <c r="T312" s="12"/>
      <c r="U312" s="12">
        <f t="shared" si="113"/>
        <v>0</v>
      </c>
      <c r="W312" s="10">
        <v>16</v>
      </c>
      <c r="X312" s="32"/>
      <c r="Y312" s="33"/>
      <c r="Z312" s="34"/>
      <c r="AA312" s="34"/>
      <c r="AB312" s="34">
        <f t="shared" si="120"/>
        <v>0</v>
      </c>
      <c r="AC312" s="12"/>
      <c r="AD312" s="12"/>
      <c r="AE312" s="12"/>
      <c r="AF312" s="12">
        <f t="shared" si="115"/>
        <v>0</v>
      </c>
    </row>
    <row r="313" spans="1:32" x14ac:dyDescent="0.25">
      <c r="A313" s="10">
        <v>17</v>
      </c>
      <c r="B313" s="32">
        <v>45299</v>
      </c>
      <c r="C313" s="33">
        <f t="shared" si="116"/>
        <v>7284</v>
      </c>
      <c r="D313" s="34">
        <f>626*4+596+42.5</f>
        <v>3142.5</v>
      </c>
      <c r="E313" s="34"/>
      <c r="F313" s="34">
        <f t="shared" si="110"/>
        <v>3142.5</v>
      </c>
      <c r="G313" s="12"/>
      <c r="H313" s="12"/>
      <c r="I313" s="12"/>
      <c r="J313" s="12">
        <f t="shared" si="111"/>
        <v>3142.5</v>
      </c>
      <c r="L313" s="10">
        <v>17</v>
      </c>
      <c r="M313" s="32"/>
      <c r="N313" s="33"/>
      <c r="O313" s="37"/>
      <c r="P313" s="34"/>
      <c r="Q313" s="34">
        <f t="shared" si="112"/>
        <v>0</v>
      </c>
      <c r="R313" s="12"/>
      <c r="S313" s="12"/>
      <c r="T313" s="12"/>
      <c r="U313" s="12">
        <f t="shared" si="113"/>
        <v>0</v>
      </c>
      <c r="W313" s="10">
        <v>17</v>
      </c>
      <c r="X313" s="32"/>
      <c r="Z313" s="37"/>
      <c r="AA313" s="34"/>
      <c r="AB313" s="34">
        <f t="shared" si="120"/>
        <v>0</v>
      </c>
      <c r="AC313" s="12"/>
      <c r="AD313" s="12"/>
      <c r="AE313" s="12"/>
      <c r="AF313" s="12">
        <f t="shared" si="115"/>
        <v>0</v>
      </c>
    </row>
    <row r="314" spans="1:32" x14ac:dyDescent="0.25">
      <c r="A314" s="10">
        <v>18</v>
      </c>
      <c r="B314" s="32">
        <v>45299</v>
      </c>
      <c r="C314" s="33">
        <f t="shared" si="116"/>
        <v>7285</v>
      </c>
      <c r="D314" s="34">
        <f>626*170+596*30+205*8</f>
        <v>125940</v>
      </c>
      <c r="E314" s="34">
        <v>-1872</v>
      </c>
      <c r="F314" s="34">
        <f t="shared" si="110"/>
        <v>124068</v>
      </c>
      <c r="G314" s="12"/>
      <c r="H314" s="12"/>
      <c r="I314" s="12">
        <v>-35043</v>
      </c>
      <c r="J314" s="12">
        <f t="shared" si="111"/>
        <v>89025</v>
      </c>
      <c r="L314" s="10">
        <v>18</v>
      </c>
      <c r="M314" s="32"/>
      <c r="N314" s="33"/>
      <c r="O314" s="34"/>
      <c r="P314" s="34"/>
      <c r="Q314" s="34">
        <f t="shared" si="112"/>
        <v>0</v>
      </c>
      <c r="R314" s="12"/>
      <c r="S314" s="12"/>
      <c r="T314" s="12"/>
      <c r="U314" s="12">
        <f t="shared" si="113"/>
        <v>0</v>
      </c>
      <c r="W314" s="10">
        <v>18</v>
      </c>
      <c r="X314" s="32"/>
      <c r="Y314" s="33"/>
      <c r="Z314" s="34"/>
      <c r="AA314" s="34"/>
      <c r="AB314" s="34">
        <f t="shared" si="120"/>
        <v>0</v>
      </c>
      <c r="AC314" s="12"/>
      <c r="AD314" s="12"/>
      <c r="AE314" s="12"/>
      <c r="AF314" s="12">
        <f t="shared" si="115"/>
        <v>0</v>
      </c>
    </row>
    <row r="315" spans="1:32" x14ac:dyDescent="0.25">
      <c r="A315" s="10">
        <v>19</v>
      </c>
      <c r="B315" s="32"/>
      <c r="C315" s="11" t="s">
        <v>28</v>
      </c>
      <c r="D315" s="34"/>
      <c r="E315" s="34"/>
      <c r="F315" s="34">
        <f t="shared" si="110"/>
        <v>0</v>
      </c>
      <c r="G315" s="12"/>
      <c r="H315" s="12"/>
      <c r="I315" s="12"/>
      <c r="J315" s="12">
        <f t="shared" si="111"/>
        <v>0</v>
      </c>
      <c r="L315" s="10">
        <v>19</v>
      </c>
      <c r="M315" s="32"/>
      <c r="N315" s="33"/>
      <c r="O315" s="34"/>
      <c r="P315" s="34"/>
      <c r="Q315" s="34">
        <f t="shared" si="112"/>
        <v>0</v>
      </c>
      <c r="R315" s="12"/>
      <c r="S315" s="12"/>
      <c r="T315" s="12"/>
      <c r="U315" s="12">
        <f t="shared" si="113"/>
        <v>0</v>
      </c>
      <c r="W315" s="10">
        <v>19</v>
      </c>
      <c r="X315" s="32"/>
      <c r="Z315" s="34"/>
      <c r="AA315" s="34"/>
      <c r="AB315" s="34">
        <f t="shared" si="120"/>
        <v>0</v>
      </c>
      <c r="AC315" s="12"/>
      <c r="AD315" s="12"/>
      <c r="AE315" s="12"/>
      <c r="AF315" s="12">
        <f t="shared" si="115"/>
        <v>0</v>
      </c>
    </row>
    <row r="316" spans="1:32" x14ac:dyDescent="0.25">
      <c r="A316" s="10">
        <v>20</v>
      </c>
      <c r="B316" s="32"/>
      <c r="C316" s="33"/>
      <c r="D316" s="34"/>
      <c r="E316" s="34"/>
      <c r="F316" s="34">
        <f t="shared" si="110"/>
        <v>0</v>
      </c>
      <c r="G316" s="12"/>
      <c r="H316" s="12"/>
      <c r="I316" s="12"/>
      <c r="J316" s="12">
        <f t="shared" si="111"/>
        <v>0</v>
      </c>
      <c r="L316" s="10">
        <v>20</v>
      </c>
      <c r="M316" s="32"/>
      <c r="N316" s="33"/>
      <c r="O316" s="34"/>
      <c r="P316" s="34"/>
      <c r="Q316" s="34">
        <f t="shared" si="112"/>
        <v>0</v>
      </c>
      <c r="R316" s="12"/>
      <c r="S316" s="12"/>
      <c r="T316" s="12"/>
      <c r="U316" s="12">
        <f t="shared" si="113"/>
        <v>0</v>
      </c>
      <c r="W316" s="10">
        <v>20</v>
      </c>
      <c r="X316" s="32"/>
      <c r="Y316" s="33"/>
      <c r="Z316" s="34"/>
      <c r="AA316" s="34"/>
      <c r="AB316" s="34">
        <f t="shared" si="120"/>
        <v>0</v>
      </c>
      <c r="AC316" s="12"/>
      <c r="AD316" s="12"/>
      <c r="AE316" s="12"/>
      <c r="AF316" s="12">
        <f t="shared" si="115"/>
        <v>0</v>
      </c>
    </row>
    <row r="317" spans="1:32" x14ac:dyDescent="0.25">
      <c r="A317" s="10">
        <v>21</v>
      </c>
      <c r="B317" s="32"/>
      <c r="C317" s="33"/>
      <c r="D317" s="34"/>
      <c r="E317" s="34"/>
      <c r="F317" s="34">
        <f t="shared" si="110"/>
        <v>0</v>
      </c>
      <c r="G317" s="10"/>
      <c r="H317" s="10"/>
      <c r="I317" s="10"/>
      <c r="J317" s="12">
        <f t="shared" si="111"/>
        <v>0</v>
      </c>
      <c r="L317" s="10">
        <v>21</v>
      </c>
      <c r="M317" s="32"/>
      <c r="N317" s="33"/>
      <c r="O317" s="50"/>
      <c r="P317" s="33"/>
      <c r="Q317" s="34">
        <f t="shared" si="112"/>
        <v>0</v>
      </c>
      <c r="R317" s="10"/>
      <c r="S317" s="10"/>
      <c r="T317" s="10"/>
      <c r="U317" s="12">
        <f t="shared" si="113"/>
        <v>0</v>
      </c>
      <c r="W317" s="10">
        <v>21</v>
      </c>
      <c r="X317" s="32"/>
      <c r="Z317" s="50"/>
      <c r="AA317" s="33"/>
      <c r="AB317" s="34">
        <f t="shared" si="120"/>
        <v>0</v>
      </c>
      <c r="AC317" s="10"/>
      <c r="AD317" s="10"/>
      <c r="AE317" s="10"/>
      <c r="AF317" s="12">
        <f t="shared" si="115"/>
        <v>0</v>
      </c>
    </row>
    <row r="318" spans="1:32" x14ac:dyDescent="0.25">
      <c r="A318" s="10">
        <v>22</v>
      </c>
      <c r="B318" s="32"/>
      <c r="C318" s="33"/>
      <c r="D318" s="34"/>
      <c r="E318" s="34"/>
      <c r="F318" s="34">
        <f t="shared" si="110"/>
        <v>0</v>
      </c>
      <c r="G318" s="10"/>
      <c r="H318" s="10"/>
      <c r="I318" s="10"/>
      <c r="J318" s="12">
        <f t="shared" si="111"/>
        <v>0</v>
      </c>
      <c r="L318" s="10">
        <v>22</v>
      </c>
      <c r="M318" s="32"/>
      <c r="N318" s="33"/>
      <c r="O318" s="49"/>
      <c r="P318" s="33"/>
      <c r="Q318" s="34">
        <f t="shared" si="112"/>
        <v>0</v>
      </c>
      <c r="R318" s="10"/>
      <c r="S318" s="10"/>
      <c r="T318" s="10"/>
      <c r="U318" s="12">
        <f t="shared" si="113"/>
        <v>0</v>
      </c>
      <c r="W318" s="10">
        <v>22</v>
      </c>
      <c r="X318" s="32"/>
      <c r="Y318" s="33"/>
      <c r="Z318" s="49"/>
      <c r="AA318" s="33"/>
      <c r="AB318" s="34">
        <f t="shared" si="120"/>
        <v>0</v>
      </c>
      <c r="AC318" s="10"/>
      <c r="AD318" s="10"/>
      <c r="AE318" s="10"/>
      <c r="AF318" s="12">
        <f t="shared" si="115"/>
        <v>0</v>
      </c>
    </row>
    <row r="319" spans="1:32" x14ac:dyDescent="0.25">
      <c r="A319" s="10">
        <v>23</v>
      </c>
      <c r="B319" s="32"/>
      <c r="C319" s="33"/>
      <c r="D319" s="34"/>
      <c r="E319" s="34"/>
      <c r="F319" s="34">
        <f t="shared" si="110"/>
        <v>0</v>
      </c>
      <c r="G319" s="10"/>
      <c r="H319" s="10"/>
      <c r="I319" s="12"/>
      <c r="J319" s="12">
        <f t="shared" si="111"/>
        <v>0</v>
      </c>
      <c r="L319" s="10">
        <v>23</v>
      </c>
      <c r="M319" s="32"/>
      <c r="N319" s="33"/>
      <c r="O319" s="51"/>
      <c r="Q319" s="34">
        <f t="shared" si="112"/>
        <v>0</v>
      </c>
      <c r="R319" s="10"/>
      <c r="S319" s="10"/>
      <c r="T319" s="10"/>
      <c r="U319" s="12">
        <f t="shared" si="113"/>
        <v>0</v>
      </c>
      <c r="W319" s="10">
        <v>23</v>
      </c>
      <c r="X319" s="32"/>
      <c r="Z319" s="51"/>
      <c r="AB319" s="34">
        <f t="shared" si="120"/>
        <v>0</v>
      </c>
      <c r="AC319" s="10"/>
      <c r="AD319" s="10"/>
      <c r="AE319" s="10"/>
      <c r="AF319" s="12">
        <f t="shared" si="115"/>
        <v>0</v>
      </c>
    </row>
    <row r="320" spans="1:32" x14ac:dyDescent="0.25">
      <c r="A320" s="10">
        <v>24</v>
      </c>
      <c r="B320" s="32"/>
      <c r="C320" s="33"/>
      <c r="D320" s="34"/>
      <c r="E320" s="34"/>
      <c r="F320" s="34">
        <f t="shared" si="110"/>
        <v>0</v>
      </c>
      <c r="G320" s="10"/>
      <c r="H320" s="10"/>
      <c r="I320" s="10"/>
      <c r="J320" s="12">
        <f t="shared" si="111"/>
        <v>0</v>
      </c>
      <c r="L320" s="10">
        <v>24</v>
      </c>
      <c r="M320" s="32"/>
      <c r="N320" s="33"/>
      <c r="O320" s="51"/>
      <c r="P320" s="33"/>
      <c r="Q320" s="34">
        <f t="shared" si="112"/>
        <v>0</v>
      </c>
      <c r="R320" s="10"/>
      <c r="S320" s="10"/>
      <c r="T320" s="10"/>
      <c r="U320" s="12">
        <f t="shared" si="113"/>
        <v>0</v>
      </c>
      <c r="W320" s="10">
        <v>24</v>
      </c>
      <c r="X320" s="32"/>
      <c r="Y320" s="34"/>
      <c r="Z320" s="51"/>
      <c r="AA320" s="33"/>
      <c r="AB320" s="34">
        <f t="shared" si="120"/>
        <v>0</v>
      </c>
      <c r="AC320" s="10"/>
      <c r="AD320" s="10"/>
      <c r="AE320" s="10"/>
      <c r="AF320" s="12">
        <f t="shared" si="115"/>
        <v>0</v>
      </c>
    </row>
    <row r="321" spans="1:32" x14ac:dyDescent="0.25">
      <c r="A321" s="10">
        <v>25</v>
      </c>
      <c r="B321" s="32"/>
      <c r="C321" s="33"/>
      <c r="D321" s="34"/>
      <c r="E321" s="34"/>
      <c r="F321" s="34">
        <f t="shared" si="110"/>
        <v>0</v>
      </c>
      <c r="G321" s="10"/>
      <c r="H321" s="10"/>
      <c r="I321" s="10"/>
      <c r="J321" s="12">
        <f t="shared" si="111"/>
        <v>0</v>
      </c>
      <c r="L321" s="10">
        <v>25</v>
      </c>
      <c r="M321" s="32"/>
      <c r="N321" s="33"/>
      <c r="O321" s="51"/>
      <c r="P321" s="33"/>
      <c r="Q321" s="34">
        <f t="shared" si="112"/>
        <v>0</v>
      </c>
      <c r="R321" s="10"/>
      <c r="S321" s="10"/>
      <c r="T321" s="10"/>
      <c r="U321" s="12">
        <f t="shared" si="113"/>
        <v>0</v>
      </c>
      <c r="W321" s="10">
        <v>25</v>
      </c>
      <c r="X321" s="32"/>
      <c r="Y321" s="33"/>
      <c r="Z321" s="51"/>
      <c r="AA321" s="33"/>
      <c r="AB321" s="34">
        <f t="shared" si="120"/>
        <v>0</v>
      </c>
      <c r="AC321" s="10"/>
      <c r="AD321" s="10"/>
      <c r="AE321" s="10"/>
      <c r="AF321" s="12">
        <f t="shared" si="115"/>
        <v>0</v>
      </c>
    </row>
    <row r="322" spans="1:32" x14ac:dyDescent="0.25">
      <c r="A322" s="10">
        <v>26</v>
      </c>
      <c r="B322" s="32"/>
      <c r="C322" s="33"/>
      <c r="D322" s="34"/>
      <c r="E322" s="34"/>
      <c r="F322" s="34">
        <f t="shared" si="110"/>
        <v>0</v>
      </c>
      <c r="G322" s="10"/>
      <c r="H322" s="10"/>
      <c r="I322" s="10"/>
      <c r="J322" s="12">
        <f t="shared" si="111"/>
        <v>0</v>
      </c>
      <c r="L322" s="10">
        <v>26</v>
      </c>
      <c r="M322" s="32"/>
      <c r="N322" s="33"/>
      <c r="O322" s="51"/>
      <c r="P322" s="33"/>
      <c r="Q322" s="34">
        <f t="shared" si="112"/>
        <v>0</v>
      </c>
      <c r="R322" s="10"/>
      <c r="S322" s="10"/>
      <c r="T322" s="10"/>
      <c r="U322" s="12">
        <f t="shared" si="113"/>
        <v>0</v>
      </c>
      <c r="W322" s="10">
        <v>26</v>
      </c>
      <c r="X322" s="32"/>
      <c r="Z322" s="51"/>
      <c r="AA322" s="33"/>
      <c r="AB322" s="34">
        <f t="shared" si="120"/>
        <v>0</v>
      </c>
      <c r="AC322" s="10"/>
      <c r="AD322" s="10"/>
      <c r="AE322" s="10"/>
      <c r="AF322" s="12">
        <f t="shared" si="115"/>
        <v>0</v>
      </c>
    </row>
    <row r="323" spans="1:32" x14ac:dyDescent="0.25">
      <c r="A323" s="10">
        <v>27</v>
      </c>
      <c r="B323" s="32"/>
      <c r="C323" s="33"/>
      <c r="D323" s="34"/>
      <c r="E323" s="34"/>
      <c r="F323" s="34">
        <f t="shared" si="110"/>
        <v>0</v>
      </c>
      <c r="G323" s="10"/>
      <c r="H323" s="10"/>
      <c r="I323" s="10"/>
      <c r="J323" s="12">
        <f t="shared" si="111"/>
        <v>0</v>
      </c>
      <c r="L323" s="10">
        <v>27</v>
      </c>
      <c r="M323" s="32"/>
      <c r="N323" s="33"/>
      <c r="O323" s="51"/>
      <c r="P323" s="33"/>
      <c r="Q323" s="34">
        <f t="shared" si="112"/>
        <v>0</v>
      </c>
      <c r="R323" s="10"/>
      <c r="S323" s="10"/>
      <c r="T323" s="10"/>
      <c r="U323" s="12">
        <f t="shared" si="113"/>
        <v>0</v>
      </c>
      <c r="W323" s="10">
        <v>27</v>
      </c>
      <c r="X323" s="32"/>
      <c r="Y323" s="33"/>
      <c r="Z323" s="51"/>
      <c r="AA323" s="33"/>
      <c r="AB323" s="34">
        <f t="shared" si="120"/>
        <v>0</v>
      </c>
      <c r="AC323" s="10"/>
      <c r="AD323" s="10"/>
      <c r="AE323" s="10"/>
      <c r="AF323" s="12">
        <f t="shared" si="115"/>
        <v>0</v>
      </c>
    </row>
    <row r="324" spans="1:32" x14ac:dyDescent="0.25">
      <c r="A324" s="10">
        <v>28</v>
      </c>
      <c r="B324" s="32"/>
      <c r="C324" s="33"/>
      <c r="D324" s="34"/>
      <c r="E324" s="34"/>
      <c r="F324" s="34">
        <f t="shared" si="110"/>
        <v>0</v>
      </c>
      <c r="G324" s="10"/>
      <c r="H324" s="10"/>
      <c r="I324" s="10"/>
      <c r="J324" s="12">
        <f t="shared" si="111"/>
        <v>0</v>
      </c>
      <c r="L324" s="10">
        <v>28</v>
      </c>
      <c r="M324" s="32"/>
      <c r="N324" s="33"/>
      <c r="O324" s="51"/>
      <c r="P324" s="33"/>
      <c r="Q324" s="34">
        <f t="shared" si="112"/>
        <v>0</v>
      </c>
      <c r="R324" s="10"/>
      <c r="S324" s="10"/>
      <c r="T324" s="10"/>
      <c r="U324" s="12">
        <f t="shared" si="113"/>
        <v>0</v>
      </c>
      <c r="W324" s="10">
        <v>28</v>
      </c>
      <c r="X324" s="32"/>
      <c r="Y324" s="33"/>
      <c r="Z324" s="51"/>
      <c r="AA324" s="33"/>
      <c r="AB324" s="34">
        <f t="shared" si="120"/>
        <v>0</v>
      </c>
      <c r="AC324" s="10"/>
      <c r="AD324" s="10"/>
      <c r="AE324" s="10"/>
      <c r="AF324" s="12">
        <f t="shared" si="115"/>
        <v>0</v>
      </c>
    </row>
    <row r="325" spans="1:32" x14ac:dyDescent="0.25">
      <c r="A325" s="10">
        <v>29</v>
      </c>
      <c r="B325" s="32"/>
      <c r="C325" s="33"/>
      <c r="D325" s="34"/>
      <c r="E325" s="34"/>
      <c r="F325" s="34">
        <f t="shared" si="110"/>
        <v>0</v>
      </c>
      <c r="G325" s="10"/>
      <c r="H325" s="10"/>
      <c r="I325" s="10"/>
      <c r="J325" s="12">
        <f t="shared" si="111"/>
        <v>0</v>
      </c>
      <c r="L325" s="10">
        <v>29</v>
      </c>
      <c r="M325" s="32"/>
      <c r="O325" s="51"/>
      <c r="P325" s="33"/>
      <c r="Q325" s="34">
        <f t="shared" si="112"/>
        <v>0</v>
      </c>
      <c r="R325" s="10"/>
      <c r="S325" s="10"/>
      <c r="T325" s="10"/>
      <c r="U325" s="12">
        <f t="shared" si="113"/>
        <v>0</v>
      </c>
      <c r="W325" s="10">
        <v>29</v>
      </c>
      <c r="X325" s="32"/>
      <c r="Y325" s="33"/>
      <c r="Z325" s="51"/>
      <c r="AA325" s="33"/>
      <c r="AB325" s="34">
        <f t="shared" si="120"/>
        <v>0</v>
      </c>
      <c r="AC325" s="10"/>
      <c r="AD325" s="10"/>
      <c r="AE325" s="10"/>
      <c r="AF325" s="12">
        <f t="shared" si="115"/>
        <v>0</v>
      </c>
    </row>
    <row r="326" spans="1:32" x14ac:dyDescent="0.25">
      <c r="A326" s="10">
        <v>30</v>
      </c>
      <c r="B326" s="32"/>
      <c r="D326" s="34"/>
      <c r="E326" s="34"/>
      <c r="F326" s="34">
        <f t="shared" si="110"/>
        <v>0</v>
      </c>
      <c r="G326" s="10"/>
      <c r="H326" s="10"/>
      <c r="I326" s="10"/>
      <c r="J326" s="12">
        <f t="shared" si="111"/>
        <v>0</v>
      </c>
      <c r="L326" s="10">
        <v>30</v>
      </c>
      <c r="M326" s="32"/>
      <c r="N326" s="33"/>
      <c r="O326" s="51"/>
      <c r="P326" s="33"/>
      <c r="Q326" s="34">
        <f t="shared" si="112"/>
        <v>0</v>
      </c>
      <c r="R326" s="10"/>
      <c r="S326" s="10"/>
      <c r="T326" s="10"/>
      <c r="U326" s="12">
        <f t="shared" si="113"/>
        <v>0</v>
      </c>
      <c r="W326" s="10">
        <v>30</v>
      </c>
      <c r="X326" s="32"/>
      <c r="Y326" s="33"/>
      <c r="Z326" s="51"/>
      <c r="AA326" s="33"/>
      <c r="AB326" s="34">
        <f t="shared" si="120"/>
        <v>0</v>
      </c>
      <c r="AC326" s="10"/>
      <c r="AD326" s="10"/>
      <c r="AE326" s="10"/>
      <c r="AF326" s="12">
        <f t="shared" si="115"/>
        <v>0</v>
      </c>
    </row>
    <row r="327" spans="1:32" x14ac:dyDescent="0.25">
      <c r="A327" s="10">
        <v>31</v>
      </c>
      <c r="B327" s="32"/>
      <c r="C327" s="33"/>
      <c r="D327" s="34"/>
      <c r="E327" s="34"/>
      <c r="F327" s="34">
        <f t="shared" si="110"/>
        <v>0</v>
      </c>
      <c r="G327" s="10"/>
      <c r="H327" s="10"/>
      <c r="I327" s="10"/>
      <c r="J327" s="12">
        <f t="shared" si="111"/>
        <v>0</v>
      </c>
      <c r="L327" s="10">
        <v>31</v>
      </c>
      <c r="M327" s="32"/>
      <c r="N327" s="33"/>
      <c r="O327" s="51"/>
      <c r="P327" s="33"/>
      <c r="Q327" s="34">
        <f t="shared" si="112"/>
        <v>0</v>
      </c>
      <c r="R327" s="10"/>
      <c r="S327" s="10"/>
      <c r="T327" s="10"/>
      <c r="U327" s="12">
        <f t="shared" si="113"/>
        <v>0</v>
      </c>
      <c r="W327" s="10">
        <v>31</v>
      </c>
      <c r="X327" s="32"/>
      <c r="Y327" s="33"/>
      <c r="Z327" s="51"/>
      <c r="AA327" s="33"/>
      <c r="AB327" s="34">
        <f t="shared" si="120"/>
        <v>0</v>
      </c>
      <c r="AC327" s="10"/>
      <c r="AD327" s="10"/>
      <c r="AE327" s="10"/>
      <c r="AF327" s="12">
        <f t="shared" si="115"/>
        <v>0</v>
      </c>
    </row>
    <row r="328" spans="1:32" x14ac:dyDescent="0.25">
      <c r="A328" s="10">
        <v>32</v>
      </c>
      <c r="B328" s="32"/>
      <c r="C328" s="33"/>
      <c r="D328" s="34"/>
      <c r="E328" s="34"/>
      <c r="F328" s="34">
        <f t="shared" si="110"/>
        <v>0</v>
      </c>
      <c r="G328" s="10"/>
      <c r="H328" s="10"/>
      <c r="I328" s="10"/>
      <c r="J328" s="12">
        <f t="shared" si="111"/>
        <v>0</v>
      </c>
      <c r="L328" s="10">
        <v>32</v>
      </c>
      <c r="M328" s="32"/>
      <c r="N328" s="33"/>
      <c r="O328" s="51"/>
      <c r="P328" s="33"/>
      <c r="Q328" s="34">
        <f t="shared" si="112"/>
        <v>0</v>
      </c>
      <c r="R328" s="10"/>
      <c r="S328" s="10"/>
      <c r="T328" s="10"/>
      <c r="U328" s="12">
        <f t="shared" si="113"/>
        <v>0</v>
      </c>
      <c r="W328" s="10">
        <v>32</v>
      </c>
      <c r="X328" s="32"/>
      <c r="Y328" s="33"/>
      <c r="Z328" s="51"/>
      <c r="AA328" s="33"/>
      <c r="AB328" s="34">
        <f t="shared" si="120"/>
        <v>0</v>
      </c>
      <c r="AC328" s="10"/>
      <c r="AD328" s="10"/>
      <c r="AE328" s="10"/>
      <c r="AF328" s="12">
        <f t="shared" si="115"/>
        <v>0</v>
      </c>
    </row>
    <row r="329" spans="1:32" x14ac:dyDescent="0.25">
      <c r="A329" s="10">
        <v>33</v>
      </c>
      <c r="B329" s="32"/>
      <c r="C329" s="33"/>
      <c r="D329" s="34"/>
      <c r="E329" s="34"/>
      <c r="F329" s="34">
        <f t="shared" si="110"/>
        <v>0</v>
      </c>
      <c r="G329" s="10"/>
      <c r="H329" s="10"/>
      <c r="I329" s="10"/>
      <c r="J329" s="12">
        <f t="shared" si="111"/>
        <v>0</v>
      </c>
      <c r="L329" s="10">
        <v>33</v>
      </c>
      <c r="M329" s="32"/>
      <c r="N329" s="33"/>
      <c r="O329" s="51"/>
      <c r="P329" s="33"/>
      <c r="Q329" s="34">
        <f t="shared" si="112"/>
        <v>0</v>
      </c>
      <c r="R329" s="10"/>
      <c r="S329" s="10"/>
      <c r="T329" s="10"/>
      <c r="U329" s="12">
        <f t="shared" si="113"/>
        <v>0</v>
      </c>
      <c r="W329" s="10">
        <v>33</v>
      </c>
      <c r="X329" s="32"/>
      <c r="Y329" s="33"/>
      <c r="Z329" s="51"/>
      <c r="AA329" s="33"/>
      <c r="AB329" s="34">
        <f t="shared" si="120"/>
        <v>0</v>
      </c>
      <c r="AC329" s="10"/>
      <c r="AD329" s="10"/>
      <c r="AE329" s="10"/>
      <c r="AF329" s="12">
        <f t="shared" si="115"/>
        <v>0</v>
      </c>
    </row>
    <row r="330" spans="1:32" x14ac:dyDescent="0.25">
      <c r="A330" s="10"/>
      <c r="B330" s="32"/>
      <c r="C330" s="33"/>
      <c r="D330" s="34"/>
      <c r="E330" s="34"/>
      <c r="F330" s="34">
        <f t="shared" si="110"/>
        <v>0</v>
      </c>
      <c r="G330" s="10"/>
      <c r="H330" s="10"/>
      <c r="I330" s="10"/>
      <c r="J330" s="12">
        <f t="shared" si="111"/>
        <v>0</v>
      </c>
      <c r="L330" s="10">
        <v>34</v>
      </c>
      <c r="M330" s="32"/>
      <c r="N330" s="33"/>
      <c r="O330" s="51"/>
      <c r="P330" s="33"/>
      <c r="Q330" s="34">
        <f t="shared" ref="Q330:Q335" si="121">SUM(O330:P330)</f>
        <v>0</v>
      </c>
      <c r="R330" s="10"/>
      <c r="S330" s="10"/>
      <c r="T330" s="10"/>
      <c r="U330" s="12">
        <f t="shared" si="113"/>
        <v>0</v>
      </c>
      <c r="W330" s="10">
        <v>34</v>
      </c>
      <c r="X330" s="32"/>
      <c r="Y330" s="33"/>
      <c r="Z330" s="51"/>
      <c r="AA330" s="33"/>
      <c r="AB330" s="34">
        <f t="shared" ref="AB330:AB335" si="122">SUM(Z330:AA330)</f>
        <v>0</v>
      </c>
      <c r="AC330" s="10"/>
      <c r="AD330" s="10"/>
      <c r="AE330" s="10"/>
      <c r="AF330" s="12">
        <f t="shared" si="115"/>
        <v>0</v>
      </c>
    </row>
    <row r="331" spans="1:32" x14ac:dyDescent="0.25">
      <c r="A331" s="10"/>
      <c r="B331" s="32"/>
      <c r="C331" s="33"/>
      <c r="D331" s="34"/>
      <c r="E331" s="34"/>
      <c r="F331" s="34"/>
      <c r="G331" s="10"/>
      <c r="H331" s="10"/>
      <c r="I331" s="10"/>
      <c r="J331" s="12"/>
      <c r="L331" s="10">
        <v>35</v>
      </c>
      <c r="M331" s="32"/>
      <c r="O331" s="51"/>
      <c r="P331" s="33"/>
      <c r="Q331" s="34">
        <f t="shared" si="121"/>
        <v>0</v>
      </c>
      <c r="R331" s="10"/>
      <c r="S331" s="10"/>
      <c r="T331" s="10"/>
      <c r="U331" s="12">
        <f t="shared" si="113"/>
        <v>0</v>
      </c>
      <c r="W331" s="10">
        <v>35</v>
      </c>
      <c r="X331" s="32"/>
      <c r="Y331" s="33"/>
      <c r="Z331" s="51"/>
      <c r="AA331" s="33"/>
      <c r="AB331" s="34">
        <f t="shared" si="122"/>
        <v>0</v>
      </c>
      <c r="AC331" s="10"/>
      <c r="AD331" s="10"/>
      <c r="AE331" s="10"/>
      <c r="AF331" s="12">
        <f t="shared" si="115"/>
        <v>0</v>
      </c>
    </row>
    <row r="332" spans="1:32" x14ac:dyDescent="0.25">
      <c r="A332" s="10"/>
      <c r="B332" s="32"/>
      <c r="C332" s="70"/>
      <c r="D332" s="34"/>
      <c r="E332" s="34"/>
      <c r="F332" s="34"/>
      <c r="G332" s="10"/>
      <c r="H332" s="10"/>
      <c r="I332" s="10"/>
      <c r="J332" s="12"/>
      <c r="L332" s="10">
        <v>36</v>
      </c>
      <c r="M332" s="32"/>
      <c r="N332" s="33"/>
      <c r="O332" s="51"/>
      <c r="P332" s="33"/>
      <c r="Q332" s="34">
        <f t="shared" si="121"/>
        <v>0</v>
      </c>
      <c r="R332" s="10"/>
      <c r="S332" s="10"/>
      <c r="T332" s="10"/>
      <c r="U332" s="12">
        <f t="shared" si="113"/>
        <v>0</v>
      </c>
      <c r="W332" s="10">
        <v>36</v>
      </c>
      <c r="X332" s="32"/>
      <c r="Y332" s="33"/>
      <c r="Z332" s="51"/>
      <c r="AA332" s="33"/>
      <c r="AB332" s="34">
        <f t="shared" si="122"/>
        <v>0</v>
      </c>
      <c r="AC332" s="10"/>
      <c r="AD332" s="10"/>
      <c r="AE332" s="10"/>
      <c r="AF332" s="12">
        <f t="shared" si="115"/>
        <v>0</v>
      </c>
    </row>
    <row r="333" spans="1:32" x14ac:dyDescent="0.25">
      <c r="A333" s="10"/>
      <c r="B333" s="32"/>
      <c r="C333" s="33"/>
      <c r="D333" s="34"/>
      <c r="E333" s="34"/>
      <c r="F333" s="34"/>
      <c r="G333" s="10"/>
      <c r="H333" s="10"/>
      <c r="I333" s="10"/>
      <c r="J333" s="12"/>
      <c r="L333" s="10">
        <v>37</v>
      </c>
      <c r="M333" s="32"/>
      <c r="N333" s="33"/>
      <c r="O333" s="51"/>
      <c r="P333" s="33"/>
      <c r="Q333" s="34">
        <f t="shared" si="121"/>
        <v>0</v>
      </c>
      <c r="R333" s="10"/>
      <c r="S333" s="10"/>
      <c r="T333" s="10"/>
      <c r="U333" s="12">
        <f t="shared" si="113"/>
        <v>0</v>
      </c>
      <c r="W333" s="10">
        <v>37</v>
      </c>
      <c r="X333" s="32"/>
      <c r="Y333" s="33"/>
      <c r="Z333" s="51"/>
      <c r="AA333" s="33"/>
      <c r="AB333" s="34">
        <f t="shared" si="122"/>
        <v>0</v>
      </c>
      <c r="AC333" s="10"/>
      <c r="AD333" s="10"/>
      <c r="AE333" s="10"/>
      <c r="AF333" s="12">
        <f t="shared" si="115"/>
        <v>0</v>
      </c>
    </row>
    <row r="334" spans="1:32" x14ac:dyDescent="0.25">
      <c r="A334" s="10"/>
      <c r="B334" s="32"/>
      <c r="C334" s="33"/>
      <c r="D334" s="34"/>
      <c r="E334" s="34"/>
      <c r="F334" s="34"/>
      <c r="G334" s="10"/>
      <c r="H334" s="10"/>
      <c r="I334" s="10"/>
      <c r="J334" s="12"/>
      <c r="L334" s="10">
        <v>38</v>
      </c>
      <c r="M334" s="32"/>
      <c r="N334" s="33"/>
      <c r="O334" s="51"/>
      <c r="P334" s="33"/>
      <c r="Q334" s="34">
        <f t="shared" si="121"/>
        <v>0</v>
      </c>
      <c r="R334" s="10"/>
      <c r="S334" s="10"/>
      <c r="T334" s="10"/>
      <c r="U334" s="12">
        <f t="shared" si="113"/>
        <v>0</v>
      </c>
      <c r="W334" s="10">
        <v>38</v>
      </c>
      <c r="X334" s="32"/>
      <c r="Y334" s="33"/>
      <c r="Z334" s="51"/>
      <c r="AA334" s="33"/>
      <c r="AB334" s="34">
        <f t="shared" si="122"/>
        <v>0</v>
      </c>
      <c r="AC334" s="10"/>
      <c r="AD334" s="10"/>
      <c r="AE334" s="10"/>
      <c r="AF334" s="12">
        <f t="shared" si="115"/>
        <v>0</v>
      </c>
    </row>
    <row r="335" spans="1:32" x14ac:dyDescent="0.25">
      <c r="A335" s="10"/>
      <c r="B335" s="32"/>
      <c r="C335" s="33"/>
      <c r="D335" s="34"/>
      <c r="E335" s="34"/>
      <c r="F335" s="34"/>
      <c r="G335" s="10"/>
      <c r="H335" s="10"/>
      <c r="I335" s="10"/>
      <c r="J335" s="12"/>
      <c r="L335" s="10">
        <v>39</v>
      </c>
      <c r="M335" s="32"/>
      <c r="N335" s="33"/>
      <c r="O335" s="51"/>
      <c r="P335" s="33"/>
      <c r="Q335" s="34">
        <f t="shared" si="121"/>
        <v>0</v>
      </c>
      <c r="R335" s="10"/>
      <c r="S335" s="10"/>
      <c r="T335" s="10"/>
      <c r="U335" s="12">
        <f t="shared" si="113"/>
        <v>0</v>
      </c>
      <c r="W335" s="10">
        <v>39</v>
      </c>
      <c r="X335" s="32"/>
      <c r="Y335" s="33"/>
      <c r="Z335" s="51"/>
      <c r="AA335" s="33"/>
      <c r="AB335" s="34">
        <f t="shared" si="122"/>
        <v>0</v>
      </c>
      <c r="AC335" s="10"/>
      <c r="AD335" s="10"/>
      <c r="AE335" s="10"/>
      <c r="AF335" s="12">
        <f t="shared" si="115"/>
        <v>0</v>
      </c>
    </row>
    <row r="336" spans="1:32" x14ac:dyDescent="0.25">
      <c r="A336" s="10"/>
      <c r="B336" s="32"/>
      <c r="C336" s="70"/>
      <c r="D336" s="34"/>
      <c r="E336" s="34"/>
      <c r="F336" s="34"/>
      <c r="G336" s="10"/>
      <c r="H336" s="10"/>
      <c r="I336" s="10"/>
      <c r="J336" s="12"/>
      <c r="L336" s="10"/>
      <c r="M336" s="32"/>
      <c r="O336" s="51"/>
      <c r="P336" s="33"/>
      <c r="Q336" s="34"/>
      <c r="R336" s="10"/>
      <c r="S336" s="10"/>
      <c r="T336" s="10"/>
      <c r="U336" s="12">
        <f t="shared" si="113"/>
        <v>0</v>
      </c>
      <c r="W336" s="10"/>
      <c r="X336" s="32"/>
      <c r="Z336" s="51"/>
      <c r="AA336" s="33"/>
      <c r="AB336" s="34"/>
      <c r="AC336" s="10"/>
      <c r="AD336" s="10"/>
      <c r="AE336" s="10"/>
      <c r="AF336" s="12">
        <f t="shared" si="115"/>
        <v>0</v>
      </c>
    </row>
    <row r="337" spans="1:32" x14ac:dyDescent="0.25">
      <c r="A337" s="10"/>
      <c r="B337" s="32"/>
      <c r="C337" s="33"/>
      <c r="D337" s="34"/>
      <c r="E337" s="34"/>
      <c r="F337" s="34">
        <f t="shared" ref="F337" si="123">SUM(D337:E337)</f>
        <v>0</v>
      </c>
      <c r="G337" s="10"/>
      <c r="H337" s="10"/>
      <c r="I337" s="10"/>
      <c r="J337" s="12">
        <f t="shared" ref="J337" si="124">SUM(F337:I337)</f>
        <v>0</v>
      </c>
      <c r="L337" s="10"/>
      <c r="M337" s="32"/>
      <c r="N337" s="33"/>
      <c r="O337" s="51"/>
      <c r="P337" s="33"/>
      <c r="Q337" s="34">
        <f t="shared" ref="Q337" si="125">SUM(O337:P337)</f>
        <v>0</v>
      </c>
      <c r="R337" s="10"/>
      <c r="S337" s="10"/>
      <c r="T337" s="10"/>
      <c r="U337" s="12">
        <f t="shared" si="113"/>
        <v>0</v>
      </c>
      <c r="W337" s="10"/>
      <c r="X337" s="32"/>
      <c r="Y337" s="33"/>
      <c r="Z337" s="51"/>
      <c r="AA337" s="33"/>
      <c r="AB337" s="34">
        <f t="shared" ref="AB337" si="126">SUM(Z337:AA337)</f>
        <v>0</v>
      </c>
      <c r="AC337" s="10"/>
      <c r="AD337" s="10"/>
      <c r="AE337" s="10"/>
      <c r="AF337" s="12">
        <f t="shared" si="115"/>
        <v>0</v>
      </c>
    </row>
    <row r="338" spans="1:32" x14ac:dyDescent="0.25">
      <c r="A338" s="10"/>
      <c r="B338" s="32"/>
      <c r="C338" s="32"/>
      <c r="D338" s="34"/>
      <c r="E338" s="34"/>
      <c r="F338" s="34"/>
      <c r="G338" s="10"/>
      <c r="H338" s="10"/>
      <c r="I338" s="10"/>
      <c r="J338" s="12"/>
      <c r="L338" s="10"/>
      <c r="M338" s="33"/>
      <c r="N338" s="33"/>
      <c r="O338" s="33"/>
      <c r="P338" s="33"/>
      <c r="Q338" s="33"/>
      <c r="R338" s="10"/>
      <c r="S338" s="10"/>
      <c r="T338" s="10"/>
      <c r="U338" s="12">
        <f t="shared" si="113"/>
        <v>0</v>
      </c>
      <c r="W338" s="10"/>
      <c r="X338" s="33"/>
      <c r="Y338" s="33"/>
      <c r="Z338" s="33"/>
      <c r="AA338" s="33"/>
      <c r="AB338" s="33"/>
      <c r="AC338" s="10"/>
      <c r="AD338" s="10"/>
      <c r="AE338" s="10"/>
      <c r="AF338" s="12">
        <f t="shared" si="115"/>
        <v>0</v>
      </c>
    </row>
    <row r="339" spans="1:32" x14ac:dyDescent="0.25">
      <c r="B339" s="70"/>
      <c r="C339" s="70"/>
      <c r="D339" s="38"/>
      <c r="E339" s="38"/>
      <c r="F339" s="38"/>
      <c r="G339" s="39"/>
      <c r="H339" s="39"/>
      <c r="I339" s="39"/>
      <c r="J339" s="39"/>
      <c r="M339" s="70"/>
      <c r="N339" s="70"/>
      <c r="O339" s="38"/>
      <c r="P339" s="38"/>
      <c r="Q339" s="38"/>
      <c r="R339" s="39"/>
      <c r="S339" s="39"/>
      <c r="T339" s="39"/>
      <c r="U339" s="39"/>
      <c r="X339" s="70"/>
      <c r="Y339" s="70"/>
      <c r="Z339" s="38"/>
      <c r="AA339" s="38"/>
      <c r="AB339" s="38"/>
      <c r="AC339" s="39"/>
      <c r="AD339" s="39"/>
      <c r="AE339" s="39"/>
      <c r="AF339" s="39"/>
    </row>
    <row r="340" spans="1:32" x14ac:dyDescent="0.25">
      <c r="B340" s="70"/>
      <c r="C340" s="70"/>
      <c r="D340" s="40">
        <f>SUM(D297:D339)</f>
        <v>241584.5</v>
      </c>
      <c r="E340" s="40">
        <f t="shared" ref="E340" si="127">SUM(E297:E337)</f>
        <v>-1872</v>
      </c>
      <c r="F340" s="40">
        <f>SUM(F297:F339)</f>
        <v>239712.5</v>
      </c>
      <c r="G340" s="4"/>
      <c r="H340" s="41">
        <f>SUM(H297:H339)</f>
        <v>356</v>
      </c>
      <c r="I340" s="41">
        <f>SUM(I297:I339)</f>
        <v>-35046</v>
      </c>
      <c r="J340" s="42">
        <f>SUM(J297:J339)</f>
        <v>205022.5</v>
      </c>
      <c r="M340" s="70"/>
      <c r="N340" s="70"/>
      <c r="O340" s="40">
        <f>SUM(O297:O339)</f>
        <v>227836</v>
      </c>
      <c r="P340" s="40">
        <f>SUM(P297:P321)</f>
        <v>-3177</v>
      </c>
      <c r="Q340" s="40">
        <f>SUM(Q297:Q339)</f>
        <v>224659</v>
      </c>
      <c r="R340" s="4"/>
      <c r="S340" s="43">
        <f>SUM(S297:S339)</f>
        <v>2.25</v>
      </c>
      <c r="T340" s="43">
        <f>SUM(T297:T321)</f>
        <v>-6300</v>
      </c>
      <c r="U340" s="44">
        <f>SUM(U297:U339)</f>
        <v>218361.25</v>
      </c>
      <c r="X340" s="70"/>
      <c r="Y340" s="70"/>
      <c r="Z340" s="40">
        <f>SUM(Z297:Z339)</f>
        <v>232566.5</v>
      </c>
      <c r="AA340" s="40">
        <f>SUM(AA297:AA321)</f>
        <v>-2205</v>
      </c>
      <c r="AB340" s="40">
        <f>SUM(AB297:AB339)</f>
        <v>230361.5</v>
      </c>
      <c r="AC340" s="4"/>
      <c r="AD340" s="43">
        <f>SUM(AD297:AD339)</f>
        <v>0</v>
      </c>
      <c r="AE340" s="43">
        <f>SUM(AE297:AE321)</f>
        <v>0</v>
      </c>
      <c r="AF340" s="44">
        <f>SUM(AF297:AF339)</f>
        <v>230361.5</v>
      </c>
    </row>
    <row r="341" spans="1:32" x14ac:dyDescent="0.25">
      <c r="B341" s="70"/>
      <c r="C341" s="70"/>
      <c r="D341" s="70"/>
      <c r="E341" s="70"/>
      <c r="F341" s="70"/>
      <c r="M341" s="70"/>
      <c r="N341" s="70"/>
      <c r="O341" s="45"/>
      <c r="P341" s="70"/>
      <c r="Q341" s="70"/>
      <c r="X341" s="70"/>
      <c r="Y341" s="70"/>
      <c r="Z341" s="45"/>
      <c r="AA341" s="70"/>
      <c r="AB341" s="70"/>
    </row>
    <row r="342" spans="1:32" x14ac:dyDescent="0.25">
      <c r="B342" s="70"/>
      <c r="C342" s="70"/>
      <c r="D342" s="70"/>
      <c r="E342" s="70"/>
      <c r="F342" s="70"/>
      <c r="M342" s="70"/>
      <c r="N342" s="70"/>
      <c r="O342" s="70"/>
      <c r="P342" s="70"/>
      <c r="Q342" s="70"/>
      <c r="X342" s="70"/>
      <c r="Y342" s="70"/>
      <c r="Z342" s="70"/>
      <c r="AA342" s="70"/>
      <c r="AB342" s="70"/>
    </row>
    <row r="343" spans="1:32" x14ac:dyDescent="0.2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</row>
    <row r="344" spans="1:32" x14ac:dyDescent="0.25">
      <c r="A344" t="s">
        <v>0</v>
      </c>
      <c r="B344" s="70"/>
      <c r="C344" s="70"/>
      <c r="D344" s="70"/>
      <c r="E344" s="70"/>
      <c r="F344" s="70"/>
      <c r="L344" t="s">
        <v>0</v>
      </c>
      <c r="M344" s="70"/>
      <c r="N344" s="70"/>
      <c r="O344" s="70"/>
      <c r="P344" s="70"/>
      <c r="Q344" s="70"/>
      <c r="W344" t="s">
        <v>0</v>
      </c>
      <c r="X344" s="70"/>
      <c r="Y344" s="70"/>
      <c r="Z344" s="70"/>
      <c r="AA344" s="70"/>
      <c r="AB344" s="70"/>
    </row>
    <row r="345" spans="1:32" x14ac:dyDescent="0.25">
      <c r="A345" t="s">
        <v>30</v>
      </c>
      <c r="B345" s="70"/>
      <c r="C345" s="70"/>
      <c r="D345" s="70"/>
      <c r="E345" s="70"/>
      <c r="F345" s="70"/>
      <c r="L345" t="s">
        <v>30</v>
      </c>
      <c r="M345" s="70"/>
      <c r="N345" s="70"/>
      <c r="O345" s="70"/>
      <c r="P345" s="70"/>
      <c r="Q345" s="70"/>
      <c r="W345" t="s">
        <v>30</v>
      </c>
      <c r="X345" s="70"/>
      <c r="Y345" s="70"/>
      <c r="Z345" s="70"/>
      <c r="AA345" s="70"/>
      <c r="AB345" s="70"/>
    </row>
    <row r="346" spans="1:32" x14ac:dyDescent="0.25">
      <c r="B346" s="70"/>
      <c r="C346" s="70"/>
      <c r="D346" s="70"/>
      <c r="E346" s="70"/>
      <c r="F346" s="70"/>
      <c r="M346" s="70"/>
      <c r="N346" s="70"/>
      <c r="O346" s="70"/>
      <c r="P346" s="70"/>
      <c r="Q346" s="70"/>
      <c r="X346" s="70"/>
      <c r="Y346" s="70"/>
      <c r="Z346" s="70"/>
      <c r="AA346" s="70"/>
      <c r="AB346" s="70"/>
    </row>
    <row r="347" spans="1:32" x14ac:dyDescent="0.25">
      <c r="A347" s="4" t="s">
        <v>15</v>
      </c>
      <c r="B347" s="70"/>
      <c r="C347" s="70"/>
      <c r="D347" s="70"/>
      <c r="E347" s="70"/>
      <c r="F347" s="70"/>
      <c r="L347" s="4" t="s">
        <v>15</v>
      </c>
      <c r="M347" s="70"/>
      <c r="N347" s="70"/>
      <c r="O347" s="70"/>
      <c r="P347" s="70"/>
      <c r="Q347" s="70"/>
      <c r="W347" s="4" t="s">
        <v>15</v>
      </c>
      <c r="X347" s="70"/>
      <c r="Y347" s="70"/>
      <c r="Z347" s="70"/>
      <c r="AA347" s="70"/>
      <c r="AB347" s="70"/>
    </row>
    <row r="348" spans="1:32" x14ac:dyDescent="0.25">
      <c r="B348" s="70"/>
      <c r="C348" s="70"/>
      <c r="D348" s="70"/>
      <c r="E348" s="70"/>
      <c r="F348" s="70"/>
      <c r="M348" s="70"/>
      <c r="N348" s="70"/>
      <c r="O348" s="70"/>
      <c r="P348" s="70"/>
      <c r="Q348" s="70"/>
      <c r="X348" s="70"/>
      <c r="Y348" s="70"/>
      <c r="Z348" s="70"/>
      <c r="AA348" s="70"/>
      <c r="AB348" s="70"/>
    </row>
    <row r="349" spans="1:32" ht="15.75" x14ac:dyDescent="0.25">
      <c r="A349" t="s">
        <v>37</v>
      </c>
      <c r="B349" s="70"/>
      <c r="C349" s="70"/>
      <c r="D349" s="70"/>
      <c r="E349" s="70"/>
      <c r="F349" s="70"/>
      <c r="H349" s="70" t="s">
        <v>16</v>
      </c>
      <c r="I349" s="19">
        <v>1</v>
      </c>
      <c r="L349" t="s">
        <v>37</v>
      </c>
      <c r="M349" s="70"/>
      <c r="N349" s="70"/>
      <c r="O349" s="70"/>
      <c r="P349" s="70"/>
      <c r="Q349" s="70"/>
      <c r="S349" s="70" t="s">
        <v>16</v>
      </c>
      <c r="T349" s="19">
        <v>2</v>
      </c>
      <c r="W349" t="s">
        <v>37</v>
      </c>
      <c r="X349" s="70"/>
      <c r="Y349" s="70"/>
      <c r="Z349" s="70"/>
      <c r="AA349" s="70"/>
      <c r="AB349" s="70"/>
      <c r="AD349" s="70" t="s">
        <v>16</v>
      </c>
      <c r="AE349" s="20">
        <v>3</v>
      </c>
    </row>
    <row r="350" spans="1:32" x14ac:dyDescent="0.25">
      <c r="A350" s="21" t="s">
        <v>59</v>
      </c>
      <c r="B350" s="20"/>
      <c r="C350" s="70"/>
      <c r="D350" s="70"/>
      <c r="E350" s="70"/>
      <c r="F350" s="70"/>
      <c r="H350" s="22" t="s">
        <v>17</v>
      </c>
      <c r="I350" s="23" t="s">
        <v>46</v>
      </c>
      <c r="J350" s="24"/>
      <c r="L350" s="21" t="s">
        <v>59</v>
      </c>
      <c r="M350" s="20"/>
      <c r="N350" s="70"/>
      <c r="O350" s="70"/>
      <c r="P350" s="70"/>
      <c r="Q350" s="70"/>
      <c r="S350" s="22" t="s">
        <v>17</v>
      </c>
      <c r="T350" s="23" t="s">
        <v>34</v>
      </c>
      <c r="U350" s="24"/>
      <c r="W350" s="21" t="s">
        <v>59</v>
      </c>
      <c r="X350" s="20"/>
      <c r="Y350" s="70"/>
      <c r="Z350" s="70"/>
      <c r="AA350" s="70"/>
      <c r="AB350" s="70"/>
      <c r="AD350" s="22" t="s">
        <v>17</v>
      </c>
      <c r="AE350" s="23" t="s">
        <v>47</v>
      </c>
      <c r="AF350" s="24"/>
    </row>
    <row r="351" spans="1:32" x14ac:dyDescent="0.25">
      <c r="B351" s="70"/>
      <c r="C351" s="70"/>
      <c r="D351" s="70"/>
      <c r="E351" s="70"/>
      <c r="F351" s="70"/>
      <c r="M351" s="70"/>
      <c r="N351" s="70"/>
      <c r="O351" s="70"/>
      <c r="P351" s="70"/>
      <c r="Q351" s="70"/>
      <c r="X351" s="70"/>
      <c r="Y351" s="70"/>
      <c r="Z351" s="70"/>
      <c r="AA351" s="70"/>
      <c r="AB351" s="70"/>
    </row>
    <row r="352" spans="1:32" x14ac:dyDescent="0.25">
      <c r="B352" s="25"/>
      <c r="C352" s="26"/>
      <c r="D352" s="79" t="s">
        <v>18</v>
      </c>
      <c r="E352" s="79"/>
      <c r="F352" s="27"/>
      <c r="H352" s="77" t="s">
        <v>19</v>
      </c>
      <c r="I352" s="78"/>
      <c r="J352" s="75" t="s">
        <v>20</v>
      </c>
      <c r="M352" s="25"/>
      <c r="N352" s="26"/>
      <c r="O352" s="79" t="s">
        <v>18</v>
      </c>
      <c r="P352" s="79"/>
      <c r="Q352" s="27"/>
      <c r="S352" s="77" t="s">
        <v>19</v>
      </c>
      <c r="T352" s="78"/>
      <c r="U352" s="75" t="s">
        <v>20</v>
      </c>
      <c r="X352" s="25"/>
      <c r="Y352" s="26"/>
      <c r="Z352" s="79" t="s">
        <v>18</v>
      </c>
      <c r="AA352" s="79"/>
      <c r="AB352" s="27"/>
      <c r="AD352" s="77" t="s">
        <v>19</v>
      </c>
      <c r="AE352" s="78"/>
      <c r="AF352" s="75" t="s">
        <v>20</v>
      </c>
    </row>
    <row r="353" spans="1:32" ht="30" x14ac:dyDescent="0.25">
      <c r="B353" s="28" t="s">
        <v>21</v>
      </c>
      <c r="C353" s="28" t="s">
        <v>22</v>
      </c>
      <c r="D353" s="29" t="s">
        <v>23</v>
      </c>
      <c r="E353" s="30" t="s">
        <v>24</v>
      </c>
      <c r="F353" s="30" t="s">
        <v>25</v>
      </c>
      <c r="H353" s="31" t="s">
        <v>26</v>
      </c>
      <c r="I353" s="31" t="s">
        <v>27</v>
      </c>
      <c r="J353" s="76"/>
      <c r="M353" s="28" t="s">
        <v>21</v>
      </c>
      <c r="N353" s="28" t="s">
        <v>22</v>
      </c>
      <c r="O353" s="29" t="s">
        <v>23</v>
      </c>
      <c r="P353" s="30" t="s">
        <v>24</v>
      </c>
      <c r="Q353" s="30" t="s">
        <v>25</v>
      </c>
      <c r="S353" s="31" t="s">
        <v>26</v>
      </c>
      <c r="T353" s="31" t="s">
        <v>27</v>
      </c>
      <c r="U353" s="76"/>
      <c r="X353" s="28" t="s">
        <v>21</v>
      </c>
      <c r="Y353" s="28" t="s">
        <v>22</v>
      </c>
      <c r="Z353" s="29" t="s">
        <v>23</v>
      </c>
      <c r="AA353" s="30" t="s">
        <v>24</v>
      </c>
      <c r="AB353" s="30" t="s">
        <v>25</v>
      </c>
      <c r="AD353" s="31" t="s">
        <v>26</v>
      </c>
      <c r="AE353" s="31" t="s">
        <v>27</v>
      </c>
      <c r="AF353" s="76"/>
    </row>
    <row r="354" spans="1:32" x14ac:dyDescent="0.25">
      <c r="A354" s="10">
        <v>1</v>
      </c>
      <c r="B354" s="32">
        <v>45666</v>
      </c>
      <c r="C354" s="33">
        <v>7286</v>
      </c>
      <c r="D354" s="34">
        <f>626*18+596*2+170</f>
        <v>12630</v>
      </c>
      <c r="E354" s="34"/>
      <c r="F354" s="34">
        <f t="shared" ref="F354:F359" si="128">SUM(D354:E354)</f>
        <v>12630</v>
      </c>
      <c r="G354" s="12"/>
      <c r="H354" s="12">
        <v>21</v>
      </c>
      <c r="I354" s="12"/>
      <c r="J354" s="12">
        <f t="shared" ref="J354:J387" si="129">SUM(F354:I354)</f>
        <v>12651</v>
      </c>
      <c r="L354" s="10">
        <v>1</v>
      </c>
      <c r="M354" s="32">
        <v>45666</v>
      </c>
      <c r="N354" s="33">
        <v>7306</v>
      </c>
      <c r="O354" s="34">
        <f>1252+17</f>
        <v>1269</v>
      </c>
      <c r="P354" s="34">
        <v>-3177</v>
      </c>
      <c r="Q354" s="34">
        <f>SUM(O354:P354)</f>
        <v>-1908</v>
      </c>
      <c r="R354" s="12"/>
      <c r="S354" s="12"/>
      <c r="T354" s="12">
        <v>-5634</v>
      </c>
      <c r="U354" s="12">
        <f>SUM(Q354:T354)</f>
        <v>-7542</v>
      </c>
      <c r="W354" s="10">
        <v>1</v>
      </c>
      <c r="X354" s="32">
        <v>45666</v>
      </c>
      <c r="Y354" s="33">
        <v>7029</v>
      </c>
      <c r="Z354" s="34">
        <f>626*60+513</f>
        <v>38073</v>
      </c>
      <c r="AA354" s="34">
        <v>-540</v>
      </c>
      <c r="AB354" s="34">
        <f>SUM(Z354:AA354)</f>
        <v>37533</v>
      </c>
      <c r="AC354" s="12"/>
      <c r="AD354" s="12"/>
      <c r="AE354" s="12"/>
      <c r="AF354" s="12">
        <f>SUM(AB354:AE354)</f>
        <v>37533</v>
      </c>
    </row>
    <row r="355" spans="1:32" x14ac:dyDescent="0.25">
      <c r="A355" s="10">
        <v>2</v>
      </c>
      <c r="B355" s="32">
        <v>45666</v>
      </c>
      <c r="C355" s="33">
        <f>C354+1</f>
        <v>7287</v>
      </c>
      <c r="D355" s="34">
        <f>626+596+17</f>
        <v>1239</v>
      </c>
      <c r="E355" s="34"/>
      <c r="F355" s="34">
        <f t="shared" si="128"/>
        <v>1239</v>
      </c>
      <c r="G355" s="12"/>
      <c r="H355" s="12"/>
      <c r="I355" s="12"/>
      <c r="J355" s="12">
        <f t="shared" si="129"/>
        <v>1239</v>
      </c>
      <c r="L355" s="10">
        <v>2</v>
      </c>
      <c r="M355" s="32">
        <v>45666</v>
      </c>
      <c r="N355" s="33">
        <f>N354+1</f>
        <v>7307</v>
      </c>
      <c r="O355" s="34">
        <f>1348</f>
        <v>1348</v>
      </c>
      <c r="P355" s="34"/>
      <c r="Q355" s="34">
        <f t="shared" ref="Q355:Q386" si="130">SUM(O355:P355)</f>
        <v>1348</v>
      </c>
      <c r="R355" s="12"/>
      <c r="S355" s="12"/>
      <c r="T355" s="12"/>
      <c r="U355" s="12">
        <f t="shared" ref="U355:U395" si="131">SUM(Q355:T355)</f>
        <v>1348</v>
      </c>
      <c r="W355" s="10">
        <v>2</v>
      </c>
      <c r="X355" s="32">
        <v>45666</v>
      </c>
      <c r="Y355" s="33">
        <f>Y354+1</f>
        <v>7030</v>
      </c>
      <c r="Z355" s="34">
        <f>626*87+410</f>
        <v>54872</v>
      </c>
      <c r="AA355" s="34">
        <v>-712</v>
      </c>
      <c r="AB355" s="34">
        <f t="shared" ref="AB355:AB357" si="132">SUM(Z355:AA355)</f>
        <v>54160</v>
      </c>
      <c r="AC355" s="12"/>
      <c r="AD355" s="12"/>
      <c r="AE355" s="12"/>
      <c r="AF355" s="12">
        <f t="shared" ref="AF355:AF395" si="133">SUM(AB355:AE355)</f>
        <v>54160</v>
      </c>
    </row>
    <row r="356" spans="1:32" x14ac:dyDescent="0.25">
      <c r="A356" s="10">
        <v>3</v>
      </c>
      <c r="B356" s="32">
        <v>45666</v>
      </c>
      <c r="C356" s="33">
        <f t="shared" ref="C356:C363" si="134">C355+1</f>
        <v>7288</v>
      </c>
      <c r="D356" s="35">
        <f>1252+17</f>
        <v>1269</v>
      </c>
      <c r="E356" s="35"/>
      <c r="F356" s="35">
        <f t="shared" si="128"/>
        <v>1269</v>
      </c>
      <c r="G356" s="36"/>
      <c r="H356" s="36"/>
      <c r="I356" s="36"/>
      <c r="J356" s="36">
        <f t="shared" si="129"/>
        <v>1269</v>
      </c>
      <c r="L356" s="10">
        <v>3</v>
      </c>
      <c r="M356" s="32">
        <v>45666</v>
      </c>
      <c r="N356" s="33">
        <f t="shared" ref="N356:N380" si="135">N355+1</f>
        <v>7308</v>
      </c>
      <c r="O356" s="34">
        <f>2504+34+674</f>
        <v>3212</v>
      </c>
      <c r="P356" s="34"/>
      <c r="Q356" s="34">
        <f t="shared" si="130"/>
        <v>3212</v>
      </c>
      <c r="R356" s="12"/>
      <c r="S356" s="12"/>
      <c r="T356" s="12"/>
      <c r="U356" s="12">
        <f t="shared" si="131"/>
        <v>3212</v>
      </c>
      <c r="W356" s="10">
        <v>3</v>
      </c>
      <c r="X356" s="32">
        <v>45666</v>
      </c>
      <c r="Y356" s="33">
        <f t="shared" ref="Y356:Y367" si="136">Y355+1</f>
        <v>7031</v>
      </c>
      <c r="Z356" s="34">
        <f>2504+832+34</f>
        <v>3370</v>
      </c>
      <c r="AA356" s="34"/>
      <c r="AB356" s="34">
        <f t="shared" si="132"/>
        <v>3370</v>
      </c>
      <c r="AC356" s="12"/>
      <c r="AD356" s="12"/>
      <c r="AE356" s="12"/>
      <c r="AF356" s="12">
        <f t="shared" si="133"/>
        <v>3370</v>
      </c>
    </row>
    <row r="357" spans="1:32" x14ac:dyDescent="0.25">
      <c r="A357" s="10">
        <v>4</v>
      </c>
      <c r="B357" s="32">
        <v>45666</v>
      </c>
      <c r="C357" s="33">
        <f t="shared" si="134"/>
        <v>7289</v>
      </c>
      <c r="D357" s="34">
        <f>2504+34</f>
        <v>2538</v>
      </c>
      <c r="E357" s="34"/>
      <c r="F357" s="34">
        <f t="shared" si="128"/>
        <v>2538</v>
      </c>
      <c r="G357" s="12"/>
      <c r="H357" s="12"/>
      <c r="I357" s="12"/>
      <c r="J357" s="12">
        <f t="shared" si="129"/>
        <v>2538</v>
      </c>
      <c r="L357" s="10">
        <v>4</v>
      </c>
      <c r="M357" s="32">
        <v>45666</v>
      </c>
      <c r="N357" s="33">
        <f t="shared" si="135"/>
        <v>7309</v>
      </c>
      <c r="O357" s="34">
        <f>3756+8940+178.5</f>
        <v>12874.5</v>
      </c>
      <c r="P357" s="34"/>
      <c r="Q357" s="34">
        <f t="shared" si="130"/>
        <v>12874.5</v>
      </c>
      <c r="R357" s="12"/>
      <c r="S357" s="12"/>
      <c r="T357" s="12"/>
      <c r="U357" s="12">
        <f t="shared" si="131"/>
        <v>12874.5</v>
      </c>
      <c r="W357" s="10">
        <v>4</v>
      </c>
      <c r="X357" s="32">
        <v>45666</v>
      </c>
      <c r="Y357" s="33">
        <f t="shared" si="136"/>
        <v>7032</v>
      </c>
      <c r="Z357" s="34">
        <f>4382+1348+59.5</f>
        <v>5789.5</v>
      </c>
      <c r="AA357" s="34"/>
      <c r="AB357" s="34">
        <f t="shared" si="132"/>
        <v>5789.5</v>
      </c>
      <c r="AC357" s="12"/>
      <c r="AE357" s="12"/>
      <c r="AF357" s="12">
        <f t="shared" si="133"/>
        <v>5789.5</v>
      </c>
    </row>
    <row r="358" spans="1:32" x14ac:dyDescent="0.25">
      <c r="A358" s="10">
        <v>5</v>
      </c>
      <c r="B358" s="32">
        <v>45666</v>
      </c>
      <c r="C358" s="33">
        <f t="shared" si="134"/>
        <v>7290</v>
      </c>
      <c r="D358" s="34">
        <f>3756+51</f>
        <v>3807</v>
      </c>
      <c r="E358" s="34"/>
      <c r="F358" s="34">
        <f t="shared" si="128"/>
        <v>3807</v>
      </c>
      <c r="G358" s="12"/>
      <c r="H358" s="12"/>
      <c r="I358" s="12"/>
      <c r="J358" s="12">
        <f t="shared" si="129"/>
        <v>3807</v>
      </c>
      <c r="L358" s="10">
        <v>5</v>
      </c>
      <c r="M358" s="32">
        <v>45666</v>
      </c>
      <c r="N358" s="33">
        <f t="shared" si="135"/>
        <v>7310</v>
      </c>
      <c r="O358" s="34">
        <f>2504+1192+51</f>
        <v>3747</v>
      </c>
      <c r="P358" s="34"/>
      <c r="Q358" s="34">
        <f t="shared" si="130"/>
        <v>3747</v>
      </c>
      <c r="R358" s="12"/>
      <c r="S358" s="12">
        <v>2.25</v>
      </c>
      <c r="T358" s="12"/>
      <c r="U358" s="12">
        <f t="shared" si="131"/>
        <v>3749.25</v>
      </c>
      <c r="W358" s="10">
        <v>5</v>
      </c>
      <c r="X358" s="32">
        <v>45666</v>
      </c>
      <c r="Y358" s="33">
        <f t="shared" si="136"/>
        <v>7033</v>
      </c>
      <c r="Z358" s="34">
        <f>1878+1788+205</f>
        <v>3871</v>
      </c>
      <c r="AA358" s="34"/>
      <c r="AB358" s="34">
        <f t="shared" ref="AB358:AB363" si="137">SUM(Z358:AA358)</f>
        <v>3871</v>
      </c>
      <c r="AC358" s="12"/>
      <c r="AD358" s="12"/>
      <c r="AE358" s="12"/>
      <c r="AF358" s="12">
        <f t="shared" si="133"/>
        <v>3871</v>
      </c>
    </row>
    <row r="359" spans="1:32" x14ac:dyDescent="0.25">
      <c r="A359" s="10">
        <v>6</v>
      </c>
      <c r="B359" s="32">
        <v>45666</v>
      </c>
      <c r="C359" s="33">
        <f t="shared" si="134"/>
        <v>7291</v>
      </c>
      <c r="D359" s="70">
        <f>2504+34</f>
        <v>2538</v>
      </c>
      <c r="E359" s="34"/>
      <c r="F359" s="34">
        <f t="shared" si="128"/>
        <v>2538</v>
      </c>
      <c r="G359" s="12"/>
      <c r="I359" s="12"/>
      <c r="J359" s="12">
        <f t="shared" si="129"/>
        <v>2538</v>
      </c>
      <c r="L359" s="10">
        <v>6</v>
      </c>
      <c r="M359" s="32">
        <v>45666</v>
      </c>
      <c r="N359" s="33">
        <f t="shared" si="135"/>
        <v>7311</v>
      </c>
      <c r="O359" s="34">
        <f>2504+34</f>
        <v>2538</v>
      </c>
      <c r="P359" s="34"/>
      <c r="Q359" s="34">
        <f t="shared" si="130"/>
        <v>2538</v>
      </c>
      <c r="R359" s="12"/>
      <c r="S359" s="12"/>
      <c r="T359" s="10">
        <v>-666</v>
      </c>
      <c r="U359" s="12">
        <f t="shared" si="131"/>
        <v>1872</v>
      </c>
      <c r="W359" s="10">
        <v>6</v>
      </c>
      <c r="X359" s="32">
        <v>45666</v>
      </c>
      <c r="Y359" s="33">
        <f t="shared" si="136"/>
        <v>7034</v>
      </c>
      <c r="Z359" s="34">
        <f>1252+1192+34</f>
        <v>2478</v>
      </c>
      <c r="AA359" s="34"/>
      <c r="AB359" s="34">
        <f t="shared" si="137"/>
        <v>2478</v>
      </c>
      <c r="AC359" s="12"/>
      <c r="AD359" s="12"/>
      <c r="AE359" s="10"/>
      <c r="AF359" s="12">
        <f t="shared" si="133"/>
        <v>2478</v>
      </c>
    </row>
    <row r="360" spans="1:32" x14ac:dyDescent="0.25">
      <c r="A360" s="10">
        <v>7</v>
      </c>
      <c r="B360" s="32">
        <v>45666</v>
      </c>
      <c r="C360" s="33">
        <f t="shared" si="134"/>
        <v>7292</v>
      </c>
      <c r="D360" s="34">
        <f>1878+25.5</f>
        <v>1903.5</v>
      </c>
      <c r="E360" s="34"/>
      <c r="F360" s="34">
        <f>SUM(D360:E360)</f>
        <v>1903.5</v>
      </c>
      <c r="G360" s="12"/>
      <c r="H360" s="12"/>
      <c r="I360" s="12"/>
      <c r="J360" s="12">
        <f t="shared" si="129"/>
        <v>1903.5</v>
      </c>
      <c r="L360" s="10">
        <v>7</v>
      </c>
      <c r="M360" s="32">
        <v>45666</v>
      </c>
      <c r="N360" s="33">
        <f t="shared" si="135"/>
        <v>7312</v>
      </c>
      <c r="O360" s="34">
        <f>1252+1192+34</f>
        <v>2478</v>
      </c>
      <c r="P360" s="34"/>
      <c r="Q360" s="34">
        <f t="shared" si="130"/>
        <v>2478</v>
      </c>
      <c r="R360" s="12"/>
      <c r="S360" s="12"/>
      <c r="T360" s="12"/>
      <c r="U360" s="12">
        <f t="shared" si="131"/>
        <v>2478</v>
      </c>
      <c r="W360" s="10">
        <v>7</v>
      </c>
      <c r="X360" s="32">
        <v>45666</v>
      </c>
      <c r="Y360" s="33">
        <f t="shared" si="136"/>
        <v>7035</v>
      </c>
      <c r="Z360" s="34">
        <f>626*7+674*3+596*5+1005+832+127.5</f>
        <v>11348.5</v>
      </c>
      <c r="AA360" s="34"/>
      <c r="AB360" s="34">
        <f t="shared" si="137"/>
        <v>11348.5</v>
      </c>
      <c r="AC360" s="12"/>
      <c r="AD360" s="66"/>
      <c r="AE360" s="12"/>
      <c r="AF360" s="12">
        <f t="shared" si="133"/>
        <v>11348.5</v>
      </c>
    </row>
    <row r="361" spans="1:32" x14ac:dyDescent="0.25">
      <c r="A361" s="10">
        <v>8</v>
      </c>
      <c r="B361" s="32">
        <v>45666</v>
      </c>
      <c r="C361" s="33">
        <f t="shared" si="134"/>
        <v>7293</v>
      </c>
      <c r="D361" s="34">
        <f>626*6+596*2+68</f>
        <v>5016</v>
      </c>
      <c r="E361" s="34"/>
      <c r="F361" s="34">
        <f t="shared" ref="F361:F387" si="138">SUM(D361:E361)</f>
        <v>5016</v>
      </c>
      <c r="G361" s="12"/>
      <c r="H361" s="12"/>
      <c r="I361" s="12"/>
      <c r="J361" s="12">
        <f t="shared" si="129"/>
        <v>5016</v>
      </c>
      <c r="L361" s="10">
        <v>8</v>
      </c>
      <c r="M361" s="32">
        <v>45666</v>
      </c>
      <c r="N361" s="33">
        <f t="shared" si="135"/>
        <v>7313</v>
      </c>
      <c r="O361" s="34">
        <f>1252+596+25.5</f>
        <v>1873.5</v>
      </c>
      <c r="P361" s="34"/>
      <c r="Q361" s="34">
        <f t="shared" si="130"/>
        <v>1873.5</v>
      </c>
      <c r="R361" s="12"/>
      <c r="S361" s="12"/>
      <c r="T361" s="12"/>
      <c r="U361" s="12">
        <f t="shared" si="131"/>
        <v>1873.5</v>
      </c>
      <c r="W361" s="10">
        <v>8</v>
      </c>
      <c r="X361" s="32">
        <v>45666</v>
      </c>
      <c r="Y361" s="33">
        <f t="shared" si="136"/>
        <v>7036</v>
      </c>
      <c r="Z361" s="34">
        <f>3576+51</f>
        <v>3627</v>
      </c>
      <c r="AB361" s="34">
        <f t="shared" si="137"/>
        <v>3627</v>
      </c>
      <c r="AC361" s="12"/>
      <c r="AD361" s="12"/>
      <c r="AE361" s="12"/>
      <c r="AF361" s="12">
        <f t="shared" si="133"/>
        <v>3627</v>
      </c>
    </row>
    <row r="362" spans="1:32" x14ac:dyDescent="0.25">
      <c r="A362" s="10">
        <v>9</v>
      </c>
      <c r="B362" s="32">
        <v>45666</v>
      </c>
      <c r="C362" s="33">
        <f t="shared" si="134"/>
        <v>7294</v>
      </c>
      <c r="D362" s="34">
        <f>3756+51</f>
        <v>3807</v>
      </c>
      <c r="E362" s="34"/>
      <c r="F362" s="34">
        <f t="shared" si="138"/>
        <v>3807</v>
      </c>
      <c r="G362" s="12"/>
      <c r="H362" s="12">
        <v>8.5</v>
      </c>
      <c r="I362" s="12"/>
      <c r="J362" s="12">
        <f t="shared" si="129"/>
        <v>3815.5</v>
      </c>
      <c r="L362" s="10">
        <v>9</v>
      </c>
      <c r="M362" s="32">
        <v>45666</v>
      </c>
      <c r="N362" s="33">
        <f t="shared" si="135"/>
        <v>7314</v>
      </c>
      <c r="O362" s="34">
        <f>7152+102</f>
        <v>7254</v>
      </c>
      <c r="P362" s="34"/>
      <c r="Q362" s="34">
        <f t="shared" si="130"/>
        <v>7254</v>
      </c>
      <c r="R362" s="12"/>
      <c r="S362" s="12">
        <v>18</v>
      </c>
      <c r="T362" s="12"/>
      <c r="U362" s="12">
        <f t="shared" si="131"/>
        <v>7272</v>
      </c>
      <c r="W362" s="10">
        <v>9</v>
      </c>
      <c r="X362" s="32">
        <v>45666</v>
      </c>
      <c r="Y362" s="33">
        <f t="shared" si="136"/>
        <v>7037</v>
      </c>
      <c r="Z362">
        <f>6260+85</f>
        <v>6345</v>
      </c>
      <c r="AA362" s="34"/>
      <c r="AB362" s="34">
        <f t="shared" si="137"/>
        <v>6345</v>
      </c>
      <c r="AC362" s="12"/>
      <c r="AE362" s="12"/>
      <c r="AF362" s="12">
        <f t="shared" si="133"/>
        <v>6345</v>
      </c>
    </row>
    <row r="363" spans="1:32" x14ac:dyDescent="0.25">
      <c r="A363" s="10">
        <v>10</v>
      </c>
      <c r="B363" s="32">
        <v>45666</v>
      </c>
      <c r="C363" s="33">
        <f t="shared" si="134"/>
        <v>7295</v>
      </c>
      <c r="D363" s="34">
        <f>626*220+1845+34</f>
        <v>139599</v>
      </c>
      <c r="E363" s="34">
        <v>-1980</v>
      </c>
      <c r="F363" s="34">
        <f t="shared" si="138"/>
        <v>137619</v>
      </c>
      <c r="G363" s="12"/>
      <c r="H363" s="12">
        <f>702+6</f>
        <v>708</v>
      </c>
      <c r="I363" s="12">
        <f>-126+-18</f>
        <v>-144</v>
      </c>
      <c r="J363" s="12">
        <f t="shared" si="129"/>
        <v>138183</v>
      </c>
      <c r="L363" s="10">
        <v>10</v>
      </c>
      <c r="M363" s="32">
        <v>45666</v>
      </c>
      <c r="N363" s="33">
        <f t="shared" si="135"/>
        <v>7315</v>
      </c>
      <c r="O363" s="34">
        <f>626*6+596*6+102+500+674</f>
        <v>8608</v>
      </c>
      <c r="P363" s="34"/>
      <c r="Q363" s="34">
        <f t="shared" si="130"/>
        <v>8608</v>
      </c>
      <c r="R363" s="12"/>
      <c r="S363" s="12"/>
      <c r="T363" s="12"/>
      <c r="U363" s="12">
        <f t="shared" si="131"/>
        <v>8608</v>
      </c>
      <c r="W363" s="10">
        <v>10</v>
      </c>
      <c r="X363" s="32">
        <v>45666</v>
      </c>
      <c r="Y363" s="33">
        <f t="shared" si="136"/>
        <v>7038</v>
      </c>
      <c r="Z363" s="34">
        <f>2504+34</f>
        <v>2538</v>
      </c>
      <c r="AA363" s="34"/>
      <c r="AB363" s="34">
        <f t="shared" si="137"/>
        <v>2538</v>
      </c>
      <c r="AC363" s="12"/>
      <c r="AD363" s="12"/>
      <c r="AE363" s="12"/>
      <c r="AF363" s="12">
        <f t="shared" si="133"/>
        <v>2538</v>
      </c>
    </row>
    <row r="364" spans="1:32" x14ac:dyDescent="0.25">
      <c r="A364" s="10">
        <v>11</v>
      </c>
      <c r="B364" s="32"/>
      <c r="C364" s="11" t="s">
        <v>28</v>
      </c>
      <c r="D364" s="34"/>
      <c r="E364" s="34"/>
      <c r="F364" s="34">
        <f t="shared" si="138"/>
        <v>0</v>
      </c>
      <c r="G364" s="12"/>
      <c r="H364" s="12"/>
      <c r="I364" s="12"/>
      <c r="J364" s="12">
        <f t="shared" si="129"/>
        <v>0</v>
      </c>
      <c r="L364" s="10">
        <v>11</v>
      </c>
      <c r="M364" s="32">
        <v>45666</v>
      </c>
      <c r="N364" s="33">
        <f t="shared" si="135"/>
        <v>7316</v>
      </c>
      <c r="O364" s="34">
        <f>1252+1192+34</f>
        <v>2478</v>
      </c>
      <c r="P364" s="34"/>
      <c r="Q364" s="34">
        <f t="shared" si="130"/>
        <v>2478</v>
      </c>
      <c r="R364" s="12"/>
      <c r="S364" s="12"/>
      <c r="T364" s="12"/>
      <c r="U364" s="12">
        <f t="shared" si="131"/>
        <v>2478</v>
      </c>
      <c r="W364" s="10">
        <v>11</v>
      </c>
      <c r="X364" s="32">
        <v>45666</v>
      </c>
      <c r="Y364" s="33">
        <f t="shared" si="136"/>
        <v>7039</v>
      </c>
      <c r="Z364" s="34">
        <f>1878+596+34</f>
        <v>2508</v>
      </c>
      <c r="AA364" s="34"/>
      <c r="AB364" s="34">
        <f t="shared" ref="AB364:AB386" si="139">SUM(Z364:AA364)</f>
        <v>2508</v>
      </c>
      <c r="AC364" s="12"/>
      <c r="AD364" s="12"/>
      <c r="AE364" s="12"/>
      <c r="AF364" s="12">
        <f t="shared" si="133"/>
        <v>2508</v>
      </c>
    </row>
    <row r="365" spans="1:32" x14ac:dyDescent="0.25">
      <c r="A365" s="10">
        <v>12</v>
      </c>
      <c r="B365" s="32"/>
      <c r="C365" s="33"/>
      <c r="D365" s="34"/>
      <c r="E365" s="34"/>
      <c r="F365" s="34">
        <f t="shared" si="138"/>
        <v>0</v>
      </c>
      <c r="G365" s="12"/>
      <c r="H365" s="12"/>
      <c r="I365" s="10"/>
      <c r="J365" s="12">
        <f t="shared" si="129"/>
        <v>0</v>
      </c>
      <c r="L365" s="10">
        <v>12</v>
      </c>
      <c r="M365" s="32">
        <v>45666</v>
      </c>
      <c r="N365" s="33">
        <f t="shared" si="135"/>
        <v>7317</v>
      </c>
      <c r="O365" s="34">
        <f>1252+1192+34</f>
        <v>2478</v>
      </c>
      <c r="P365" s="34"/>
      <c r="Q365" s="34">
        <f t="shared" si="130"/>
        <v>2478</v>
      </c>
      <c r="R365" s="12"/>
      <c r="S365" s="12"/>
      <c r="T365" s="12"/>
      <c r="U365" s="12">
        <f t="shared" si="131"/>
        <v>2478</v>
      </c>
      <c r="W365" s="10">
        <v>12</v>
      </c>
      <c r="X365" s="32">
        <v>45666</v>
      </c>
      <c r="Y365" s="33">
        <f t="shared" si="136"/>
        <v>7040</v>
      </c>
      <c r="Z365" s="34">
        <f>626*5+614*10+42.5</f>
        <v>9312.5</v>
      </c>
      <c r="AA365" s="34"/>
      <c r="AB365" s="34">
        <f t="shared" si="139"/>
        <v>9312.5</v>
      </c>
      <c r="AC365" s="12"/>
      <c r="AD365" s="12">
        <v>40.5</v>
      </c>
      <c r="AE365" s="12"/>
      <c r="AF365" s="12">
        <f t="shared" si="133"/>
        <v>9353</v>
      </c>
    </row>
    <row r="366" spans="1:32" x14ac:dyDescent="0.25">
      <c r="A366" s="10">
        <v>13</v>
      </c>
      <c r="B366" s="32"/>
      <c r="C366" s="33"/>
      <c r="D366" s="34"/>
      <c r="E366" s="34"/>
      <c r="F366" s="34">
        <f t="shared" si="138"/>
        <v>0</v>
      </c>
      <c r="G366" s="12"/>
      <c r="H366" s="12"/>
      <c r="I366" s="12"/>
      <c r="J366" s="12">
        <f t="shared" si="129"/>
        <v>0</v>
      </c>
      <c r="L366" s="10">
        <v>13</v>
      </c>
      <c r="M366" s="32">
        <v>45666</v>
      </c>
      <c r="N366" s="33">
        <f t="shared" si="135"/>
        <v>7318</v>
      </c>
      <c r="O366" s="34">
        <f>1878+596+34</f>
        <v>2508</v>
      </c>
      <c r="P366" s="34"/>
      <c r="Q366" s="34">
        <f t="shared" si="130"/>
        <v>2508</v>
      </c>
      <c r="R366" s="12"/>
      <c r="S366" s="12">
        <v>22.5</v>
      </c>
      <c r="T366" s="12"/>
      <c r="U366" s="12">
        <f t="shared" si="131"/>
        <v>2530.5</v>
      </c>
      <c r="W366" s="10">
        <v>13</v>
      </c>
      <c r="X366" s="32">
        <v>45666</v>
      </c>
      <c r="Y366" s="33">
        <f t="shared" si="136"/>
        <v>7041</v>
      </c>
      <c r="Z366" s="34">
        <f>626*70+596*30+820</f>
        <v>62520</v>
      </c>
      <c r="AA366" s="34">
        <v>-800</v>
      </c>
      <c r="AB366" s="34">
        <f t="shared" si="139"/>
        <v>61720</v>
      </c>
      <c r="AC366" s="12"/>
      <c r="AD366" s="12">
        <f>1110+27</f>
        <v>1137</v>
      </c>
      <c r="AE366" s="12"/>
      <c r="AF366" s="12">
        <f t="shared" si="133"/>
        <v>62857</v>
      </c>
    </row>
    <row r="367" spans="1:32" x14ac:dyDescent="0.25">
      <c r="A367" s="10">
        <v>14</v>
      </c>
      <c r="B367" s="32"/>
      <c r="C367" s="33"/>
      <c r="D367" s="34"/>
      <c r="E367" s="34"/>
      <c r="F367" s="34">
        <f t="shared" si="138"/>
        <v>0</v>
      </c>
      <c r="G367" s="12"/>
      <c r="H367" s="12"/>
      <c r="I367" s="12"/>
      <c r="J367" s="12">
        <f t="shared" si="129"/>
        <v>0</v>
      </c>
      <c r="L367" s="10">
        <v>14</v>
      </c>
      <c r="M367" s="32">
        <v>45666</v>
      </c>
      <c r="N367" s="33">
        <f t="shared" si="135"/>
        <v>7319</v>
      </c>
      <c r="O367" s="34">
        <f>1878+25.5</f>
        <v>1903.5</v>
      </c>
      <c r="P367" s="34"/>
      <c r="Q367" s="34">
        <f t="shared" si="130"/>
        <v>1903.5</v>
      </c>
      <c r="R367" s="12"/>
      <c r="S367" s="12"/>
      <c r="T367" s="12"/>
      <c r="U367" s="12">
        <f t="shared" si="131"/>
        <v>1903.5</v>
      </c>
      <c r="W367" s="10">
        <v>14</v>
      </c>
      <c r="X367" s="32">
        <v>45666</v>
      </c>
      <c r="Y367" s="33">
        <f t="shared" si="136"/>
        <v>7042</v>
      </c>
      <c r="Z367">
        <f>626*5+596*5+85</f>
        <v>6195</v>
      </c>
      <c r="AA367" s="34"/>
      <c r="AB367" s="34">
        <f t="shared" si="139"/>
        <v>6195</v>
      </c>
      <c r="AC367" s="12"/>
      <c r="AD367" s="12"/>
      <c r="AE367" s="12">
        <v>-2886</v>
      </c>
      <c r="AF367" s="12">
        <f t="shared" si="133"/>
        <v>3309</v>
      </c>
    </row>
    <row r="368" spans="1:32" x14ac:dyDescent="0.25">
      <c r="A368" s="10">
        <v>15</v>
      </c>
      <c r="B368" s="32"/>
      <c r="C368" s="33"/>
      <c r="D368" s="34"/>
      <c r="E368" s="34"/>
      <c r="F368" s="34">
        <f t="shared" si="138"/>
        <v>0</v>
      </c>
      <c r="G368" s="12"/>
      <c r="H368" s="12"/>
      <c r="I368" s="12"/>
      <c r="J368" s="12">
        <f t="shared" si="129"/>
        <v>0</v>
      </c>
      <c r="L368" s="10">
        <v>15</v>
      </c>
      <c r="M368" s="32">
        <v>45666</v>
      </c>
      <c r="N368" s="33">
        <f t="shared" si="135"/>
        <v>7320</v>
      </c>
      <c r="O368" s="34">
        <f>2504+34</f>
        <v>2538</v>
      </c>
      <c r="P368" s="34"/>
      <c r="Q368" s="34">
        <f t="shared" si="130"/>
        <v>2538</v>
      </c>
      <c r="R368" s="12"/>
      <c r="S368" s="12"/>
      <c r="T368" s="12"/>
      <c r="U368" s="12">
        <f t="shared" si="131"/>
        <v>2538</v>
      </c>
      <c r="W368" s="10">
        <v>15</v>
      </c>
      <c r="X368" s="32"/>
      <c r="Y368" s="11" t="s">
        <v>28</v>
      </c>
      <c r="Z368" s="34"/>
      <c r="AA368" s="34"/>
      <c r="AB368" s="34">
        <f t="shared" si="139"/>
        <v>0</v>
      </c>
      <c r="AC368" s="12"/>
      <c r="AD368" s="12"/>
      <c r="AE368" s="12"/>
      <c r="AF368" s="12">
        <f t="shared" si="133"/>
        <v>0</v>
      </c>
    </row>
    <row r="369" spans="1:32" x14ac:dyDescent="0.25">
      <c r="A369" s="10">
        <v>16</v>
      </c>
      <c r="B369" s="32"/>
      <c r="C369" s="33"/>
      <c r="D369" s="34"/>
      <c r="E369" s="34"/>
      <c r="F369" s="34">
        <f t="shared" si="138"/>
        <v>0</v>
      </c>
      <c r="G369" s="12"/>
      <c r="H369" s="12"/>
      <c r="I369" s="12"/>
      <c r="J369" s="12">
        <f t="shared" si="129"/>
        <v>0</v>
      </c>
      <c r="L369" s="10">
        <v>16</v>
      </c>
      <c r="M369" s="32">
        <v>45666</v>
      </c>
      <c r="N369" s="33">
        <f t="shared" si="135"/>
        <v>7321</v>
      </c>
      <c r="O369" s="34">
        <f>3756+1192+68</f>
        <v>5016</v>
      </c>
      <c r="P369" s="34"/>
      <c r="Q369" s="34">
        <f t="shared" si="130"/>
        <v>5016</v>
      </c>
      <c r="R369" s="12"/>
      <c r="S369" s="12"/>
      <c r="T369" s="12"/>
      <c r="U369" s="12">
        <f t="shared" si="131"/>
        <v>5016</v>
      </c>
      <c r="W369" s="10">
        <v>16</v>
      </c>
      <c r="X369" s="32"/>
      <c r="Y369" s="33"/>
      <c r="Z369" s="34"/>
      <c r="AA369" s="34"/>
      <c r="AB369" s="34">
        <f t="shared" si="139"/>
        <v>0</v>
      </c>
      <c r="AC369" s="12"/>
      <c r="AD369" s="12"/>
      <c r="AE369" s="12"/>
      <c r="AF369" s="12">
        <f t="shared" si="133"/>
        <v>0</v>
      </c>
    </row>
    <row r="370" spans="1:32" x14ac:dyDescent="0.25">
      <c r="A370" s="10">
        <v>17</v>
      </c>
      <c r="B370" s="32"/>
      <c r="C370" s="33"/>
      <c r="D370" s="34"/>
      <c r="E370" s="34"/>
      <c r="F370" s="34">
        <f t="shared" si="138"/>
        <v>0</v>
      </c>
      <c r="G370" s="12"/>
      <c r="H370" s="12"/>
      <c r="I370" s="12"/>
      <c r="J370" s="12">
        <f t="shared" si="129"/>
        <v>0</v>
      </c>
      <c r="L370" s="10">
        <v>17</v>
      </c>
      <c r="M370" s="32">
        <v>45666</v>
      </c>
      <c r="N370" s="33">
        <f t="shared" si="135"/>
        <v>7322</v>
      </c>
      <c r="O370" s="37">
        <f>626*2+596*3+42.5</f>
        <v>3082.5</v>
      </c>
      <c r="P370" s="34"/>
      <c r="Q370" s="34">
        <f t="shared" si="130"/>
        <v>3082.5</v>
      </c>
      <c r="R370" s="12"/>
      <c r="S370" s="12"/>
      <c r="T370" s="12"/>
      <c r="U370" s="12">
        <f t="shared" si="131"/>
        <v>3082.5</v>
      </c>
      <c r="W370" s="10">
        <v>17</v>
      </c>
      <c r="X370" s="32"/>
      <c r="Y370" s="33"/>
      <c r="Z370" s="37"/>
      <c r="AA370" s="34"/>
      <c r="AB370" s="34">
        <f t="shared" si="139"/>
        <v>0</v>
      </c>
      <c r="AC370" s="12"/>
      <c r="AD370" s="12"/>
      <c r="AE370" s="12"/>
      <c r="AF370" s="12">
        <f t="shared" si="133"/>
        <v>0</v>
      </c>
    </row>
    <row r="371" spans="1:32" x14ac:dyDescent="0.25">
      <c r="A371" s="10">
        <v>18</v>
      </c>
      <c r="B371" s="32"/>
      <c r="C371" s="33"/>
      <c r="D371" s="34"/>
      <c r="E371" s="34"/>
      <c r="F371" s="34">
        <f t="shared" si="138"/>
        <v>0</v>
      </c>
      <c r="G371" s="12"/>
      <c r="H371" s="12"/>
      <c r="I371" s="12"/>
      <c r="J371" s="12">
        <f t="shared" si="129"/>
        <v>0</v>
      </c>
      <c r="L371" s="10">
        <v>18</v>
      </c>
      <c r="M371" s="32">
        <v>45666</v>
      </c>
      <c r="N371" s="33">
        <f t="shared" si="135"/>
        <v>7323</v>
      </c>
      <c r="O371" s="34">
        <f>1878+596+34</f>
        <v>2508</v>
      </c>
      <c r="P371" s="34"/>
      <c r="Q371" s="34">
        <f t="shared" si="130"/>
        <v>2508</v>
      </c>
      <c r="R371" s="12"/>
      <c r="S371" s="12"/>
      <c r="T371" s="12"/>
      <c r="U371" s="12">
        <f t="shared" si="131"/>
        <v>2508</v>
      </c>
      <c r="W371" s="10">
        <v>18</v>
      </c>
      <c r="X371" s="32"/>
      <c r="Y371" s="33"/>
      <c r="Z371" s="34"/>
      <c r="AA371" s="34"/>
      <c r="AB371" s="34">
        <f t="shared" si="139"/>
        <v>0</v>
      </c>
      <c r="AC371" s="12"/>
      <c r="AD371" s="12"/>
      <c r="AE371" s="12"/>
      <c r="AF371" s="12">
        <f t="shared" si="133"/>
        <v>0</v>
      </c>
    </row>
    <row r="372" spans="1:32" x14ac:dyDescent="0.25">
      <c r="A372" s="10">
        <v>19</v>
      </c>
      <c r="B372" s="32"/>
      <c r="D372" s="34"/>
      <c r="E372" s="34"/>
      <c r="F372" s="34">
        <f t="shared" si="138"/>
        <v>0</v>
      </c>
      <c r="G372" s="12"/>
      <c r="H372" s="12"/>
      <c r="I372" s="12"/>
      <c r="J372" s="12">
        <f t="shared" si="129"/>
        <v>0</v>
      </c>
      <c r="L372" s="10">
        <v>19</v>
      </c>
      <c r="M372" s="32">
        <v>45666</v>
      </c>
      <c r="N372" s="33">
        <f t="shared" si="135"/>
        <v>7324</v>
      </c>
      <c r="O372" s="34">
        <f>1878+596+34</f>
        <v>2508</v>
      </c>
      <c r="P372" s="34"/>
      <c r="Q372" s="34">
        <f t="shared" si="130"/>
        <v>2508</v>
      </c>
      <c r="R372" s="12"/>
      <c r="S372" s="12"/>
      <c r="T372" s="12"/>
      <c r="U372" s="12">
        <f t="shared" si="131"/>
        <v>2508</v>
      </c>
      <c r="W372" s="10">
        <v>19</v>
      </c>
      <c r="X372" s="32"/>
      <c r="Z372" s="34"/>
      <c r="AA372" s="34"/>
      <c r="AB372" s="34">
        <f t="shared" si="139"/>
        <v>0</v>
      </c>
      <c r="AC372" s="12"/>
      <c r="AD372" s="12"/>
      <c r="AE372" s="12"/>
      <c r="AF372" s="12">
        <f t="shared" si="133"/>
        <v>0</v>
      </c>
    </row>
    <row r="373" spans="1:32" x14ac:dyDescent="0.25">
      <c r="A373" s="10">
        <v>20</v>
      </c>
      <c r="B373" s="32"/>
      <c r="C373" s="33"/>
      <c r="D373" s="34"/>
      <c r="E373" s="34"/>
      <c r="F373" s="34">
        <f t="shared" si="138"/>
        <v>0</v>
      </c>
      <c r="G373" s="12"/>
      <c r="H373" s="12"/>
      <c r="I373" s="12"/>
      <c r="J373" s="12">
        <f t="shared" si="129"/>
        <v>0</v>
      </c>
      <c r="L373" s="10">
        <v>20</v>
      </c>
      <c r="M373" s="32">
        <v>45666</v>
      </c>
      <c r="N373" s="33">
        <f t="shared" si="135"/>
        <v>7325</v>
      </c>
      <c r="O373" s="34">
        <f>7512+614+102+650</f>
        <v>8878</v>
      </c>
      <c r="P373" s="34"/>
      <c r="Q373" s="34">
        <f t="shared" si="130"/>
        <v>8878</v>
      </c>
      <c r="R373" s="12"/>
      <c r="S373" s="12">
        <v>15</v>
      </c>
      <c r="T373" s="12"/>
      <c r="U373" s="12">
        <f t="shared" si="131"/>
        <v>8893</v>
      </c>
      <c r="W373" s="10">
        <v>20</v>
      </c>
      <c r="X373" s="32"/>
      <c r="Y373" s="33"/>
      <c r="Z373" s="34"/>
      <c r="AA373" s="34"/>
      <c r="AB373" s="34">
        <f t="shared" si="139"/>
        <v>0</v>
      </c>
      <c r="AC373" s="12"/>
      <c r="AD373" s="12"/>
      <c r="AE373" s="12"/>
      <c r="AF373" s="12">
        <f t="shared" si="133"/>
        <v>0</v>
      </c>
    </row>
    <row r="374" spans="1:32" x14ac:dyDescent="0.25">
      <c r="A374" s="10">
        <v>21</v>
      </c>
      <c r="B374" s="32"/>
      <c r="C374" s="33"/>
      <c r="D374" s="34"/>
      <c r="E374" s="34"/>
      <c r="F374" s="34">
        <f t="shared" si="138"/>
        <v>0</v>
      </c>
      <c r="G374" s="10"/>
      <c r="H374" s="10"/>
      <c r="I374" s="10"/>
      <c r="J374" s="12">
        <f t="shared" si="129"/>
        <v>0</v>
      </c>
      <c r="L374" s="10">
        <v>21</v>
      </c>
      <c r="M374" s="32">
        <v>45666</v>
      </c>
      <c r="N374" s="33">
        <f t="shared" si="135"/>
        <v>7326</v>
      </c>
      <c r="O374" s="50">
        <f>1252+1192+34+674</f>
        <v>3152</v>
      </c>
      <c r="P374" s="33"/>
      <c r="Q374" s="34">
        <f t="shared" si="130"/>
        <v>3152</v>
      </c>
      <c r="R374" s="10"/>
      <c r="S374" s="10"/>
      <c r="T374" s="10"/>
      <c r="U374" s="12">
        <f t="shared" si="131"/>
        <v>3152</v>
      </c>
      <c r="W374" s="10">
        <v>21</v>
      </c>
      <c r="X374" s="32"/>
      <c r="Z374" s="50"/>
      <c r="AA374" s="33"/>
      <c r="AB374" s="34">
        <f t="shared" si="139"/>
        <v>0</v>
      </c>
      <c r="AC374" s="10"/>
      <c r="AD374" s="10"/>
      <c r="AE374" s="10"/>
      <c r="AF374" s="12">
        <f t="shared" si="133"/>
        <v>0</v>
      </c>
    </row>
    <row r="375" spans="1:32" x14ac:dyDescent="0.25">
      <c r="A375" s="10">
        <v>22</v>
      </c>
      <c r="B375" s="32"/>
      <c r="C375" s="33"/>
      <c r="D375" s="34"/>
      <c r="E375" s="34"/>
      <c r="F375" s="34">
        <f t="shared" si="138"/>
        <v>0</v>
      </c>
      <c r="G375" s="10"/>
      <c r="H375" s="10"/>
      <c r="I375" s="10"/>
      <c r="J375" s="12">
        <f t="shared" si="129"/>
        <v>0</v>
      </c>
      <c r="L375" s="10">
        <v>22</v>
      </c>
      <c r="M375" s="32">
        <v>45666</v>
      </c>
      <c r="N375" s="33">
        <f t="shared" si="135"/>
        <v>7327</v>
      </c>
      <c r="O375" s="49">
        <f>1878+25.5</f>
        <v>1903.5</v>
      </c>
      <c r="P375" s="33"/>
      <c r="Q375" s="34">
        <f t="shared" si="130"/>
        <v>1903.5</v>
      </c>
      <c r="R375" s="10"/>
      <c r="S375" s="10"/>
      <c r="T375" s="10"/>
      <c r="U375" s="12">
        <f t="shared" si="131"/>
        <v>1903.5</v>
      </c>
      <c r="W375" s="10">
        <v>22</v>
      </c>
      <c r="X375" s="32"/>
      <c r="Y375" s="33"/>
      <c r="Z375" s="49"/>
      <c r="AA375" s="33"/>
      <c r="AB375" s="34">
        <f t="shared" si="139"/>
        <v>0</v>
      </c>
      <c r="AC375" s="10"/>
      <c r="AD375" s="10"/>
      <c r="AE375" s="10"/>
      <c r="AF375" s="12">
        <f t="shared" si="133"/>
        <v>0</v>
      </c>
    </row>
    <row r="376" spans="1:32" x14ac:dyDescent="0.25">
      <c r="A376" s="10">
        <v>23</v>
      </c>
      <c r="B376" s="32"/>
      <c r="C376" s="33"/>
      <c r="D376" s="34"/>
      <c r="E376" s="34"/>
      <c r="F376" s="34">
        <f t="shared" si="138"/>
        <v>0</v>
      </c>
      <c r="G376" s="10"/>
      <c r="H376" s="10"/>
      <c r="I376" s="12"/>
      <c r="J376" s="12">
        <f t="shared" si="129"/>
        <v>0</v>
      </c>
      <c r="L376" s="10">
        <v>23</v>
      </c>
      <c r="M376" s="32">
        <v>45666</v>
      </c>
      <c r="N376" s="33">
        <f t="shared" si="135"/>
        <v>7328</v>
      </c>
      <c r="O376" s="51">
        <f>832</f>
        <v>832</v>
      </c>
      <c r="Q376" s="34">
        <f t="shared" si="130"/>
        <v>832</v>
      </c>
      <c r="R376" s="10"/>
      <c r="S376" s="10"/>
      <c r="T376" s="10"/>
      <c r="U376" s="12">
        <f t="shared" si="131"/>
        <v>832</v>
      </c>
      <c r="W376" s="10">
        <v>23</v>
      </c>
      <c r="X376" s="32"/>
      <c r="Z376" s="51"/>
      <c r="AB376" s="34">
        <f t="shared" si="139"/>
        <v>0</v>
      </c>
      <c r="AC376" s="10"/>
      <c r="AD376" s="10"/>
      <c r="AE376" s="10"/>
      <c r="AF376" s="12">
        <f t="shared" si="133"/>
        <v>0</v>
      </c>
    </row>
    <row r="377" spans="1:32" x14ac:dyDescent="0.25">
      <c r="A377" s="10">
        <v>24</v>
      </c>
      <c r="B377" s="32"/>
      <c r="C377" s="33"/>
      <c r="D377" s="34"/>
      <c r="E377" s="34"/>
      <c r="F377" s="34">
        <f t="shared" si="138"/>
        <v>0</v>
      </c>
      <c r="G377" s="10"/>
      <c r="H377" s="10"/>
      <c r="I377" s="10"/>
      <c r="J377" s="12">
        <f t="shared" si="129"/>
        <v>0</v>
      </c>
      <c r="L377" s="10">
        <v>24</v>
      </c>
      <c r="M377" s="32">
        <v>45666</v>
      </c>
      <c r="N377" s="33">
        <f t="shared" si="135"/>
        <v>7329</v>
      </c>
      <c r="O377" s="51">
        <f>913+2980+1052+42.5+650+1175</f>
        <v>6812.5</v>
      </c>
      <c r="P377" s="33"/>
      <c r="Q377" s="34">
        <f t="shared" si="130"/>
        <v>6812.5</v>
      </c>
      <c r="R377" s="10"/>
      <c r="S377" s="10"/>
      <c r="T377" s="10"/>
      <c r="U377" s="12">
        <f t="shared" si="131"/>
        <v>6812.5</v>
      </c>
      <c r="W377" s="10">
        <v>24</v>
      </c>
      <c r="X377" s="32"/>
      <c r="Y377" s="34"/>
      <c r="Z377" s="51"/>
      <c r="AA377" s="33"/>
      <c r="AB377" s="34">
        <f t="shared" si="139"/>
        <v>0</v>
      </c>
      <c r="AC377" s="10"/>
      <c r="AD377" s="10"/>
      <c r="AE377" s="10"/>
      <c r="AF377" s="12">
        <f t="shared" si="133"/>
        <v>0</v>
      </c>
    </row>
    <row r="378" spans="1:32" x14ac:dyDescent="0.25">
      <c r="A378" s="10">
        <v>25</v>
      </c>
      <c r="B378" s="32"/>
      <c r="C378" s="33"/>
      <c r="D378" s="34"/>
      <c r="E378" s="34"/>
      <c r="F378" s="34">
        <f t="shared" si="138"/>
        <v>0</v>
      </c>
      <c r="G378" s="10"/>
      <c r="H378" s="10"/>
      <c r="I378" s="10"/>
      <c r="J378" s="12">
        <f t="shared" si="129"/>
        <v>0</v>
      </c>
      <c r="L378" s="10">
        <v>25</v>
      </c>
      <c r="M378" s="32">
        <v>45666</v>
      </c>
      <c r="N378" s="33">
        <f t="shared" si="135"/>
        <v>7330</v>
      </c>
      <c r="O378" s="51">
        <f>626*3+25.5</f>
        <v>1903.5</v>
      </c>
      <c r="P378" s="33"/>
      <c r="Q378" s="34">
        <f t="shared" si="130"/>
        <v>1903.5</v>
      </c>
      <c r="R378" s="10"/>
      <c r="S378" s="10"/>
      <c r="T378" s="10"/>
      <c r="U378" s="12">
        <f t="shared" si="131"/>
        <v>1903.5</v>
      </c>
      <c r="W378" s="10">
        <v>25</v>
      </c>
      <c r="X378" s="32"/>
      <c r="Y378" s="33"/>
      <c r="Z378" s="51"/>
      <c r="AA378" s="33"/>
      <c r="AB378" s="34">
        <f t="shared" si="139"/>
        <v>0</v>
      </c>
      <c r="AC378" s="10"/>
      <c r="AD378" s="10"/>
      <c r="AE378" s="10"/>
      <c r="AF378" s="12">
        <f t="shared" si="133"/>
        <v>0</v>
      </c>
    </row>
    <row r="379" spans="1:32" x14ac:dyDescent="0.25">
      <c r="A379" s="10">
        <v>26</v>
      </c>
      <c r="B379" s="32"/>
      <c r="C379" s="33"/>
      <c r="D379" s="34"/>
      <c r="E379" s="34"/>
      <c r="F379" s="34">
        <f t="shared" si="138"/>
        <v>0</v>
      </c>
      <c r="G379" s="10"/>
      <c r="H379" s="10"/>
      <c r="I379" s="10"/>
      <c r="J379" s="12">
        <f t="shared" si="129"/>
        <v>0</v>
      </c>
      <c r="L379" s="10">
        <v>26</v>
      </c>
      <c r="M379" s="32">
        <v>45666</v>
      </c>
      <c r="N379" s="33">
        <f t="shared" si="135"/>
        <v>7331</v>
      </c>
      <c r="O379" s="51">
        <f>626*2+17</f>
        <v>1269</v>
      </c>
      <c r="P379" s="33"/>
      <c r="Q379" s="34">
        <f t="shared" si="130"/>
        <v>1269</v>
      </c>
      <c r="R379" s="10"/>
      <c r="S379" s="10"/>
      <c r="T379" s="10"/>
      <c r="U379" s="12">
        <f t="shared" si="131"/>
        <v>1269</v>
      </c>
      <c r="W379" s="10">
        <v>26</v>
      </c>
      <c r="X379" s="32"/>
      <c r="Z379" s="51"/>
      <c r="AA379" s="33"/>
      <c r="AB379" s="34">
        <f t="shared" si="139"/>
        <v>0</v>
      </c>
      <c r="AC379" s="10"/>
      <c r="AD379" s="10"/>
      <c r="AE379" s="10"/>
      <c r="AF379" s="12">
        <f t="shared" si="133"/>
        <v>0</v>
      </c>
    </row>
    <row r="380" spans="1:32" x14ac:dyDescent="0.25">
      <c r="A380" s="10">
        <v>27</v>
      </c>
      <c r="B380" s="32"/>
      <c r="C380" s="33"/>
      <c r="D380" s="34"/>
      <c r="E380" s="34"/>
      <c r="F380" s="34">
        <f t="shared" si="138"/>
        <v>0</v>
      </c>
      <c r="G380" s="10"/>
      <c r="H380" s="10"/>
      <c r="I380" s="10"/>
      <c r="J380" s="12">
        <f t="shared" si="129"/>
        <v>0</v>
      </c>
      <c r="L380" s="10">
        <v>27</v>
      </c>
      <c r="M380" s="32">
        <v>45666</v>
      </c>
      <c r="N380" s="33">
        <f t="shared" si="135"/>
        <v>7332</v>
      </c>
      <c r="O380" s="51">
        <f>626*65+614*5+205</f>
        <v>43965</v>
      </c>
      <c r="P380" s="33"/>
      <c r="Q380" s="34">
        <f t="shared" si="130"/>
        <v>43965</v>
      </c>
      <c r="R380" s="10"/>
      <c r="S380" s="10"/>
      <c r="T380" s="10"/>
      <c r="U380" s="12">
        <f t="shared" si="131"/>
        <v>43965</v>
      </c>
      <c r="W380" s="10">
        <v>27</v>
      </c>
      <c r="X380" s="32"/>
      <c r="Y380" s="33"/>
      <c r="Z380" s="51"/>
      <c r="AA380" s="33"/>
      <c r="AB380" s="34">
        <f t="shared" si="139"/>
        <v>0</v>
      </c>
      <c r="AC380" s="10"/>
      <c r="AD380" s="10"/>
      <c r="AE380" s="10"/>
      <c r="AF380" s="12">
        <f t="shared" si="133"/>
        <v>0</v>
      </c>
    </row>
    <row r="381" spans="1:32" x14ac:dyDescent="0.25">
      <c r="A381" s="10">
        <v>28</v>
      </c>
      <c r="B381" s="32"/>
      <c r="C381" s="33"/>
      <c r="D381" s="34"/>
      <c r="E381" s="34"/>
      <c r="F381" s="34">
        <f t="shared" si="138"/>
        <v>0</v>
      </c>
      <c r="G381" s="10"/>
      <c r="H381" s="10"/>
      <c r="I381" s="10"/>
      <c r="J381" s="12">
        <f t="shared" si="129"/>
        <v>0</v>
      </c>
      <c r="L381" s="10">
        <v>28</v>
      </c>
      <c r="M381" s="32">
        <v>45666</v>
      </c>
      <c r="N381" s="70">
        <v>7332</v>
      </c>
      <c r="O381" s="51"/>
      <c r="P381" s="33"/>
      <c r="Q381" s="34">
        <f t="shared" si="130"/>
        <v>0</v>
      </c>
      <c r="R381" s="10"/>
      <c r="S381" s="10"/>
      <c r="T381" s="10">
        <f>-702+-42+-19.5</f>
        <v>-763.5</v>
      </c>
      <c r="U381" s="12">
        <f t="shared" si="131"/>
        <v>-763.5</v>
      </c>
      <c r="W381" s="10">
        <v>28</v>
      </c>
      <c r="X381" s="32"/>
      <c r="Y381" s="33"/>
      <c r="Z381" s="51"/>
      <c r="AA381" s="33"/>
      <c r="AB381" s="34">
        <f t="shared" si="139"/>
        <v>0</v>
      </c>
      <c r="AC381" s="10"/>
      <c r="AD381" s="10"/>
      <c r="AE381" s="10"/>
      <c r="AF381" s="12">
        <f t="shared" si="133"/>
        <v>0</v>
      </c>
    </row>
    <row r="382" spans="1:32" x14ac:dyDescent="0.25">
      <c r="A382" s="10">
        <v>29</v>
      </c>
      <c r="B382" s="32"/>
      <c r="C382" s="33"/>
      <c r="D382" s="34"/>
      <c r="E382" s="34"/>
      <c r="F382" s="34">
        <f t="shared" si="138"/>
        <v>0</v>
      </c>
      <c r="G382" s="10"/>
      <c r="H382" s="10"/>
      <c r="I382" s="10"/>
      <c r="J382" s="12">
        <f t="shared" si="129"/>
        <v>0</v>
      </c>
      <c r="L382" s="10">
        <v>29</v>
      </c>
      <c r="M382" s="32"/>
      <c r="N382" s="11" t="s">
        <v>28</v>
      </c>
      <c r="O382" s="51"/>
      <c r="P382" s="33"/>
      <c r="Q382" s="34">
        <f t="shared" si="130"/>
        <v>0</v>
      </c>
      <c r="R382" s="10"/>
      <c r="S382" s="10"/>
      <c r="T382" s="10"/>
      <c r="U382" s="12">
        <f t="shared" si="131"/>
        <v>0</v>
      </c>
      <c r="W382" s="10">
        <v>29</v>
      </c>
      <c r="X382" s="32"/>
      <c r="Y382" s="33"/>
      <c r="Z382" s="51"/>
      <c r="AA382" s="33"/>
      <c r="AB382" s="34">
        <f t="shared" si="139"/>
        <v>0</v>
      </c>
      <c r="AC382" s="10"/>
      <c r="AD382" s="10"/>
      <c r="AE382" s="10"/>
      <c r="AF382" s="12">
        <f t="shared" si="133"/>
        <v>0</v>
      </c>
    </row>
    <row r="383" spans="1:32" x14ac:dyDescent="0.25">
      <c r="A383" s="10">
        <v>30</v>
      </c>
      <c r="B383" s="32"/>
      <c r="C383" s="70"/>
      <c r="D383" s="34"/>
      <c r="E383" s="34"/>
      <c r="F383" s="34">
        <f t="shared" si="138"/>
        <v>0</v>
      </c>
      <c r="G383" s="10"/>
      <c r="H383" s="10"/>
      <c r="I383" s="10"/>
      <c r="J383" s="12">
        <f t="shared" si="129"/>
        <v>0</v>
      </c>
      <c r="L383" s="10">
        <v>30</v>
      </c>
      <c r="M383" s="32"/>
      <c r="N383" s="33"/>
      <c r="O383" s="51"/>
      <c r="P383" s="33"/>
      <c r="Q383" s="34">
        <f t="shared" si="130"/>
        <v>0</v>
      </c>
      <c r="R383" s="10"/>
      <c r="S383" s="10"/>
      <c r="T383" s="10"/>
      <c r="U383" s="12">
        <f t="shared" si="131"/>
        <v>0</v>
      </c>
      <c r="W383" s="10">
        <v>30</v>
      </c>
      <c r="X383" s="32"/>
      <c r="Y383" s="33"/>
      <c r="Z383" s="51"/>
      <c r="AA383" s="33"/>
      <c r="AB383" s="34">
        <f t="shared" si="139"/>
        <v>0</v>
      </c>
      <c r="AC383" s="10"/>
      <c r="AD383" s="10"/>
      <c r="AE383" s="10"/>
      <c r="AF383" s="12">
        <f t="shared" si="133"/>
        <v>0</v>
      </c>
    </row>
    <row r="384" spans="1:32" x14ac:dyDescent="0.25">
      <c r="A384" s="10">
        <v>31</v>
      </c>
      <c r="B384" s="32"/>
      <c r="C384" s="33"/>
      <c r="D384" s="34"/>
      <c r="E384" s="34"/>
      <c r="F384" s="34">
        <f t="shared" si="138"/>
        <v>0</v>
      </c>
      <c r="G384" s="10"/>
      <c r="H384" s="10"/>
      <c r="I384" s="10"/>
      <c r="J384" s="12">
        <f t="shared" si="129"/>
        <v>0</v>
      </c>
      <c r="L384" s="10">
        <v>31</v>
      </c>
      <c r="M384" s="32"/>
      <c r="N384" s="33"/>
      <c r="O384" s="51"/>
      <c r="P384" s="33"/>
      <c r="Q384" s="34">
        <f t="shared" si="130"/>
        <v>0</v>
      </c>
      <c r="R384" s="10"/>
      <c r="S384" s="10"/>
      <c r="T384" s="10"/>
      <c r="U384" s="12">
        <f t="shared" si="131"/>
        <v>0</v>
      </c>
      <c r="W384" s="10">
        <v>31</v>
      </c>
      <c r="X384" s="32"/>
      <c r="Y384" s="33"/>
      <c r="Z384" s="51"/>
      <c r="AA384" s="33"/>
      <c r="AB384" s="34">
        <f t="shared" si="139"/>
        <v>0</v>
      </c>
      <c r="AC384" s="10"/>
      <c r="AD384" s="10"/>
      <c r="AE384" s="10"/>
      <c r="AF384" s="12">
        <f t="shared" si="133"/>
        <v>0</v>
      </c>
    </row>
    <row r="385" spans="1:32" x14ac:dyDescent="0.25">
      <c r="A385" s="10">
        <v>32</v>
      </c>
      <c r="B385" s="32"/>
      <c r="C385" s="33"/>
      <c r="D385" s="34"/>
      <c r="E385" s="34"/>
      <c r="F385" s="34">
        <f t="shared" si="138"/>
        <v>0</v>
      </c>
      <c r="G385" s="10"/>
      <c r="H385" s="10"/>
      <c r="I385" s="10"/>
      <c r="J385" s="12">
        <f t="shared" si="129"/>
        <v>0</v>
      </c>
      <c r="L385" s="10">
        <v>32</v>
      </c>
      <c r="M385" s="32"/>
      <c r="N385" s="33"/>
      <c r="O385" s="51"/>
      <c r="P385" s="33"/>
      <c r="Q385" s="34">
        <f t="shared" si="130"/>
        <v>0</v>
      </c>
      <c r="R385" s="10"/>
      <c r="S385" s="10"/>
      <c r="T385" s="10"/>
      <c r="U385" s="12">
        <f t="shared" si="131"/>
        <v>0</v>
      </c>
      <c r="W385" s="10">
        <v>32</v>
      </c>
      <c r="X385" s="32"/>
      <c r="Y385" s="33"/>
      <c r="Z385" s="51"/>
      <c r="AA385" s="33"/>
      <c r="AB385" s="34">
        <f t="shared" si="139"/>
        <v>0</v>
      </c>
      <c r="AC385" s="10"/>
      <c r="AD385" s="10"/>
      <c r="AE385" s="10"/>
      <c r="AF385" s="12">
        <f t="shared" si="133"/>
        <v>0</v>
      </c>
    </row>
    <row r="386" spans="1:32" x14ac:dyDescent="0.25">
      <c r="A386" s="10">
        <v>33</v>
      </c>
      <c r="B386" s="32"/>
      <c r="C386" s="33"/>
      <c r="D386" s="34"/>
      <c r="E386" s="34"/>
      <c r="F386" s="34">
        <f t="shared" si="138"/>
        <v>0</v>
      </c>
      <c r="G386" s="10"/>
      <c r="H386" s="10"/>
      <c r="I386" s="10"/>
      <c r="J386" s="12">
        <f t="shared" si="129"/>
        <v>0</v>
      </c>
      <c r="L386" s="10">
        <v>33</v>
      </c>
      <c r="M386" s="32"/>
      <c r="N386" s="33"/>
      <c r="O386" s="51"/>
      <c r="P386" s="33"/>
      <c r="Q386" s="34">
        <f t="shared" si="130"/>
        <v>0</v>
      </c>
      <c r="R386" s="10"/>
      <c r="S386" s="10"/>
      <c r="T386" s="10"/>
      <c r="U386" s="12">
        <f t="shared" si="131"/>
        <v>0</v>
      </c>
      <c r="W386" s="10">
        <v>33</v>
      </c>
      <c r="X386" s="32"/>
      <c r="Y386" s="33"/>
      <c r="Z386" s="51"/>
      <c r="AA386" s="33"/>
      <c r="AB386" s="34">
        <f t="shared" si="139"/>
        <v>0</v>
      </c>
      <c r="AC386" s="10"/>
      <c r="AD386" s="10"/>
      <c r="AE386" s="10"/>
      <c r="AF386" s="12">
        <f t="shared" si="133"/>
        <v>0</v>
      </c>
    </row>
    <row r="387" spans="1:32" x14ac:dyDescent="0.25">
      <c r="A387" s="10"/>
      <c r="B387" s="32"/>
      <c r="C387" s="33"/>
      <c r="D387" s="34"/>
      <c r="E387" s="34"/>
      <c r="F387" s="34">
        <f t="shared" si="138"/>
        <v>0</v>
      </c>
      <c r="G387" s="10"/>
      <c r="H387" s="10"/>
      <c r="I387" s="10"/>
      <c r="J387" s="12">
        <f t="shared" si="129"/>
        <v>0</v>
      </c>
      <c r="L387" s="10">
        <v>34</v>
      </c>
      <c r="M387" s="32"/>
      <c r="N387" s="33"/>
      <c r="O387" s="51"/>
      <c r="P387" s="33"/>
      <c r="Q387" s="34">
        <f t="shared" ref="Q387:Q392" si="140">SUM(O387:P387)</f>
        <v>0</v>
      </c>
      <c r="R387" s="10"/>
      <c r="S387" s="10"/>
      <c r="T387" s="10"/>
      <c r="U387" s="12">
        <f t="shared" si="131"/>
        <v>0</v>
      </c>
      <c r="W387" s="10">
        <v>34</v>
      </c>
      <c r="X387" s="32"/>
      <c r="Y387" s="33"/>
      <c r="Z387" s="51"/>
      <c r="AA387" s="33"/>
      <c r="AB387" s="34">
        <f t="shared" ref="AB387:AB392" si="141">SUM(Z387:AA387)</f>
        <v>0</v>
      </c>
      <c r="AC387" s="10"/>
      <c r="AD387" s="10"/>
      <c r="AE387" s="10"/>
      <c r="AF387" s="12">
        <f t="shared" si="133"/>
        <v>0</v>
      </c>
    </row>
    <row r="388" spans="1:32" x14ac:dyDescent="0.25">
      <c r="A388" s="10"/>
      <c r="B388" s="32"/>
      <c r="C388" s="33"/>
      <c r="D388" s="34"/>
      <c r="E388" s="34"/>
      <c r="F388" s="34"/>
      <c r="G388" s="10"/>
      <c r="H388" s="10"/>
      <c r="I388" s="10"/>
      <c r="J388" s="12"/>
      <c r="L388" s="10">
        <v>35</v>
      </c>
      <c r="M388" s="32"/>
      <c r="O388" s="51"/>
      <c r="P388" s="33"/>
      <c r="Q388" s="34">
        <f t="shared" si="140"/>
        <v>0</v>
      </c>
      <c r="R388" s="10"/>
      <c r="S388" s="10"/>
      <c r="T388" s="10"/>
      <c r="U388" s="12">
        <f t="shared" si="131"/>
        <v>0</v>
      </c>
      <c r="W388" s="10">
        <v>35</v>
      </c>
      <c r="X388" s="32"/>
      <c r="Y388" s="33"/>
      <c r="Z388" s="51"/>
      <c r="AA388" s="33"/>
      <c r="AB388" s="34">
        <f t="shared" si="141"/>
        <v>0</v>
      </c>
      <c r="AC388" s="10"/>
      <c r="AD388" s="10"/>
      <c r="AE388" s="10"/>
      <c r="AF388" s="12">
        <f t="shared" si="133"/>
        <v>0</v>
      </c>
    </row>
    <row r="389" spans="1:32" x14ac:dyDescent="0.25">
      <c r="A389" s="10"/>
      <c r="B389" s="32"/>
      <c r="C389" s="70"/>
      <c r="D389" s="34"/>
      <c r="E389" s="34"/>
      <c r="F389" s="34"/>
      <c r="G389" s="10"/>
      <c r="H389" s="10"/>
      <c r="I389" s="10"/>
      <c r="J389" s="12"/>
      <c r="L389" s="10">
        <v>36</v>
      </c>
      <c r="M389" s="32"/>
      <c r="N389" s="33"/>
      <c r="O389" s="51"/>
      <c r="P389" s="33"/>
      <c r="Q389" s="34">
        <f t="shared" si="140"/>
        <v>0</v>
      </c>
      <c r="R389" s="10"/>
      <c r="S389" s="10"/>
      <c r="T389" s="10"/>
      <c r="U389" s="12">
        <f t="shared" si="131"/>
        <v>0</v>
      </c>
      <c r="W389" s="10">
        <v>36</v>
      </c>
      <c r="X389" s="32"/>
      <c r="Y389" s="33"/>
      <c r="Z389" s="51"/>
      <c r="AA389" s="33"/>
      <c r="AB389" s="34">
        <f t="shared" si="141"/>
        <v>0</v>
      </c>
      <c r="AC389" s="10"/>
      <c r="AD389" s="10"/>
      <c r="AE389" s="10"/>
      <c r="AF389" s="12">
        <f t="shared" si="133"/>
        <v>0</v>
      </c>
    </row>
    <row r="390" spans="1:32" x14ac:dyDescent="0.25">
      <c r="A390" s="10"/>
      <c r="B390" s="32"/>
      <c r="C390" s="33"/>
      <c r="D390" s="34"/>
      <c r="E390" s="34"/>
      <c r="F390" s="34"/>
      <c r="G390" s="10"/>
      <c r="H390" s="10"/>
      <c r="I390" s="10"/>
      <c r="J390" s="12"/>
      <c r="L390" s="10">
        <v>37</v>
      </c>
      <c r="M390" s="32"/>
      <c r="N390" s="33"/>
      <c r="O390" s="51"/>
      <c r="P390" s="33"/>
      <c r="Q390" s="34">
        <f t="shared" si="140"/>
        <v>0</v>
      </c>
      <c r="R390" s="10"/>
      <c r="S390" s="10"/>
      <c r="T390" s="10"/>
      <c r="U390" s="12">
        <f t="shared" si="131"/>
        <v>0</v>
      </c>
      <c r="W390" s="10">
        <v>37</v>
      </c>
      <c r="X390" s="32"/>
      <c r="Y390" s="33"/>
      <c r="Z390" s="51"/>
      <c r="AA390" s="33"/>
      <c r="AB390" s="34">
        <f t="shared" si="141"/>
        <v>0</v>
      </c>
      <c r="AC390" s="10"/>
      <c r="AD390" s="10"/>
      <c r="AE390" s="10"/>
      <c r="AF390" s="12">
        <f t="shared" si="133"/>
        <v>0</v>
      </c>
    </row>
    <row r="391" spans="1:32" x14ac:dyDescent="0.25">
      <c r="A391" s="10"/>
      <c r="B391" s="32"/>
      <c r="C391" s="33"/>
      <c r="D391" s="34"/>
      <c r="E391" s="34"/>
      <c r="F391" s="34"/>
      <c r="G391" s="10"/>
      <c r="H391" s="10"/>
      <c r="I391" s="10"/>
      <c r="J391" s="12"/>
      <c r="L391" s="10">
        <v>38</v>
      </c>
      <c r="M391" s="32"/>
      <c r="N391" s="33"/>
      <c r="O391" s="51"/>
      <c r="P391" s="33"/>
      <c r="Q391" s="34">
        <f t="shared" si="140"/>
        <v>0</v>
      </c>
      <c r="R391" s="10"/>
      <c r="S391" s="10"/>
      <c r="T391" s="10"/>
      <c r="U391" s="12">
        <f t="shared" si="131"/>
        <v>0</v>
      </c>
      <c r="W391" s="10">
        <v>38</v>
      </c>
      <c r="X391" s="32"/>
      <c r="Y391" s="33"/>
      <c r="Z391" s="51"/>
      <c r="AA391" s="33"/>
      <c r="AB391" s="34">
        <f t="shared" si="141"/>
        <v>0</v>
      </c>
      <c r="AC391" s="10"/>
      <c r="AD391" s="10"/>
      <c r="AE391" s="10"/>
      <c r="AF391" s="12">
        <f t="shared" si="133"/>
        <v>0</v>
      </c>
    </row>
    <row r="392" spans="1:32" x14ac:dyDescent="0.25">
      <c r="A392" s="10"/>
      <c r="B392" s="32"/>
      <c r="C392" s="33"/>
      <c r="D392" s="34"/>
      <c r="E392" s="34"/>
      <c r="F392" s="34"/>
      <c r="G392" s="10"/>
      <c r="H392" s="10"/>
      <c r="I392" s="10"/>
      <c r="J392" s="12"/>
      <c r="L392" s="10">
        <v>39</v>
      </c>
      <c r="M392" s="32"/>
      <c r="N392" s="33"/>
      <c r="O392" s="51"/>
      <c r="P392" s="33"/>
      <c r="Q392" s="34">
        <f t="shared" si="140"/>
        <v>0</v>
      </c>
      <c r="R392" s="10"/>
      <c r="S392" s="10"/>
      <c r="T392" s="10"/>
      <c r="U392" s="12">
        <f t="shared" si="131"/>
        <v>0</v>
      </c>
      <c r="W392" s="10">
        <v>39</v>
      </c>
      <c r="X392" s="32"/>
      <c r="Y392" s="33"/>
      <c r="Z392" s="51"/>
      <c r="AA392" s="33"/>
      <c r="AB392" s="34">
        <f t="shared" si="141"/>
        <v>0</v>
      </c>
      <c r="AC392" s="10"/>
      <c r="AD392" s="10"/>
      <c r="AE392" s="10"/>
      <c r="AF392" s="12">
        <f t="shared" si="133"/>
        <v>0</v>
      </c>
    </row>
    <row r="393" spans="1:32" x14ac:dyDescent="0.25">
      <c r="A393" s="10"/>
      <c r="B393" s="32"/>
      <c r="C393" s="70"/>
      <c r="D393" s="34"/>
      <c r="E393" s="34"/>
      <c r="F393" s="34"/>
      <c r="G393" s="10"/>
      <c r="H393" s="10"/>
      <c r="I393" s="10"/>
      <c r="J393" s="12"/>
      <c r="L393" s="10"/>
      <c r="M393" s="32"/>
      <c r="O393" s="51"/>
      <c r="P393" s="33"/>
      <c r="Q393" s="34"/>
      <c r="R393" s="10"/>
      <c r="S393" s="10"/>
      <c r="T393" s="10"/>
      <c r="U393" s="12">
        <f t="shared" si="131"/>
        <v>0</v>
      </c>
      <c r="W393" s="10"/>
      <c r="X393" s="32"/>
      <c r="Z393" s="51"/>
      <c r="AA393" s="33"/>
      <c r="AB393" s="34"/>
      <c r="AC393" s="10"/>
      <c r="AD393" s="10"/>
      <c r="AE393" s="10"/>
      <c r="AF393" s="12">
        <f t="shared" si="133"/>
        <v>0</v>
      </c>
    </row>
    <row r="394" spans="1:32" x14ac:dyDescent="0.25">
      <c r="A394" s="10"/>
      <c r="B394" s="32"/>
      <c r="C394" s="33"/>
      <c r="D394" s="34"/>
      <c r="E394" s="34"/>
      <c r="F394" s="34">
        <f t="shared" ref="F394" si="142">SUM(D394:E394)</f>
        <v>0</v>
      </c>
      <c r="G394" s="10"/>
      <c r="H394" s="10"/>
      <c r="I394" s="10"/>
      <c r="J394" s="12">
        <f t="shared" ref="J394" si="143">SUM(F394:I394)</f>
        <v>0</v>
      </c>
      <c r="L394" s="10"/>
      <c r="M394" s="32"/>
      <c r="N394" s="33"/>
      <c r="O394" s="51"/>
      <c r="P394" s="33"/>
      <c r="Q394" s="34">
        <f t="shared" ref="Q394" si="144">SUM(O394:P394)</f>
        <v>0</v>
      </c>
      <c r="R394" s="10"/>
      <c r="S394" s="10"/>
      <c r="T394" s="10"/>
      <c r="U394" s="12">
        <f t="shared" si="131"/>
        <v>0</v>
      </c>
      <c r="W394" s="10"/>
      <c r="X394" s="32"/>
      <c r="Y394" s="33"/>
      <c r="Z394" s="51"/>
      <c r="AA394" s="33"/>
      <c r="AB394" s="34">
        <f t="shared" ref="AB394" si="145">SUM(Z394:AA394)</f>
        <v>0</v>
      </c>
      <c r="AC394" s="10"/>
      <c r="AD394" s="10"/>
      <c r="AE394" s="10"/>
      <c r="AF394" s="12">
        <f t="shared" si="133"/>
        <v>0</v>
      </c>
    </row>
    <row r="395" spans="1:32" x14ac:dyDescent="0.25">
      <c r="A395" s="10"/>
      <c r="B395" s="32"/>
      <c r="C395" s="32"/>
      <c r="D395" s="34"/>
      <c r="E395" s="34"/>
      <c r="F395" s="34"/>
      <c r="G395" s="10"/>
      <c r="H395" s="10"/>
      <c r="I395" s="10"/>
      <c r="J395" s="12"/>
      <c r="L395" s="10"/>
      <c r="M395" s="33"/>
      <c r="N395" s="33"/>
      <c r="O395" s="33"/>
      <c r="P395" s="33"/>
      <c r="Q395" s="33"/>
      <c r="R395" s="10"/>
      <c r="S395" s="10"/>
      <c r="T395" s="10"/>
      <c r="U395" s="12">
        <f t="shared" si="131"/>
        <v>0</v>
      </c>
      <c r="W395" s="10"/>
      <c r="X395" s="33"/>
      <c r="Y395" s="33"/>
      <c r="Z395" s="33"/>
      <c r="AA395" s="33"/>
      <c r="AB395" s="33"/>
      <c r="AC395" s="10"/>
      <c r="AD395" s="10"/>
      <c r="AE395" s="10"/>
      <c r="AF395" s="12">
        <f t="shared" si="133"/>
        <v>0</v>
      </c>
    </row>
    <row r="396" spans="1:32" x14ac:dyDescent="0.25">
      <c r="B396" s="70"/>
      <c r="C396" s="70"/>
      <c r="D396" s="38"/>
      <c r="E396" s="38"/>
      <c r="F396" s="38"/>
      <c r="G396" s="39"/>
      <c r="H396" s="39"/>
      <c r="I396" s="39"/>
      <c r="J396" s="39"/>
      <c r="M396" s="70"/>
      <c r="N396" s="70"/>
      <c r="O396" s="38"/>
      <c r="P396" s="38"/>
      <c r="Q396" s="38"/>
      <c r="R396" s="39"/>
      <c r="S396" s="39"/>
      <c r="T396" s="39"/>
      <c r="U396" s="39"/>
      <c r="X396" s="70"/>
      <c r="Y396" s="70"/>
      <c r="Z396" s="38"/>
      <c r="AA396" s="38"/>
      <c r="AB396" s="38"/>
      <c r="AC396" s="39"/>
      <c r="AD396" s="39"/>
      <c r="AE396" s="39"/>
      <c r="AF396" s="39"/>
    </row>
    <row r="397" spans="1:32" x14ac:dyDescent="0.25">
      <c r="B397" s="70"/>
      <c r="C397" s="70"/>
      <c r="D397" s="40">
        <f>SUM(D354:D396)</f>
        <v>174346.5</v>
      </c>
      <c r="E397" s="40">
        <f t="shared" ref="E397" si="146">SUM(E354:E394)</f>
        <v>-1980</v>
      </c>
      <c r="F397" s="40">
        <f>SUM(F354:F396)</f>
        <v>172366.5</v>
      </c>
      <c r="G397" s="4"/>
      <c r="H397" s="41">
        <f>SUM(H354:H396)</f>
        <v>737.5</v>
      </c>
      <c r="I397" s="41">
        <f>SUM(I354:I396)</f>
        <v>-144</v>
      </c>
      <c r="J397" s="42">
        <f>SUM(J354:J396)</f>
        <v>172960</v>
      </c>
      <c r="M397" s="70"/>
      <c r="N397" s="70"/>
      <c r="O397" s="40">
        <f>SUM(O354:O396)</f>
        <v>138937.5</v>
      </c>
      <c r="P397" s="40">
        <f>SUM(P354:P378)</f>
        <v>-3177</v>
      </c>
      <c r="Q397" s="40">
        <f>SUM(Q354:Q396)</f>
        <v>135760.5</v>
      </c>
      <c r="R397" s="4"/>
      <c r="S397" s="43">
        <f>SUM(S354:S396)</f>
        <v>57.75</v>
      </c>
      <c r="T397" s="43">
        <f>SUM(T354:T378)</f>
        <v>-6300</v>
      </c>
      <c r="U397" s="44">
        <f>SUM(U354:U396)</f>
        <v>128754.75</v>
      </c>
      <c r="X397" s="70"/>
      <c r="Y397" s="70"/>
      <c r="Z397" s="40">
        <f>SUM(Z354:Z396)</f>
        <v>212847.5</v>
      </c>
      <c r="AA397" s="40">
        <f>SUM(AA354:AA378)</f>
        <v>-2052</v>
      </c>
      <c r="AB397" s="40">
        <f>SUM(AB354:AB396)</f>
        <v>210795.5</v>
      </c>
      <c r="AC397" s="4"/>
      <c r="AD397" s="43">
        <f>SUM(AD354:AD396)</f>
        <v>1177.5</v>
      </c>
      <c r="AE397" s="43">
        <f>SUM(AE354:AE378)</f>
        <v>-2886</v>
      </c>
      <c r="AF397" s="44">
        <f>SUM(AF354:AF396)</f>
        <v>209087</v>
      </c>
    </row>
    <row r="398" spans="1:32" x14ac:dyDescent="0.25">
      <c r="B398" s="70"/>
      <c r="C398" s="70"/>
      <c r="D398" s="70"/>
      <c r="E398" s="70"/>
      <c r="F398" s="70"/>
      <c r="M398" s="70"/>
      <c r="N398" s="70"/>
      <c r="O398" s="45"/>
      <c r="P398" s="70"/>
      <c r="Q398" s="70"/>
      <c r="X398" s="70"/>
      <c r="Y398" s="70"/>
      <c r="Z398" s="45"/>
      <c r="AA398" s="70"/>
      <c r="AB398" s="70"/>
    </row>
    <row r="399" spans="1:32" x14ac:dyDescent="0.25">
      <c r="B399" s="70"/>
      <c r="C399" s="70"/>
      <c r="D399" s="70"/>
      <c r="E399" s="70"/>
      <c r="F399" s="70"/>
      <c r="M399" s="70"/>
      <c r="N399" s="70"/>
      <c r="O399" s="70"/>
      <c r="P399" s="70"/>
      <c r="Q399" s="70"/>
      <c r="X399" s="70"/>
      <c r="Y399" s="70"/>
      <c r="Z399" s="70"/>
      <c r="AA399" s="70"/>
      <c r="AB399" s="70"/>
    </row>
    <row r="400" spans="1:32" x14ac:dyDescent="0.25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</row>
    <row r="401" spans="1:32" x14ac:dyDescent="0.25">
      <c r="A401" t="s">
        <v>0</v>
      </c>
      <c r="B401" s="70"/>
      <c r="C401" s="70"/>
      <c r="D401" s="70"/>
      <c r="E401" s="70"/>
      <c r="F401" s="70"/>
      <c r="L401" t="s">
        <v>0</v>
      </c>
      <c r="M401" s="70"/>
      <c r="N401" s="70"/>
      <c r="O401" s="70"/>
      <c r="P401" s="70"/>
      <c r="Q401" s="70"/>
      <c r="W401" t="s">
        <v>0</v>
      </c>
      <c r="X401" s="70"/>
      <c r="Y401" s="70"/>
      <c r="Z401" s="70"/>
      <c r="AA401" s="70"/>
      <c r="AB401" s="70"/>
    </row>
    <row r="402" spans="1:32" x14ac:dyDescent="0.25">
      <c r="A402" t="s">
        <v>30</v>
      </c>
      <c r="B402" s="70"/>
      <c r="C402" s="70"/>
      <c r="D402" s="70"/>
      <c r="E402" s="70"/>
      <c r="F402" s="70"/>
      <c r="L402" t="s">
        <v>30</v>
      </c>
      <c r="M402" s="70"/>
      <c r="N402" s="70"/>
      <c r="O402" s="70"/>
      <c r="P402" s="70"/>
      <c r="Q402" s="70"/>
      <c r="W402" t="s">
        <v>30</v>
      </c>
      <c r="X402" s="70"/>
      <c r="Y402" s="70"/>
      <c r="Z402" s="70"/>
      <c r="AA402" s="70"/>
      <c r="AB402" s="70"/>
    </row>
    <row r="403" spans="1:32" x14ac:dyDescent="0.25">
      <c r="B403" s="70"/>
      <c r="C403" s="70"/>
      <c r="D403" s="70"/>
      <c r="E403" s="70"/>
      <c r="F403" s="70"/>
      <c r="M403" s="70"/>
      <c r="N403" s="70"/>
      <c r="O403" s="70"/>
      <c r="P403" s="70"/>
      <c r="Q403" s="70"/>
      <c r="X403" s="70"/>
      <c r="Y403" s="70"/>
      <c r="Z403" s="70"/>
      <c r="AA403" s="70"/>
      <c r="AB403" s="70"/>
    </row>
    <row r="404" spans="1:32" x14ac:dyDescent="0.25">
      <c r="A404" s="4" t="s">
        <v>15</v>
      </c>
      <c r="B404" s="70"/>
      <c r="C404" s="70"/>
      <c r="D404" s="70"/>
      <c r="E404" s="70"/>
      <c r="F404" s="70"/>
      <c r="L404" s="4" t="s">
        <v>15</v>
      </c>
      <c r="M404" s="70"/>
      <c r="N404" s="70"/>
      <c r="O404" s="70"/>
      <c r="P404" s="70"/>
      <c r="Q404" s="70"/>
      <c r="W404" s="4" t="s">
        <v>15</v>
      </c>
      <c r="X404" s="70"/>
      <c r="Y404" s="70"/>
      <c r="Z404" s="70"/>
      <c r="AA404" s="70"/>
      <c r="AB404" s="70"/>
    </row>
    <row r="405" spans="1:32" x14ac:dyDescent="0.25">
      <c r="B405" s="70"/>
      <c r="C405" s="70"/>
      <c r="D405" s="70"/>
      <c r="E405" s="70"/>
      <c r="F405" s="70"/>
      <c r="M405" s="70"/>
      <c r="N405" s="70"/>
      <c r="O405" s="70"/>
      <c r="P405" s="70"/>
      <c r="Q405" s="70"/>
      <c r="X405" s="70"/>
      <c r="Y405" s="70"/>
      <c r="Z405" s="70"/>
      <c r="AA405" s="70"/>
      <c r="AB405" s="70"/>
    </row>
    <row r="406" spans="1:32" ht="15.75" x14ac:dyDescent="0.25">
      <c r="A406" t="s">
        <v>38</v>
      </c>
      <c r="B406" s="70"/>
      <c r="C406" s="70"/>
      <c r="D406" s="70"/>
      <c r="E406" s="70"/>
      <c r="F406" s="70"/>
      <c r="H406" s="70" t="s">
        <v>16</v>
      </c>
      <c r="I406" s="19">
        <v>1</v>
      </c>
      <c r="L406" t="s">
        <v>38</v>
      </c>
      <c r="M406" s="70"/>
      <c r="N406" s="70"/>
      <c r="O406" s="70"/>
      <c r="P406" s="70"/>
      <c r="Q406" s="70"/>
      <c r="S406" s="70" t="s">
        <v>16</v>
      </c>
      <c r="T406" s="19">
        <v>2</v>
      </c>
      <c r="W406" t="s">
        <v>38</v>
      </c>
      <c r="X406" s="70"/>
      <c r="Y406" s="70"/>
      <c r="Z406" s="70"/>
      <c r="AA406" s="70"/>
      <c r="AB406" s="70"/>
      <c r="AD406" s="70" t="s">
        <v>16</v>
      </c>
      <c r="AE406" s="20">
        <v>3</v>
      </c>
    </row>
    <row r="407" spans="1:32" x14ac:dyDescent="0.25">
      <c r="A407" s="21" t="s">
        <v>61</v>
      </c>
      <c r="B407" s="20"/>
      <c r="C407" s="70"/>
      <c r="D407" s="70"/>
      <c r="E407" s="70"/>
      <c r="F407" s="70"/>
      <c r="H407" s="22" t="s">
        <v>17</v>
      </c>
      <c r="I407" s="23" t="s">
        <v>46</v>
      </c>
      <c r="J407" s="24"/>
      <c r="L407" s="21" t="s">
        <v>61</v>
      </c>
      <c r="M407" s="20"/>
      <c r="N407" s="70"/>
      <c r="O407" s="70"/>
      <c r="P407" s="70"/>
      <c r="Q407" s="70"/>
      <c r="S407" s="22" t="s">
        <v>17</v>
      </c>
      <c r="T407" s="23" t="s">
        <v>34</v>
      </c>
      <c r="U407" s="24"/>
      <c r="W407" s="21" t="s">
        <v>61</v>
      </c>
      <c r="X407" s="20"/>
      <c r="Y407" s="70"/>
      <c r="Z407" s="70"/>
      <c r="AA407" s="70"/>
      <c r="AB407" s="70"/>
      <c r="AD407" s="22" t="s">
        <v>17</v>
      </c>
      <c r="AE407" s="23" t="s">
        <v>47</v>
      </c>
      <c r="AF407" s="24"/>
    </row>
    <row r="408" spans="1:32" x14ac:dyDescent="0.25">
      <c r="B408" s="70"/>
      <c r="C408" s="70"/>
      <c r="D408" s="70"/>
      <c r="E408" s="70"/>
      <c r="F408" s="70"/>
      <c r="M408" s="70"/>
      <c r="N408" s="70"/>
      <c r="O408" s="70"/>
      <c r="P408" s="70"/>
      <c r="Q408" s="70"/>
      <c r="X408" s="70"/>
      <c r="Y408" s="70"/>
      <c r="Z408" s="70"/>
      <c r="AA408" s="70"/>
      <c r="AB408" s="70"/>
    </row>
    <row r="409" spans="1:32" x14ac:dyDescent="0.25">
      <c r="B409" s="25"/>
      <c r="C409" s="26"/>
      <c r="D409" s="79" t="s">
        <v>18</v>
      </c>
      <c r="E409" s="79"/>
      <c r="F409" s="27"/>
      <c r="H409" s="77" t="s">
        <v>19</v>
      </c>
      <c r="I409" s="78"/>
      <c r="J409" s="75" t="s">
        <v>20</v>
      </c>
      <c r="M409" s="25"/>
      <c r="N409" s="26"/>
      <c r="O409" s="79" t="s">
        <v>18</v>
      </c>
      <c r="P409" s="79"/>
      <c r="Q409" s="27"/>
      <c r="S409" s="77" t="s">
        <v>19</v>
      </c>
      <c r="T409" s="78"/>
      <c r="U409" s="75" t="s">
        <v>20</v>
      </c>
      <c r="X409" s="25"/>
      <c r="Y409" s="26"/>
      <c r="Z409" s="79" t="s">
        <v>18</v>
      </c>
      <c r="AA409" s="79"/>
      <c r="AB409" s="27"/>
      <c r="AD409" s="77" t="s">
        <v>19</v>
      </c>
      <c r="AE409" s="78"/>
      <c r="AF409" s="75" t="s">
        <v>20</v>
      </c>
    </row>
    <row r="410" spans="1:32" ht="30" x14ac:dyDescent="0.25">
      <c r="B410" s="28" t="s">
        <v>21</v>
      </c>
      <c r="C410" s="28" t="s">
        <v>22</v>
      </c>
      <c r="D410" s="29" t="s">
        <v>23</v>
      </c>
      <c r="E410" s="30" t="s">
        <v>24</v>
      </c>
      <c r="F410" s="30" t="s">
        <v>25</v>
      </c>
      <c r="H410" s="31" t="s">
        <v>26</v>
      </c>
      <c r="I410" s="31" t="s">
        <v>27</v>
      </c>
      <c r="J410" s="76"/>
      <c r="M410" s="28" t="s">
        <v>21</v>
      </c>
      <c r="N410" s="28" t="s">
        <v>22</v>
      </c>
      <c r="O410" s="29" t="s">
        <v>23</v>
      </c>
      <c r="P410" s="30" t="s">
        <v>24</v>
      </c>
      <c r="Q410" s="30" t="s">
        <v>25</v>
      </c>
      <c r="S410" s="31" t="s">
        <v>26</v>
      </c>
      <c r="T410" s="31" t="s">
        <v>27</v>
      </c>
      <c r="U410" s="76"/>
      <c r="X410" s="28" t="s">
        <v>21</v>
      </c>
      <c r="Y410" s="28" t="s">
        <v>22</v>
      </c>
      <c r="Z410" s="29" t="s">
        <v>23</v>
      </c>
      <c r="AA410" s="30" t="s">
        <v>24</v>
      </c>
      <c r="AB410" s="30" t="s">
        <v>25</v>
      </c>
      <c r="AD410" s="31" t="s">
        <v>26</v>
      </c>
      <c r="AE410" s="31" t="s">
        <v>27</v>
      </c>
      <c r="AF410" s="76"/>
    </row>
    <row r="411" spans="1:32" x14ac:dyDescent="0.25">
      <c r="A411" s="10">
        <v>1</v>
      </c>
      <c r="B411" s="32">
        <v>45667</v>
      </c>
      <c r="C411" s="33">
        <v>7296</v>
      </c>
      <c r="D411" s="34">
        <f>626*200+205*9</f>
        <v>127045</v>
      </c>
      <c r="E411" s="34">
        <v>-1881</v>
      </c>
      <c r="F411" s="34">
        <f t="shared" ref="F411:F416" si="147">SUM(D411:E411)</f>
        <v>125164</v>
      </c>
      <c r="G411" s="12"/>
      <c r="H411" s="12">
        <f>9657+702</f>
        <v>10359</v>
      </c>
      <c r="I411" s="12">
        <f>-360+-168+-84+-15</f>
        <v>-627</v>
      </c>
      <c r="J411" s="12">
        <f t="shared" ref="J411:J444" si="148">SUM(F411:I411)</f>
        <v>134896</v>
      </c>
      <c r="L411" s="10">
        <v>1</v>
      </c>
      <c r="M411" s="32">
        <v>45667</v>
      </c>
      <c r="N411" s="33">
        <v>7043</v>
      </c>
      <c r="O411" s="34">
        <f>626*245+614*5+596*50+832*2+205*12</f>
        <v>190364</v>
      </c>
      <c r="P411" s="34">
        <v>-2826</v>
      </c>
      <c r="Q411" s="34">
        <f>SUM(O411:P411)</f>
        <v>187538</v>
      </c>
      <c r="R411" s="12"/>
      <c r="S411" s="12">
        <v>9300</v>
      </c>
      <c r="T411" s="12"/>
      <c r="U411" s="12">
        <f>SUM(Q411:T411)</f>
        <v>196838</v>
      </c>
      <c r="W411" s="10">
        <v>1</v>
      </c>
      <c r="X411" s="32">
        <v>45667</v>
      </c>
      <c r="Y411" s="33">
        <v>7334</v>
      </c>
      <c r="Z411" s="34">
        <f>1252+17</f>
        <v>1269</v>
      </c>
      <c r="AA411" s="34"/>
      <c r="AB411" s="34">
        <f>SUM(Z411:AA411)</f>
        <v>1269</v>
      </c>
      <c r="AC411" s="12"/>
      <c r="AD411" s="12"/>
      <c r="AE411" s="12"/>
      <c r="AF411" s="12">
        <f>SUM(AB411:AE411)</f>
        <v>1269</v>
      </c>
    </row>
    <row r="412" spans="1:32" x14ac:dyDescent="0.25">
      <c r="A412" s="10">
        <v>2</v>
      </c>
      <c r="B412" s="32">
        <v>45667</v>
      </c>
      <c r="C412" s="33">
        <f>C411+1</f>
        <v>7297</v>
      </c>
      <c r="D412" s="34">
        <f>626*10+614+85+500</f>
        <v>7459</v>
      </c>
      <c r="E412" s="34"/>
      <c r="F412" s="34">
        <f t="shared" si="147"/>
        <v>7459</v>
      </c>
      <c r="G412" s="12"/>
      <c r="H412" s="12"/>
      <c r="I412" s="12"/>
      <c r="J412" s="12">
        <f t="shared" si="148"/>
        <v>7459</v>
      </c>
      <c r="L412" s="10">
        <v>2</v>
      </c>
      <c r="M412" s="32">
        <v>45667</v>
      </c>
      <c r="N412" s="33">
        <f>N411+1</f>
        <v>7044</v>
      </c>
      <c r="O412" s="34">
        <f>626*70+614*3+596*20+205*3</f>
        <v>58197</v>
      </c>
      <c r="P412" s="34">
        <v>-744</v>
      </c>
      <c r="Q412" s="34">
        <f t="shared" ref="Q412:Q443" si="149">SUM(O412:P412)</f>
        <v>57453</v>
      </c>
      <c r="R412" s="12"/>
      <c r="S412" s="12"/>
      <c r="T412" s="12"/>
      <c r="U412" s="12">
        <f t="shared" ref="U412:U452" si="150">SUM(Q412:T412)</f>
        <v>57453</v>
      </c>
      <c r="W412" s="10">
        <v>2</v>
      </c>
      <c r="X412" s="32">
        <v>45667</v>
      </c>
      <c r="Y412" s="33">
        <f>Y411+1</f>
        <v>7335</v>
      </c>
      <c r="Z412" s="34">
        <f>43882+59.5+674</f>
        <v>44615.5</v>
      </c>
      <c r="AA412" s="34"/>
      <c r="AB412" s="34">
        <f t="shared" ref="AB412:AB414" si="151">SUM(Z412:AA412)</f>
        <v>44615.5</v>
      </c>
      <c r="AC412" s="12"/>
      <c r="AD412" s="12"/>
      <c r="AE412" s="12"/>
      <c r="AF412" s="12">
        <f t="shared" ref="AF412:AF452" si="152">SUM(AB412:AE412)</f>
        <v>44615.5</v>
      </c>
    </row>
    <row r="413" spans="1:32" x14ac:dyDescent="0.25">
      <c r="A413" s="10">
        <v>3</v>
      </c>
      <c r="B413" s="32">
        <v>45667</v>
      </c>
      <c r="C413" s="33">
        <f t="shared" ref="C413:C430" si="153">C412+1</f>
        <v>7298</v>
      </c>
      <c r="D413" s="35">
        <f>626*50+596*5+832+674*3</f>
        <v>37134</v>
      </c>
      <c r="E413" s="35"/>
      <c r="F413" s="35">
        <f t="shared" si="147"/>
        <v>37134</v>
      </c>
      <c r="G413" s="36"/>
      <c r="H413" s="36"/>
      <c r="I413" s="36"/>
      <c r="J413" s="36">
        <f t="shared" si="148"/>
        <v>37134</v>
      </c>
      <c r="L413" s="10">
        <v>3</v>
      </c>
      <c r="M413" s="32">
        <v>45667</v>
      </c>
      <c r="N413" s="33">
        <f t="shared" ref="N413:N416" si="154">N412+1</f>
        <v>7045</v>
      </c>
      <c r="O413" s="34">
        <f>596*50+205*2</f>
        <v>30210</v>
      </c>
      <c r="P413" s="34">
        <v>-416</v>
      </c>
      <c r="Q413" s="34">
        <f t="shared" si="149"/>
        <v>29794</v>
      </c>
      <c r="R413" s="12"/>
      <c r="S413" s="12"/>
      <c r="T413" s="12"/>
      <c r="U413" s="12">
        <f t="shared" si="150"/>
        <v>29794</v>
      </c>
      <c r="W413" s="10">
        <v>3</v>
      </c>
      <c r="X413" s="32">
        <v>45667</v>
      </c>
      <c r="Y413" s="33">
        <f t="shared" ref="Y413:Y437" si="155">Y412+1</f>
        <v>7336</v>
      </c>
      <c r="Z413" s="34">
        <f>1878+8.5*3</f>
        <v>1903.5</v>
      </c>
      <c r="AA413" s="34"/>
      <c r="AB413" s="34">
        <f t="shared" si="151"/>
        <v>1903.5</v>
      </c>
      <c r="AC413" s="12"/>
      <c r="AD413" s="12"/>
      <c r="AE413" s="12"/>
      <c r="AF413" s="12">
        <f t="shared" si="152"/>
        <v>1903.5</v>
      </c>
    </row>
    <row r="414" spans="1:32" x14ac:dyDescent="0.25">
      <c r="A414" s="10">
        <v>4</v>
      </c>
      <c r="B414" s="32">
        <v>45667</v>
      </c>
      <c r="C414" s="33">
        <f t="shared" si="153"/>
        <v>7299</v>
      </c>
      <c r="D414" s="34">
        <f>614</f>
        <v>614</v>
      </c>
      <c r="E414" s="34"/>
      <c r="F414" s="34">
        <f t="shared" si="147"/>
        <v>614</v>
      </c>
      <c r="G414" s="12"/>
      <c r="H414" s="12">
        <v>54</v>
      </c>
      <c r="I414" s="12"/>
      <c r="J414" s="12">
        <f t="shared" si="148"/>
        <v>668</v>
      </c>
      <c r="L414" s="10">
        <v>4</v>
      </c>
      <c r="M414" s="32">
        <v>45667</v>
      </c>
      <c r="N414" s="33">
        <f t="shared" si="154"/>
        <v>7046</v>
      </c>
      <c r="O414" s="34">
        <f>626*10+85</f>
        <v>6345</v>
      </c>
      <c r="P414" s="34"/>
      <c r="Q414" s="34">
        <f t="shared" si="149"/>
        <v>6345</v>
      </c>
      <c r="R414" s="12"/>
      <c r="S414" s="12"/>
      <c r="T414" s="12">
        <v>-14709</v>
      </c>
      <c r="U414" s="12">
        <f t="shared" si="150"/>
        <v>-8364</v>
      </c>
      <c r="W414" s="10">
        <v>4</v>
      </c>
      <c r="X414" s="32">
        <v>45667</v>
      </c>
      <c r="Y414" s="33">
        <f t="shared" si="155"/>
        <v>7337</v>
      </c>
      <c r="Z414" s="34">
        <f>3130+596+51</f>
        <v>3777</v>
      </c>
      <c r="AA414" s="34"/>
      <c r="AB414" s="34">
        <f t="shared" si="151"/>
        <v>3777</v>
      </c>
      <c r="AC414" s="12"/>
      <c r="AE414" s="12"/>
      <c r="AF414" s="12">
        <f t="shared" si="152"/>
        <v>3777</v>
      </c>
    </row>
    <row r="415" spans="1:32" x14ac:dyDescent="0.25">
      <c r="A415" s="10">
        <v>5</v>
      </c>
      <c r="B415" s="32">
        <v>45667</v>
      </c>
      <c r="C415" s="33">
        <f t="shared" si="153"/>
        <v>7300</v>
      </c>
      <c r="D415" s="34">
        <f>2050</f>
        <v>2050</v>
      </c>
      <c r="E415" s="34"/>
      <c r="F415" s="34">
        <f t="shared" si="147"/>
        <v>2050</v>
      </c>
      <c r="G415" s="12"/>
      <c r="H415" s="12">
        <v>6</v>
      </c>
      <c r="I415" s="12"/>
      <c r="J415" s="12">
        <f t="shared" si="148"/>
        <v>2056</v>
      </c>
      <c r="L415" s="10">
        <v>5</v>
      </c>
      <c r="M415" s="32">
        <v>45667</v>
      </c>
      <c r="N415" s="33">
        <f t="shared" si="154"/>
        <v>7047</v>
      </c>
      <c r="O415" s="34">
        <f>626*4+596*3+59.5</f>
        <v>4351.5</v>
      </c>
      <c r="P415" s="34"/>
      <c r="Q415" s="34">
        <f t="shared" si="149"/>
        <v>4351.5</v>
      </c>
      <c r="R415" s="12"/>
      <c r="S415" s="12"/>
      <c r="T415" s="12"/>
      <c r="U415" s="12">
        <f t="shared" si="150"/>
        <v>4351.5</v>
      </c>
      <c r="W415" s="10">
        <v>5</v>
      </c>
      <c r="X415" s="32">
        <v>45667</v>
      </c>
      <c r="Y415" s="33">
        <f t="shared" si="155"/>
        <v>7338</v>
      </c>
      <c r="Z415" s="34">
        <f>1252+17</f>
        <v>1269</v>
      </c>
      <c r="AA415" s="34"/>
      <c r="AB415" s="34">
        <f t="shared" ref="AB415:AB420" si="156">SUM(Z415:AA415)</f>
        <v>1269</v>
      </c>
      <c r="AC415" s="12"/>
      <c r="AD415" s="12"/>
      <c r="AE415" s="12"/>
      <c r="AF415" s="12">
        <f t="shared" si="152"/>
        <v>1269</v>
      </c>
    </row>
    <row r="416" spans="1:32" x14ac:dyDescent="0.25">
      <c r="A416" s="10">
        <v>6</v>
      </c>
      <c r="B416" s="32">
        <v>45667</v>
      </c>
      <c r="C416" s="33">
        <f t="shared" si="153"/>
        <v>7301</v>
      </c>
      <c r="D416" s="70">
        <f>205*8+650*2</f>
        <v>2940</v>
      </c>
      <c r="E416" s="34"/>
      <c r="F416" s="34">
        <f t="shared" si="147"/>
        <v>2940</v>
      </c>
      <c r="G416" s="12"/>
      <c r="I416" s="12"/>
      <c r="J416" s="12">
        <f t="shared" si="148"/>
        <v>2940</v>
      </c>
      <c r="L416" s="10">
        <v>6</v>
      </c>
      <c r="M416" s="32">
        <v>45667</v>
      </c>
      <c r="N416" s="33">
        <f t="shared" si="154"/>
        <v>7048</v>
      </c>
      <c r="O416" s="34">
        <f>626*10+85</f>
        <v>6345</v>
      </c>
      <c r="P416" s="34"/>
      <c r="Q416" s="34">
        <f t="shared" si="149"/>
        <v>6345</v>
      </c>
      <c r="R416" s="12"/>
      <c r="S416" s="12"/>
      <c r="T416" s="10">
        <v>-555</v>
      </c>
      <c r="U416" s="12">
        <f t="shared" si="150"/>
        <v>5790</v>
      </c>
      <c r="W416" s="10">
        <v>6</v>
      </c>
      <c r="X416" s="32">
        <v>45667</v>
      </c>
      <c r="Y416" s="33">
        <f t="shared" si="155"/>
        <v>7339</v>
      </c>
      <c r="Z416" s="34">
        <f>1252+17+2022</f>
        <v>3291</v>
      </c>
      <c r="AA416" s="34"/>
      <c r="AB416" s="34">
        <f t="shared" si="156"/>
        <v>3291</v>
      </c>
      <c r="AC416" s="12"/>
      <c r="AD416" s="12"/>
      <c r="AE416" s="10"/>
      <c r="AF416" s="12">
        <f t="shared" si="152"/>
        <v>3291</v>
      </c>
    </row>
    <row r="417" spans="1:32" x14ac:dyDescent="0.25">
      <c r="A417" s="10">
        <v>7</v>
      </c>
      <c r="B417" s="32">
        <v>45667</v>
      </c>
      <c r="C417" s="33">
        <f t="shared" si="153"/>
        <v>7302</v>
      </c>
      <c r="D417" s="34">
        <f>626*170+596*30+205*8</f>
        <v>125940</v>
      </c>
      <c r="E417" s="34">
        <v>-1872</v>
      </c>
      <c r="F417" s="34">
        <f>SUM(D417:E417)</f>
        <v>124068</v>
      </c>
      <c r="G417" s="12"/>
      <c r="H417" s="12">
        <f>888+234</f>
        <v>1122</v>
      </c>
      <c r="I417" s="12">
        <f>-240+-588+-546+-21</f>
        <v>-1395</v>
      </c>
      <c r="J417" s="12">
        <f t="shared" si="148"/>
        <v>123795</v>
      </c>
      <c r="L417" s="10">
        <v>7</v>
      </c>
      <c r="M417" s="32"/>
      <c r="N417" s="11" t="s">
        <v>28</v>
      </c>
      <c r="O417" s="34"/>
      <c r="P417" s="34"/>
      <c r="Q417" s="34">
        <f t="shared" si="149"/>
        <v>0</v>
      </c>
      <c r="R417" s="12"/>
      <c r="S417" s="12"/>
      <c r="T417" s="12"/>
      <c r="U417" s="12">
        <f t="shared" si="150"/>
        <v>0</v>
      </c>
      <c r="W417" s="10">
        <v>7</v>
      </c>
      <c r="X417" s="32">
        <v>45667</v>
      </c>
      <c r="Y417" s="33">
        <f t="shared" si="155"/>
        <v>7340</v>
      </c>
      <c r="Z417" s="34">
        <f>626*87+596*10+832*2+500*2+674*3</f>
        <v>65108</v>
      </c>
      <c r="AA417" s="34"/>
      <c r="AB417" s="34">
        <f t="shared" si="156"/>
        <v>65108</v>
      </c>
      <c r="AC417" s="12"/>
      <c r="AD417" s="66">
        <v>5148</v>
      </c>
      <c r="AE417" s="12"/>
      <c r="AF417" s="12">
        <f t="shared" si="152"/>
        <v>70256</v>
      </c>
    </row>
    <row r="418" spans="1:32" x14ac:dyDescent="0.25">
      <c r="A418" s="10">
        <v>8</v>
      </c>
      <c r="B418" s="32">
        <v>45667</v>
      </c>
      <c r="C418" s="33">
        <f t="shared" si="153"/>
        <v>7303</v>
      </c>
      <c r="D418" s="34">
        <f>626+614+9</f>
        <v>1249</v>
      </c>
      <c r="E418" s="34"/>
      <c r="F418" s="34">
        <f t="shared" ref="F418:F444" si="157">SUM(D418:E418)</f>
        <v>1249</v>
      </c>
      <c r="G418" s="12"/>
      <c r="H418" s="12"/>
      <c r="I418" s="12"/>
      <c r="J418" s="12">
        <f t="shared" si="148"/>
        <v>1249</v>
      </c>
      <c r="L418" s="10">
        <v>8</v>
      </c>
      <c r="M418" s="32"/>
      <c r="N418" s="33"/>
      <c r="O418" s="34"/>
      <c r="P418" s="34"/>
      <c r="Q418" s="34">
        <f t="shared" si="149"/>
        <v>0</v>
      </c>
      <c r="R418" s="12"/>
      <c r="S418" s="12"/>
      <c r="T418" s="12"/>
      <c r="U418" s="12">
        <f t="shared" si="150"/>
        <v>0</v>
      </c>
      <c r="W418" s="10">
        <v>8</v>
      </c>
      <c r="X418" s="32">
        <v>45667</v>
      </c>
      <c r="Y418" s="33">
        <f t="shared" si="155"/>
        <v>7341</v>
      </c>
      <c r="Z418" s="34">
        <f>626+596+17</f>
        <v>1239</v>
      </c>
      <c r="AB418" s="34">
        <f t="shared" si="156"/>
        <v>1239</v>
      </c>
      <c r="AC418" s="12"/>
      <c r="AD418" s="12"/>
      <c r="AE418" s="12"/>
      <c r="AF418" s="12">
        <f t="shared" si="152"/>
        <v>1239</v>
      </c>
    </row>
    <row r="419" spans="1:32" x14ac:dyDescent="0.25">
      <c r="A419" s="10">
        <v>9</v>
      </c>
      <c r="B419" s="32">
        <v>45667</v>
      </c>
      <c r="C419" s="33">
        <f t="shared" si="153"/>
        <v>7304</v>
      </c>
      <c r="D419" s="34">
        <f>626*5+614*2</f>
        <v>4358</v>
      </c>
      <c r="E419" s="34"/>
      <c r="F419" s="34">
        <f t="shared" si="157"/>
        <v>4358</v>
      </c>
      <c r="G419" s="12"/>
      <c r="H419" s="12">
        <f>9+27</f>
        <v>36</v>
      </c>
      <c r="I419" s="12"/>
      <c r="J419" s="12">
        <f t="shared" si="148"/>
        <v>4394</v>
      </c>
      <c r="L419" s="10">
        <v>9</v>
      </c>
      <c r="M419" s="32"/>
      <c r="N419" s="33"/>
      <c r="O419" s="34"/>
      <c r="P419" s="34"/>
      <c r="Q419" s="34">
        <f t="shared" si="149"/>
        <v>0</v>
      </c>
      <c r="R419" s="12"/>
      <c r="S419" s="12"/>
      <c r="T419" s="12"/>
      <c r="U419" s="12">
        <f t="shared" si="150"/>
        <v>0</v>
      </c>
      <c r="W419" s="10">
        <v>9</v>
      </c>
      <c r="X419" s="32">
        <v>45667</v>
      </c>
      <c r="Y419" s="33">
        <f t="shared" si="155"/>
        <v>7342</v>
      </c>
      <c r="Z419">
        <f>2504+596+42.5</f>
        <v>3142.5</v>
      </c>
      <c r="AA419" s="34"/>
      <c r="AB419" s="34">
        <f t="shared" si="156"/>
        <v>3142.5</v>
      </c>
      <c r="AC419" s="12"/>
      <c r="AD419">
        <v>111</v>
      </c>
      <c r="AE419" s="12"/>
      <c r="AF419" s="12">
        <f t="shared" si="152"/>
        <v>3253.5</v>
      </c>
    </row>
    <row r="420" spans="1:32" x14ac:dyDescent="0.25">
      <c r="A420" s="10">
        <v>10</v>
      </c>
      <c r="B420" s="32">
        <v>45667</v>
      </c>
      <c r="C420" s="33">
        <f t="shared" si="153"/>
        <v>7305</v>
      </c>
      <c r="D420" s="34">
        <f>626*8+596*2+85</f>
        <v>6285</v>
      </c>
      <c r="E420" s="34"/>
      <c r="F420" s="34">
        <f t="shared" si="157"/>
        <v>6285</v>
      </c>
      <c r="G420" s="12"/>
      <c r="H420" s="12"/>
      <c r="I420" s="12"/>
      <c r="J420" s="12">
        <f t="shared" si="148"/>
        <v>6285</v>
      </c>
      <c r="L420" s="10">
        <v>10</v>
      </c>
      <c r="M420" s="32"/>
      <c r="N420" s="33"/>
      <c r="O420" s="34"/>
      <c r="P420" s="34"/>
      <c r="Q420" s="34">
        <f t="shared" si="149"/>
        <v>0</v>
      </c>
      <c r="R420" s="12"/>
      <c r="S420" s="12"/>
      <c r="T420" s="12"/>
      <c r="U420" s="12">
        <f t="shared" si="150"/>
        <v>0</v>
      </c>
      <c r="W420" s="10">
        <v>10</v>
      </c>
      <c r="X420" s="32">
        <v>45667</v>
      </c>
      <c r="Y420" s="33">
        <f t="shared" si="155"/>
        <v>7343</v>
      </c>
      <c r="Z420" s="34">
        <f>1252+596+25.5</f>
        <v>1873.5</v>
      </c>
      <c r="AA420" s="34"/>
      <c r="AB420" s="34">
        <f t="shared" si="156"/>
        <v>1873.5</v>
      </c>
      <c r="AC420" s="12"/>
      <c r="AD420" s="12"/>
      <c r="AE420" s="12"/>
      <c r="AF420" s="12">
        <f t="shared" si="152"/>
        <v>1873.5</v>
      </c>
    </row>
    <row r="421" spans="1:32" x14ac:dyDescent="0.25">
      <c r="A421" s="10">
        <v>11</v>
      </c>
      <c r="B421" s="32">
        <v>45667</v>
      </c>
      <c r="C421" s="33">
        <f t="shared" si="153"/>
        <v>7306</v>
      </c>
      <c r="D421" s="34">
        <f>1252+17</f>
        <v>1269</v>
      </c>
      <c r="E421" s="34"/>
      <c r="F421" s="34">
        <f t="shared" si="157"/>
        <v>1269</v>
      </c>
      <c r="G421" s="12"/>
      <c r="H421" s="12"/>
      <c r="I421" s="12"/>
      <c r="J421" s="12">
        <f t="shared" si="148"/>
        <v>1269</v>
      </c>
      <c r="L421" s="10">
        <v>11</v>
      </c>
      <c r="M421" s="32"/>
      <c r="N421" s="33"/>
      <c r="O421" s="34"/>
      <c r="P421" s="34"/>
      <c r="Q421" s="34">
        <f t="shared" si="149"/>
        <v>0</v>
      </c>
      <c r="R421" s="12"/>
      <c r="S421" s="12"/>
      <c r="T421" s="12"/>
      <c r="U421" s="12">
        <f t="shared" si="150"/>
        <v>0</v>
      </c>
      <c r="W421" s="10">
        <v>11</v>
      </c>
      <c r="X421" s="32">
        <v>45667</v>
      </c>
      <c r="Y421" s="33">
        <f t="shared" si="155"/>
        <v>7344</v>
      </c>
      <c r="Z421" s="34">
        <f>2504+1192+51</f>
        <v>3747</v>
      </c>
      <c r="AA421" s="34"/>
      <c r="AB421" s="34">
        <f t="shared" ref="AB421:AB443" si="158">SUM(Z421:AA421)</f>
        <v>3747</v>
      </c>
      <c r="AC421" s="12"/>
      <c r="AD421" s="12"/>
      <c r="AE421" s="12"/>
      <c r="AF421" s="12">
        <f t="shared" si="152"/>
        <v>3747</v>
      </c>
    </row>
    <row r="422" spans="1:32" x14ac:dyDescent="0.25">
      <c r="A422" s="10">
        <v>12</v>
      </c>
      <c r="B422" s="32">
        <v>45667</v>
      </c>
      <c r="C422" s="33">
        <f t="shared" si="153"/>
        <v>7307</v>
      </c>
      <c r="D422" s="34">
        <f>2504+34</f>
        <v>2538</v>
      </c>
      <c r="E422" s="34"/>
      <c r="F422" s="34">
        <f t="shared" si="157"/>
        <v>2538</v>
      </c>
      <c r="G422" s="12"/>
      <c r="H422" s="12"/>
      <c r="I422" s="10"/>
      <c r="J422" s="12">
        <f t="shared" si="148"/>
        <v>2538</v>
      </c>
      <c r="L422" s="10">
        <v>12</v>
      </c>
      <c r="M422" s="32"/>
      <c r="N422" s="33"/>
      <c r="O422" s="34"/>
      <c r="P422" s="34"/>
      <c r="Q422" s="34">
        <f t="shared" si="149"/>
        <v>0</v>
      </c>
      <c r="R422" s="12"/>
      <c r="S422" s="12"/>
      <c r="T422" s="12"/>
      <c r="U422" s="12">
        <f t="shared" si="150"/>
        <v>0</v>
      </c>
      <c r="W422" s="10">
        <v>12</v>
      </c>
      <c r="X422" s="32">
        <v>45667</v>
      </c>
      <c r="Y422" s="33">
        <f t="shared" si="155"/>
        <v>7345</v>
      </c>
      <c r="Z422" s="34">
        <f>2504+614+34</f>
        <v>3152</v>
      </c>
      <c r="AA422" s="34"/>
      <c r="AB422" s="34">
        <f t="shared" si="158"/>
        <v>3152</v>
      </c>
      <c r="AC422" s="12"/>
      <c r="AD422" s="12"/>
      <c r="AE422" s="12"/>
      <c r="AF422" s="12">
        <f t="shared" si="152"/>
        <v>3152</v>
      </c>
    </row>
    <row r="423" spans="1:32" x14ac:dyDescent="0.25">
      <c r="A423" s="10">
        <v>13</v>
      </c>
      <c r="B423" s="32">
        <v>45667</v>
      </c>
      <c r="C423" s="33">
        <f t="shared" si="153"/>
        <v>7308</v>
      </c>
      <c r="D423" s="34">
        <f>1300</f>
        <v>1300</v>
      </c>
      <c r="E423" s="34"/>
      <c r="F423" s="34">
        <f t="shared" si="157"/>
        <v>1300</v>
      </c>
      <c r="G423" s="12"/>
      <c r="H423" s="12"/>
      <c r="I423" s="12"/>
      <c r="J423" s="12">
        <f t="shared" si="148"/>
        <v>1300</v>
      </c>
      <c r="L423" s="10">
        <v>13</v>
      </c>
      <c r="M423" s="32"/>
      <c r="N423" s="33"/>
      <c r="O423" s="34"/>
      <c r="P423" s="34"/>
      <c r="Q423" s="34">
        <f t="shared" si="149"/>
        <v>0</v>
      </c>
      <c r="R423" s="12"/>
      <c r="S423" s="12"/>
      <c r="T423" s="12"/>
      <c r="U423" s="12">
        <f t="shared" si="150"/>
        <v>0</v>
      </c>
      <c r="W423" s="10">
        <v>13</v>
      </c>
      <c r="X423" s="32">
        <v>45667</v>
      </c>
      <c r="Y423" s="33">
        <f t="shared" si="155"/>
        <v>7346</v>
      </c>
      <c r="Z423" s="34">
        <f>3130+42.5</f>
        <v>3172.5</v>
      </c>
      <c r="AA423" s="34"/>
      <c r="AB423" s="34">
        <f t="shared" si="158"/>
        <v>3172.5</v>
      </c>
      <c r="AC423" s="12"/>
      <c r="AD423" s="12"/>
      <c r="AE423" s="12"/>
      <c r="AF423" s="12">
        <f t="shared" si="152"/>
        <v>3172.5</v>
      </c>
    </row>
    <row r="424" spans="1:32" x14ac:dyDescent="0.25">
      <c r="A424" s="10">
        <v>14</v>
      </c>
      <c r="B424" s="32">
        <v>45667</v>
      </c>
      <c r="C424" s="33">
        <f t="shared" si="153"/>
        <v>7309</v>
      </c>
      <c r="D424" s="34">
        <f>10*626+614+596+94</f>
        <v>7564</v>
      </c>
      <c r="E424" s="34"/>
      <c r="F424" s="34">
        <f t="shared" si="157"/>
        <v>7564</v>
      </c>
      <c r="G424" s="12"/>
      <c r="H424" s="12"/>
      <c r="I424" s="12"/>
      <c r="J424" s="12">
        <f t="shared" si="148"/>
        <v>7564</v>
      </c>
      <c r="L424" s="10">
        <v>14</v>
      </c>
      <c r="M424" s="32"/>
      <c r="N424" s="33"/>
      <c r="O424" s="34"/>
      <c r="P424" s="34"/>
      <c r="Q424" s="34">
        <f t="shared" si="149"/>
        <v>0</v>
      </c>
      <c r="R424" s="12"/>
      <c r="S424" s="12"/>
      <c r="T424" s="12"/>
      <c r="U424" s="12">
        <f t="shared" si="150"/>
        <v>0</v>
      </c>
      <c r="W424" s="10">
        <v>14</v>
      </c>
      <c r="X424" s="32">
        <v>45667</v>
      </c>
      <c r="Y424" s="33">
        <f t="shared" si="155"/>
        <v>7347</v>
      </c>
      <c r="Z424">
        <f>1252+17</f>
        <v>1269</v>
      </c>
      <c r="AA424" s="34"/>
      <c r="AB424" s="34">
        <f t="shared" si="158"/>
        <v>1269</v>
      </c>
      <c r="AC424" s="12"/>
      <c r="AD424" s="12"/>
      <c r="AE424" s="12"/>
      <c r="AF424" s="12">
        <f t="shared" si="152"/>
        <v>1269</v>
      </c>
    </row>
    <row r="425" spans="1:32" x14ac:dyDescent="0.25">
      <c r="A425" s="10">
        <v>15</v>
      </c>
      <c r="B425" s="32">
        <v>45667</v>
      </c>
      <c r="C425" s="33">
        <f t="shared" si="153"/>
        <v>7310</v>
      </c>
      <c r="D425" s="34">
        <f>614</f>
        <v>614</v>
      </c>
      <c r="E425" s="34"/>
      <c r="F425" s="34">
        <f t="shared" si="157"/>
        <v>614</v>
      </c>
      <c r="G425" s="12"/>
      <c r="H425" s="12"/>
      <c r="I425" s="12"/>
      <c r="J425" s="12">
        <f t="shared" si="148"/>
        <v>614</v>
      </c>
      <c r="L425" s="10">
        <v>15</v>
      </c>
      <c r="M425" s="32"/>
      <c r="N425" s="33"/>
      <c r="O425" s="34"/>
      <c r="P425" s="34"/>
      <c r="Q425" s="34">
        <f t="shared" si="149"/>
        <v>0</v>
      </c>
      <c r="R425" s="12"/>
      <c r="S425" s="12"/>
      <c r="T425" s="12"/>
      <c r="U425" s="12">
        <f t="shared" si="150"/>
        <v>0</v>
      </c>
      <c r="W425" s="10">
        <v>15</v>
      </c>
      <c r="X425" s="32">
        <v>45667</v>
      </c>
      <c r="Y425" s="33">
        <f t="shared" si="155"/>
        <v>7348</v>
      </c>
      <c r="Z425" s="34">
        <f>626*15+614*2+127.5</f>
        <v>10745.5</v>
      </c>
      <c r="AA425" s="34"/>
      <c r="AB425" s="34">
        <f t="shared" si="158"/>
        <v>10745.5</v>
      </c>
      <c r="AC425" s="12"/>
      <c r="AD425" s="12"/>
      <c r="AE425" s="12"/>
      <c r="AF425" s="12">
        <f t="shared" si="152"/>
        <v>10745.5</v>
      </c>
    </row>
    <row r="426" spans="1:32" x14ac:dyDescent="0.25">
      <c r="A426" s="10">
        <v>16</v>
      </c>
      <c r="B426" s="32">
        <v>45667</v>
      </c>
      <c r="C426" s="33">
        <f t="shared" si="153"/>
        <v>7311</v>
      </c>
      <c r="D426" s="34">
        <f>1878+24.5</f>
        <v>1902.5</v>
      </c>
      <c r="E426" s="34"/>
      <c r="F426" s="34">
        <f t="shared" si="157"/>
        <v>1902.5</v>
      </c>
      <c r="G426" s="12"/>
      <c r="H426" s="12"/>
      <c r="I426" s="12"/>
      <c r="J426" s="12">
        <f t="shared" si="148"/>
        <v>1902.5</v>
      </c>
      <c r="L426" s="10">
        <v>16</v>
      </c>
      <c r="M426" s="32"/>
      <c r="N426" s="33"/>
      <c r="O426" s="34"/>
      <c r="P426" s="34"/>
      <c r="Q426" s="34">
        <f t="shared" si="149"/>
        <v>0</v>
      </c>
      <c r="R426" s="12"/>
      <c r="S426" s="12"/>
      <c r="T426" s="12"/>
      <c r="U426" s="12">
        <f t="shared" si="150"/>
        <v>0</v>
      </c>
      <c r="W426" s="10">
        <v>16</v>
      </c>
      <c r="X426" s="32">
        <v>45667</v>
      </c>
      <c r="Y426" s="33">
        <f t="shared" si="155"/>
        <v>7349</v>
      </c>
      <c r="Z426" s="34">
        <f>1252+17</f>
        <v>1269</v>
      </c>
      <c r="AA426" s="34"/>
      <c r="AB426" s="34">
        <f t="shared" si="158"/>
        <v>1269</v>
      </c>
      <c r="AC426" s="12"/>
      <c r="AD426" s="12"/>
      <c r="AE426" s="12"/>
      <c r="AF426" s="12">
        <f t="shared" si="152"/>
        <v>1269</v>
      </c>
    </row>
    <row r="427" spans="1:32" x14ac:dyDescent="0.25">
      <c r="A427" s="10">
        <v>17</v>
      </c>
      <c r="B427" s="32">
        <v>45667</v>
      </c>
      <c r="C427" s="33">
        <f t="shared" si="153"/>
        <v>7312</v>
      </c>
      <c r="D427" s="34">
        <f>596*6+51</f>
        <v>3627</v>
      </c>
      <c r="E427" s="34"/>
      <c r="F427" s="34">
        <f t="shared" si="157"/>
        <v>3627</v>
      </c>
      <c r="G427" s="12"/>
      <c r="H427" s="12"/>
      <c r="I427" s="12"/>
      <c r="J427" s="12">
        <f t="shared" si="148"/>
        <v>3627</v>
      </c>
      <c r="L427" s="10">
        <v>17</v>
      </c>
      <c r="M427" s="32"/>
      <c r="N427" s="33"/>
      <c r="O427" s="37"/>
      <c r="P427" s="34"/>
      <c r="Q427" s="34">
        <f t="shared" si="149"/>
        <v>0</v>
      </c>
      <c r="R427" s="12"/>
      <c r="S427" s="12"/>
      <c r="T427" s="12"/>
      <c r="U427" s="12">
        <f t="shared" si="150"/>
        <v>0</v>
      </c>
      <c r="W427" s="10">
        <v>17</v>
      </c>
      <c r="X427" s="32">
        <v>45667</v>
      </c>
      <c r="Y427" s="33">
        <f t="shared" si="155"/>
        <v>7350</v>
      </c>
      <c r="Z427" s="37">
        <f>626*7+59.5</f>
        <v>4441.5</v>
      </c>
      <c r="AA427" s="34"/>
      <c r="AB427" s="34">
        <f t="shared" si="158"/>
        <v>4441.5</v>
      </c>
      <c r="AC427" s="12"/>
      <c r="AD427" s="12">
        <v>144</v>
      </c>
      <c r="AE427" s="12"/>
      <c r="AF427" s="12">
        <f t="shared" si="152"/>
        <v>4585.5</v>
      </c>
    </row>
    <row r="428" spans="1:32" x14ac:dyDescent="0.25">
      <c r="A428" s="10">
        <v>18</v>
      </c>
      <c r="B428" s="32">
        <v>45667</v>
      </c>
      <c r="C428" s="33">
        <f t="shared" si="153"/>
        <v>7313</v>
      </c>
      <c r="D428" s="34">
        <f>1878+596+34</f>
        <v>2508</v>
      </c>
      <c r="E428" s="34"/>
      <c r="F428" s="34">
        <f t="shared" si="157"/>
        <v>2508</v>
      </c>
      <c r="G428" s="12"/>
      <c r="H428" s="12">
        <v>5</v>
      </c>
      <c r="I428" s="12"/>
      <c r="J428" s="12">
        <f t="shared" si="148"/>
        <v>2513</v>
      </c>
      <c r="L428" s="10">
        <v>18</v>
      </c>
      <c r="M428" s="32"/>
      <c r="N428" s="33"/>
      <c r="O428" s="34"/>
      <c r="P428" s="34"/>
      <c r="Q428" s="34">
        <f t="shared" si="149"/>
        <v>0</v>
      </c>
      <c r="R428" s="12"/>
      <c r="S428" s="12"/>
      <c r="T428" s="12"/>
      <c r="U428" s="12">
        <f t="shared" si="150"/>
        <v>0</v>
      </c>
      <c r="W428" s="10">
        <v>18</v>
      </c>
      <c r="X428" s="32">
        <v>45667</v>
      </c>
      <c r="Y428" s="33">
        <f t="shared" si="155"/>
        <v>7351</v>
      </c>
      <c r="Z428" s="34">
        <f>5960+85</f>
        <v>6045</v>
      </c>
      <c r="AA428" s="34"/>
      <c r="AB428" s="34">
        <f t="shared" si="158"/>
        <v>6045</v>
      </c>
      <c r="AC428" s="12"/>
      <c r="AD428" s="12"/>
      <c r="AE428" s="12"/>
      <c r="AF428" s="12">
        <f t="shared" si="152"/>
        <v>6045</v>
      </c>
    </row>
    <row r="429" spans="1:32" x14ac:dyDescent="0.25">
      <c r="A429" s="10">
        <v>19</v>
      </c>
      <c r="B429" s="32">
        <v>45667</v>
      </c>
      <c r="C429" s="33">
        <f t="shared" si="153"/>
        <v>7314</v>
      </c>
      <c r="D429" s="34">
        <f>626*5+614+596*3+68</f>
        <v>5600</v>
      </c>
      <c r="E429" s="34"/>
      <c r="F429" s="34">
        <f t="shared" si="157"/>
        <v>5600</v>
      </c>
      <c r="G429" s="12"/>
      <c r="H429" s="12"/>
      <c r="I429" s="12">
        <v>-444</v>
      </c>
      <c r="J429" s="12">
        <f t="shared" si="148"/>
        <v>5156</v>
      </c>
      <c r="L429" s="10">
        <v>19</v>
      </c>
      <c r="M429" s="32"/>
      <c r="N429" s="33"/>
      <c r="O429" s="34"/>
      <c r="P429" s="34"/>
      <c r="Q429" s="34">
        <f t="shared" si="149"/>
        <v>0</v>
      </c>
      <c r="R429" s="12"/>
      <c r="S429" s="12"/>
      <c r="T429" s="12"/>
      <c r="U429" s="12">
        <f t="shared" si="150"/>
        <v>0</v>
      </c>
      <c r="W429" s="10">
        <v>19</v>
      </c>
      <c r="X429" s="32">
        <v>45667</v>
      </c>
      <c r="Y429" s="33">
        <f t="shared" si="155"/>
        <v>7352</v>
      </c>
      <c r="Z429" s="34">
        <f>5634+1192+93.5</f>
        <v>6919.5</v>
      </c>
      <c r="AA429" s="34"/>
      <c r="AB429" s="34">
        <f t="shared" si="158"/>
        <v>6919.5</v>
      </c>
      <c r="AC429" s="12"/>
      <c r="AD429" s="12">
        <v>126</v>
      </c>
      <c r="AE429" s="12"/>
      <c r="AF429" s="12">
        <f t="shared" si="152"/>
        <v>7045.5</v>
      </c>
    </row>
    <row r="430" spans="1:32" x14ac:dyDescent="0.25">
      <c r="A430" s="10">
        <v>20</v>
      </c>
      <c r="B430" s="32">
        <v>45667</v>
      </c>
      <c r="C430" s="33">
        <f t="shared" si="153"/>
        <v>7315</v>
      </c>
      <c r="D430" s="34">
        <f>2556+3015+3328</f>
        <v>8899</v>
      </c>
      <c r="E430" s="34"/>
      <c r="F430" s="34">
        <f t="shared" si="157"/>
        <v>8899</v>
      </c>
      <c r="G430" s="12"/>
      <c r="H430" s="12"/>
      <c r="I430" s="12"/>
      <c r="J430" s="12">
        <f t="shared" si="148"/>
        <v>8899</v>
      </c>
      <c r="L430" s="10">
        <v>20</v>
      </c>
      <c r="M430" s="32"/>
      <c r="N430" s="33"/>
      <c r="O430" s="34"/>
      <c r="P430" s="34"/>
      <c r="Q430" s="34">
        <f t="shared" si="149"/>
        <v>0</v>
      </c>
      <c r="R430" s="12"/>
      <c r="S430" s="12"/>
      <c r="T430" s="12"/>
      <c r="U430" s="12">
        <f t="shared" si="150"/>
        <v>0</v>
      </c>
      <c r="W430" s="10">
        <v>20</v>
      </c>
      <c r="X430" s="32">
        <v>45667</v>
      </c>
      <c r="Y430" s="33">
        <f t="shared" si="155"/>
        <v>7353</v>
      </c>
      <c r="Z430" s="34">
        <f>626*3+596+34</f>
        <v>2508</v>
      </c>
      <c r="AA430" s="34"/>
      <c r="AB430" s="34">
        <f t="shared" si="158"/>
        <v>2508</v>
      </c>
      <c r="AC430" s="12"/>
      <c r="AD430" s="12"/>
      <c r="AE430" s="12"/>
      <c r="AF430" s="12">
        <f t="shared" si="152"/>
        <v>2508</v>
      </c>
    </row>
    <row r="431" spans="1:32" x14ac:dyDescent="0.25">
      <c r="A431" s="10">
        <v>21</v>
      </c>
      <c r="B431" s="32"/>
      <c r="C431" s="11" t="s">
        <v>28</v>
      </c>
      <c r="D431" s="34"/>
      <c r="E431" s="34"/>
      <c r="F431" s="34">
        <f t="shared" si="157"/>
        <v>0</v>
      </c>
      <c r="G431" s="10"/>
      <c r="H431" s="10"/>
      <c r="I431" s="10"/>
      <c r="J431" s="12">
        <f t="shared" si="148"/>
        <v>0</v>
      </c>
      <c r="L431" s="10">
        <v>21</v>
      </c>
      <c r="M431" s="32"/>
      <c r="N431" s="33"/>
      <c r="O431" s="50"/>
      <c r="P431" s="33"/>
      <c r="Q431" s="34">
        <f t="shared" si="149"/>
        <v>0</v>
      </c>
      <c r="R431" s="10"/>
      <c r="S431" s="10"/>
      <c r="T431" s="10"/>
      <c r="U431" s="12">
        <f t="shared" si="150"/>
        <v>0</v>
      </c>
      <c r="W431" s="10">
        <v>21</v>
      </c>
      <c r="X431" s="32">
        <v>45667</v>
      </c>
      <c r="Y431" s="33">
        <f t="shared" si="155"/>
        <v>7354</v>
      </c>
      <c r="Z431" s="50">
        <f>3130+42.5</f>
        <v>3172.5</v>
      </c>
      <c r="AA431" s="33"/>
      <c r="AB431" s="34">
        <f t="shared" si="158"/>
        <v>3172.5</v>
      </c>
      <c r="AC431" s="10"/>
      <c r="AD431" s="10"/>
      <c r="AE431" s="10"/>
      <c r="AF431" s="12">
        <f t="shared" si="152"/>
        <v>3172.5</v>
      </c>
    </row>
    <row r="432" spans="1:32" x14ac:dyDescent="0.25">
      <c r="A432" s="10">
        <v>22</v>
      </c>
      <c r="B432" s="32"/>
      <c r="C432" s="33"/>
      <c r="D432" s="34"/>
      <c r="E432" s="34"/>
      <c r="F432" s="34">
        <f t="shared" si="157"/>
        <v>0</v>
      </c>
      <c r="G432" s="10"/>
      <c r="H432" s="10"/>
      <c r="I432" s="10"/>
      <c r="J432" s="12">
        <f t="shared" si="148"/>
        <v>0</v>
      </c>
      <c r="L432" s="10">
        <v>22</v>
      </c>
      <c r="M432" s="32"/>
      <c r="N432" s="33"/>
      <c r="O432" s="49"/>
      <c r="P432" s="33"/>
      <c r="Q432" s="34">
        <f t="shared" si="149"/>
        <v>0</v>
      </c>
      <c r="R432" s="10"/>
      <c r="S432" s="10"/>
      <c r="T432" s="10"/>
      <c r="U432" s="12">
        <f t="shared" si="150"/>
        <v>0</v>
      </c>
      <c r="W432" s="10">
        <v>22</v>
      </c>
      <c r="X432" s="32">
        <v>45667</v>
      </c>
      <c r="Y432" s="33">
        <f t="shared" si="155"/>
        <v>7355</v>
      </c>
      <c r="Z432" s="49">
        <f>2504+34</f>
        <v>2538</v>
      </c>
      <c r="AA432" s="33"/>
      <c r="AB432" s="34">
        <f t="shared" si="158"/>
        <v>2538</v>
      </c>
      <c r="AC432" s="10"/>
      <c r="AD432" s="10"/>
      <c r="AE432" s="10"/>
      <c r="AF432" s="12">
        <f t="shared" si="152"/>
        <v>2538</v>
      </c>
    </row>
    <row r="433" spans="1:32" x14ac:dyDescent="0.25">
      <c r="A433" s="10">
        <v>23</v>
      </c>
      <c r="B433" s="32"/>
      <c r="C433" s="33"/>
      <c r="D433" s="34"/>
      <c r="E433" s="34"/>
      <c r="F433" s="34">
        <f t="shared" si="157"/>
        <v>0</v>
      </c>
      <c r="G433" s="10"/>
      <c r="H433" s="10"/>
      <c r="I433" s="12"/>
      <c r="J433" s="12">
        <f t="shared" si="148"/>
        <v>0</v>
      </c>
      <c r="L433" s="10">
        <v>23</v>
      </c>
      <c r="M433" s="32"/>
      <c r="N433" s="33"/>
      <c r="O433" s="51"/>
      <c r="Q433" s="34">
        <f t="shared" si="149"/>
        <v>0</v>
      </c>
      <c r="R433" s="10"/>
      <c r="S433" s="10"/>
      <c r="T433" s="10"/>
      <c r="U433" s="12">
        <f t="shared" si="150"/>
        <v>0</v>
      </c>
      <c r="W433" s="10">
        <v>23</v>
      </c>
      <c r="X433" s="32">
        <v>45667</v>
      </c>
      <c r="Y433" s="33">
        <f t="shared" si="155"/>
        <v>7356</v>
      </c>
      <c r="Z433" s="51">
        <f>626+596+17</f>
        <v>1239</v>
      </c>
      <c r="AB433" s="34">
        <f t="shared" si="158"/>
        <v>1239</v>
      </c>
      <c r="AC433" s="10"/>
      <c r="AD433" s="10"/>
      <c r="AE433" s="10"/>
      <c r="AF433" s="12">
        <f t="shared" si="152"/>
        <v>1239</v>
      </c>
    </row>
    <row r="434" spans="1:32" x14ac:dyDescent="0.25">
      <c r="A434" s="10">
        <v>24</v>
      </c>
      <c r="B434" s="32"/>
      <c r="C434" s="33"/>
      <c r="D434" s="34"/>
      <c r="E434" s="34"/>
      <c r="F434" s="34">
        <f t="shared" si="157"/>
        <v>0</v>
      </c>
      <c r="G434" s="10"/>
      <c r="H434" s="10"/>
      <c r="I434" s="10"/>
      <c r="J434" s="12">
        <f t="shared" si="148"/>
        <v>0</v>
      </c>
      <c r="L434" s="10">
        <v>24</v>
      </c>
      <c r="M434" s="32"/>
      <c r="N434" s="33"/>
      <c r="O434" s="51"/>
      <c r="P434" s="33"/>
      <c r="Q434" s="34">
        <f t="shared" si="149"/>
        <v>0</v>
      </c>
      <c r="R434" s="10"/>
      <c r="S434" s="10"/>
      <c r="T434" s="10"/>
      <c r="U434" s="12">
        <f t="shared" si="150"/>
        <v>0</v>
      </c>
      <c r="W434" s="10">
        <v>24</v>
      </c>
      <c r="X434" s="32">
        <v>45667</v>
      </c>
      <c r="Y434" s="33">
        <f t="shared" si="155"/>
        <v>7357</v>
      </c>
      <c r="Z434" s="51">
        <f>626+596+17</f>
        <v>1239</v>
      </c>
      <c r="AA434" s="33"/>
      <c r="AB434" s="34">
        <f t="shared" si="158"/>
        <v>1239</v>
      </c>
      <c r="AC434" s="10"/>
      <c r="AD434" s="10"/>
      <c r="AE434" s="10"/>
      <c r="AF434" s="12">
        <f t="shared" si="152"/>
        <v>1239</v>
      </c>
    </row>
    <row r="435" spans="1:32" x14ac:dyDescent="0.25">
      <c r="A435" s="10">
        <v>25</v>
      </c>
      <c r="B435" s="32"/>
      <c r="C435" s="33"/>
      <c r="D435" s="34"/>
      <c r="E435" s="34"/>
      <c r="F435" s="34">
        <f t="shared" si="157"/>
        <v>0</v>
      </c>
      <c r="G435" s="10"/>
      <c r="H435" s="10"/>
      <c r="I435" s="10"/>
      <c r="J435" s="12">
        <f t="shared" si="148"/>
        <v>0</v>
      </c>
      <c r="L435" s="10">
        <v>25</v>
      </c>
      <c r="M435" s="32"/>
      <c r="N435" s="33"/>
      <c r="O435" s="51"/>
      <c r="P435" s="33"/>
      <c r="Q435" s="34">
        <f t="shared" si="149"/>
        <v>0</v>
      </c>
      <c r="R435" s="10"/>
      <c r="S435" s="10"/>
      <c r="T435" s="10"/>
      <c r="U435" s="12">
        <f t="shared" si="150"/>
        <v>0</v>
      </c>
      <c r="W435" s="10">
        <v>25</v>
      </c>
      <c r="X435" s="32">
        <v>45667</v>
      </c>
      <c r="Y435" s="33">
        <f t="shared" si="155"/>
        <v>7358</v>
      </c>
      <c r="Z435" s="51">
        <f>1252+17</f>
        <v>1269</v>
      </c>
      <c r="AA435" s="33"/>
      <c r="AB435" s="34">
        <f t="shared" si="158"/>
        <v>1269</v>
      </c>
      <c r="AC435" s="10"/>
      <c r="AD435" s="10"/>
      <c r="AE435" s="10"/>
      <c r="AF435" s="12">
        <f t="shared" si="152"/>
        <v>1269</v>
      </c>
    </row>
    <row r="436" spans="1:32" x14ac:dyDescent="0.25">
      <c r="A436" s="10">
        <v>26</v>
      </c>
      <c r="B436" s="32"/>
      <c r="C436" s="33"/>
      <c r="D436" s="34"/>
      <c r="E436" s="34"/>
      <c r="F436" s="34">
        <f t="shared" si="157"/>
        <v>0</v>
      </c>
      <c r="G436" s="10"/>
      <c r="H436" s="10"/>
      <c r="I436" s="10"/>
      <c r="J436" s="12">
        <f t="shared" si="148"/>
        <v>0</v>
      </c>
      <c r="L436" s="10">
        <v>26</v>
      </c>
      <c r="M436" s="32"/>
      <c r="N436" s="33"/>
      <c r="O436" s="51"/>
      <c r="P436" s="33"/>
      <c r="Q436" s="34">
        <f t="shared" si="149"/>
        <v>0</v>
      </c>
      <c r="R436" s="10"/>
      <c r="S436" s="10"/>
      <c r="T436" s="10"/>
      <c r="U436" s="12">
        <f t="shared" si="150"/>
        <v>0</v>
      </c>
      <c r="W436" s="10">
        <v>26</v>
      </c>
      <c r="X436" s="32">
        <v>45667</v>
      </c>
      <c r="Y436" s="33">
        <f t="shared" si="155"/>
        <v>7359</v>
      </c>
      <c r="Z436" s="51">
        <f>6150</f>
        <v>6150</v>
      </c>
      <c r="AA436" s="33"/>
      <c r="AB436" s="34">
        <f t="shared" si="158"/>
        <v>6150</v>
      </c>
      <c r="AC436" s="10"/>
      <c r="AD436" s="10"/>
      <c r="AE436" s="10"/>
      <c r="AF436" s="12">
        <f t="shared" si="152"/>
        <v>6150</v>
      </c>
    </row>
    <row r="437" spans="1:32" x14ac:dyDescent="0.25">
      <c r="A437" s="10">
        <v>27</v>
      </c>
      <c r="B437" s="32"/>
      <c r="C437" s="33"/>
      <c r="D437" s="34"/>
      <c r="E437" s="34"/>
      <c r="F437" s="34">
        <f t="shared" si="157"/>
        <v>0</v>
      </c>
      <c r="G437" s="10"/>
      <c r="H437" s="10"/>
      <c r="I437" s="10"/>
      <c r="J437" s="12">
        <f t="shared" si="148"/>
        <v>0</v>
      </c>
      <c r="L437" s="10">
        <v>27</v>
      </c>
      <c r="M437" s="32"/>
      <c r="N437" s="33"/>
      <c r="O437" s="51"/>
      <c r="P437" s="33"/>
      <c r="Q437" s="34">
        <f t="shared" si="149"/>
        <v>0</v>
      </c>
      <c r="R437" s="10"/>
      <c r="S437" s="10"/>
      <c r="T437" s="10"/>
      <c r="U437" s="12">
        <f t="shared" si="150"/>
        <v>0</v>
      </c>
      <c r="W437" s="10">
        <v>27</v>
      </c>
      <c r="X437" s="32">
        <v>45667</v>
      </c>
      <c r="Y437" s="33">
        <f t="shared" si="155"/>
        <v>7360</v>
      </c>
      <c r="Z437" s="51">
        <f>2504+1788+51</f>
        <v>4343</v>
      </c>
      <c r="AA437" s="33"/>
      <c r="AB437" s="34">
        <f t="shared" si="158"/>
        <v>4343</v>
      </c>
      <c r="AC437" s="10"/>
      <c r="AD437" s="10"/>
      <c r="AE437" s="10">
        <v>-690</v>
      </c>
      <c r="AF437" s="12">
        <f t="shared" si="152"/>
        <v>3653</v>
      </c>
    </row>
    <row r="438" spans="1:32" x14ac:dyDescent="0.25">
      <c r="A438" s="10">
        <v>28</v>
      </c>
      <c r="B438" s="32"/>
      <c r="C438" s="33"/>
      <c r="D438" s="34"/>
      <c r="E438" s="34"/>
      <c r="F438" s="34">
        <f t="shared" si="157"/>
        <v>0</v>
      </c>
      <c r="G438" s="10"/>
      <c r="H438" s="10"/>
      <c r="I438" s="10"/>
      <c r="J438" s="12">
        <f t="shared" si="148"/>
        <v>0</v>
      </c>
      <c r="L438" s="10">
        <v>28</v>
      </c>
      <c r="M438" s="32"/>
      <c r="N438" s="70"/>
      <c r="O438" s="51"/>
      <c r="P438" s="33"/>
      <c r="Q438" s="34">
        <f t="shared" si="149"/>
        <v>0</v>
      </c>
      <c r="R438" s="10"/>
      <c r="S438" s="10"/>
      <c r="T438" s="10"/>
      <c r="U438" s="12">
        <f t="shared" si="150"/>
        <v>0</v>
      </c>
      <c r="W438" s="10">
        <v>28</v>
      </c>
      <c r="X438" s="32"/>
      <c r="Y438" s="11" t="s">
        <v>28</v>
      </c>
      <c r="Z438" s="51"/>
      <c r="AA438" s="33"/>
      <c r="AB438" s="34">
        <f t="shared" si="158"/>
        <v>0</v>
      </c>
      <c r="AC438" s="10"/>
      <c r="AD438" s="10"/>
      <c r="AE438" s="10"/>
      <c r="AF438" s="12">
        <f t="shared" si="152"/>
        <v>0</v>
      </c>
    </row>
    <row r="439" spans="1:32" x14ac:dyDescent="0.25">
      <c r="A439" s="10">
        <v>29</v>
      </c>
      <c r="B439" s="32"/>
      <c r="C439" s="33"/>
      <c r="D439" s="34"/>
      <c r="E439" s="34"/>
      <c r="F439" s="34">
        <f t="shared" si="157"/>
        <v>0</v>
      </c>
      <c r="G439" s="10"/>
      <c r="H439" s="10"/>
      <c r="I439" s="10"/>
      <c r="J439" s="12">
        <f t="shared" si="148"/>
        <v>0</v>
      </c>
      <c r="L439" s="10">
        <v>29</v>
      </c>
      <c r="M439" s="32"/>
      <c r="O439" s="51"/>
      <c r="P439" s="33"/>
      <c r="Q439" s="34">
        <f t="shared" si="149"/>
        <v>0</v>
      </c>
      <c r="R439" s="10"/>
      <c r="S439" s="10"/>
      <c r="T439" s="10"/>
      <c r="U439" s="12">
        <f t="shared" si="150"/>
        <v>0</v>
      </c>
      <c r="W439" s="10">
        <v>29</v>
      </c>
      <c r="X439" s="32"/>
      <c r="Y439" s="33"/>
      <c r="Z439" s="51"/>
      <c r="AA439" s="33"/>
      <c r="AB439" s="34">
        <f t="shared" si="158"/>
        <v>0</v>
      </c>
      <c r="AC439" s="10"/>
      <c r="AD439" s="10"/>
      <c r="AE439" s="10"/>
      <c r="AF439" s="12">
        <f t="shared" si="152"/>
        <v>0</v>
      </c>
    </row>
    <row r="440" spans="1:32" x14ac:dyDescent="0.25">
      <c r="A440" s="10">
        <v>30</v>
      </c>
      <c r="B440" s="32"/>
      <c r="C440" s="70"/>
      <c r="D440" s="34"/>
      <c r="E440" s="34"/>
      <c r="F440" s="34">
        <f t="shared" si="157"/>
        <v>0</v>
      </c>
      <c r="G440" s="10"/>
      <c r="H440" s="10"/>
      <c r="I440" s="10"/>
      <c r="J440" s="12">
        <f t="shared" si="148"/>
        <v>0</v>
      </c>
      <c r="L440" s="10">
        <v>30</v>
      </c>
      <c r="M440" s="32"/>
      <c r="N440" s="33"/>
      <c r="O440" s="51"/>
      <c r="P440" s="33"/>
      <c r="Q440" s="34">
        <f t="shared" si="149"/>
        <v>0</v>
      </c>
      <c r="R440" s="10"/>
      <c r="S440" s="10"/>
      <c r="T440" s="10"/>
      <c r="U440" s="12">
        <f t="shared" si="150"/>
        <v>0</v>
      </c>
      <c r="W440" s="10">
        <v>30</v>
      </c>
      <c r="X440" s="32"/>
      <c r="Y440" s="33"/>
      <c r="Z440" s="51"/>
      <c r="AA440" s="33"/>
      <c r="AB440" s="34">
        <f t="shared" si="158"/>
        <v>0</v>
      </c>
      <c r="AC440" s="10"/>
      <c r="AD440" s="10"/>
      <c r="AE440" s="10"/>
      <c r="AF440" s="12">
        <f t="shared" si="152"/>
        <v>0</v>
      </c>
    </row>
    <row r="441" spans="1:32" x14ac:dyDescent="0.25">
      <c r="A441" s="10">
        <v>31</v>
      </c>
      <c r="B441" s="32"/>
      <c r="D441" s="34"/>
      <c r="E441" s="34"/>
      <c r="F441" s="34">
        <f t="shared" si="157"/>
        <v>0</v>
      </c>
      <c r="G441" s="10"/>
      <c r="H441" s="10"/>
      <c r="I441" s="10"/>
      <c r="J441" s="12">
        <f t="shared" si="148"/>
        <v>0</v>
      </c>
      <c r="L441" s="10">
        <v>31</v>
      </c>
      <c r="M441" s="32"/>
      <c r="N441" s="33"/>
      <c r="O441" s="51"/>
      <c r="P441" s="33"/>
      <c r="Q441" s="34">
        <f t="shared" si="149"/>
        <v>0</v>
      </c>
      <c r="R441" s="10"/>
      <c r="S441" s="10"/>
      <c r="T441" s="10"/>
      <c r="U441" s="12">
        <f t="shared" si="150"/>
        <v>0</v>
      </c>
      <c r="W441" s="10">
        <v>31</v>
      </c>
      <c r="X441" s="32"/>
      <c r="Z441" s="51"/>
      <c r="AA441" s="33"/>
      <c r="AB441" s="34">
        <f t="shared" si="158"/>
        <v>0</v>
      </c>
      <c r="AC441" s="10"/>
      <c r="AD441" s="10"/>
      <c r="AE441" s="10"/>
      <c r="AF441" s="12">
        <f t="shared" si="152"/>
        <v>0</v>
      </c>
    </row>
    <row r="442" spans="1:32" x14ac:dyDescent="0.25">
      <c r="A442" s="10">
        <v>32</v>
      </c>
      <c r="B442" s="32"/>
      <c r="C442" s="33"/>
      <c r="D442" s="34"/>
      <c r="E442" s="34"/>
      <c r="F442" s="34">
        <f t="shared" si="157"/>
        <v>0</v>
      </c>
      <c r="G442" s="10"/>
      <c r="H442" s="10"/>
      <c r="I442" s="10"/>
      <c r="J442" s="12">
        <f t="shared" si="148"/>
        <v>0</v>
      </c>
      <c r="L442" s="10">
        <v>32</v>
      </c>
      <c r="M442" s="32"/>
      <c r="N442" s="33"/>
      <c r="O442" s="51"/>
      <c r="P442" s="33"/>
      <c r="Q442" s="34">
        <f t="shared" si="149"/>
        <v>0</v>
      </c>
      <c r="R442" s="10"/>
      <c r="S442" s="10"/>
      <c r="T442" s="10"/>
      <c r="U442" s="12">
        <f t="shared" si="150"/>
        <v>0</v>
      </c>
      <c r="W442" s="10">
        <v>32</v>
      </c>
      <c r="X442" s="32"/>
      <c r="Y442" s="33"/>
      <c r="Z442" s="51"/>
      <c r="AA442" s="33"/>
      <c r="AB442" s="34">
        <f t="shared" si="158"/>
        <v>0</v>
      </c>
      <c r="AC442" s="10"/>
      <c r="AD442" s="10"/>
      <c r="AE442" s="10"/>
      <c r="AF442" s="12">
        <f t="shared" si="152"/>
        <v>0</v>
      </c>
    </row>
    <row r="443" spans="1:32" x14ac:dyDescent="0.25">
      <c r="A443" s="10">
        <v>33</v>
      </c>
      <c r="B443" s="32"/>
      <c r="C443" s="33"/>
      <c r="D443" s="34"/>
      <c r="E443" s="34"/>
      <c r="F443" s="34">
        <f t="shared" si="157"/>
        <v>0</v>
      </c>
      <c r="G443" s="10"/>
      <c r="H443" s="10"/>
      <c r="I443" s="10"/>
      <c r="J443" s="12">
        <f t="shared" si="148"/>
        <v>0</v>
      </c>
      <c r="L443" s="10">
        <v>33</v>
      </c>
      <c r="M443" s="32"/>
      <c r="N443" s="33"/>
      <c r="O443" s="51"/>
      <c r="P443" s="33"/>
      <c r="Q443" s="34">
        <f t="shared" si="149"/>
        <v>0</v>
      </c>
      <c r="R443" s="10"/>
      <c r="S443" s="10"/>
      <c r="T443" s="10"/>
      <c r="U443" s="12">
        <f t="shared" si="150"/>
        <v>0</v>
      </c>
      <c r="W443" s="10">
        <v>33</v>
      </c>
      <c r="X443" s="32"/>
      <c r="Y443" s="33"/>
      <c r="Z443" s="51"/>
      <c r="AA443" s="33"/>
      <c r="AB443" s="34">
        <f t="shared" si="158"/>
        <v>0</v>
      </c>
      <c r="AC443" s="10"/>
      <c r="AD443" s="10"/>
      <c r="AE443" s="10"/>
      <c r="AF443" s="12">
        <f t="shared" si="152"/>
        <v>0</v>
      </c>
    </row>
    <row r="444" spans="1:32" x14ac:dyDescent="0.25">
      <c r="A444" s="10"/>
      <c r="B444" s="32"/>
      <c r="C444" s="33"/>
      <c r="D444" s="34"/>
      <c r="E444" s="34"/>
      <c r="F444" s="34">
        <f t="shared" si="157"/>
        <v>0</v>
      </c>
      <c r="G444" s="10"/>
      <c r="H444" s="10"/>
      <c r="I444" s="10"/>
      <c r="J444" s="12">
        <f t="shared" si="148"/>
        <v>0</v>
      </c>
      <c r="L444" s="10">
        <v>34</v>
      </c>
      <c r="M444" s="32"/>
      <c r="N444" s="33"/>
      <c r="O444" s="51"/>
      <c r="P444" s="33"/>
      <c r="Q444" s="34">
        <f t="shared" ref="Q444:Q449" si="159">SUM(O444:P444)</f>
        <v>0</v>
      </c>
      <c r="R444" s="10"/>
      <c r="S444" s="10"/>
      <c r="T444" s="10"/>
      <c r="U444" s="12">
        <f t="shared" si="150"/>
        <v>0</v>
      </c>
      <c r="W444" s="10">
        <v>34</v>
      </c>
      <c r="X444" s="32"/>
      <c r="Y444" s="33"/>
      <c r="Z444" s="51"/>
      <c r="AA444" s="33"/>
      <c r="AB444" s="34">
        <f t="shared" ref="AB444:AB449" si="160">SUM(Z444:AA444)</f>
        <v>0</v>
      </c>
      <c r="AC444" s="10"/>
      <c r="AD444" s="10"/>
      <c r="AE444" s="10"/>
      <c r="AF444" s="12">
        <f t="shared" si="152"/>
        <v>0</v>
      </c>
    </row>
    <row r="445" spans="1:32" x14ac:dyDescent="0.25">
      <c r="A445" s="10"/>
      <c r="B445" s="32"/>
      <c r="C445" s="33"/>
      <c r="D445" s="34"/>
      <c r="E445" s="34"/>
      <c r="F445" s="34"/>
      <c r="G445" s="10"/>
      <c r="H445" s="10"/>
      <c r="I445" s="10"/>
      <c r="J445" s="12"/>
      <c r="L445" s="10">
        <v>35</v>
      </c>
      <c r="M445" s="32"/>
      <c r="O445" s="51"/>
      <c r="P445" s="33"/>
      <c r="Q445" s="34">
        <f t="shared" si="159"/>
        <v>0</v>
      </c>
      <c r="R445" s="10"/>
      <c r="S445" s="10"/>
      <c r="T445" s="10"/>
      <c r="U445" s="12">
        <f t="shared" si="150"/>
        <v>0</v>
      </c>
      <c r="W445" s="10">
        <v>35</v>
      </c>
      <c r="X445" s="32"/>
      <c r="Y445" s="33"/>
      <c r="Z445" s="51"/>
      <c r="AA445" s="33"/>
      <c r="AB445" s="34">
        <f t="shared" si="160"/>
        <v>0</v>
      </c>
      <c r="AC445" s="10"/>
      <c r="AD445" s="10"/>
      <c r="AE445" s="10"/>
      <c r="AF445" s="12">
        <f t="shared" si="152"/>
        <v>0</v>
      </c>
    </row>
    <row r="446" spans="1:32" x14ac:dyDescent="0.25">
      <c r="A446" s="10"/>
      <c r="B446" s="32"/>
      <c r="C446" s="70"/>
      <c r="D446" s="34"/>
      <c r="E446" s="34"/>
      <c r="F446" s="34"/>
      <c r="G446" s="10"/>
      <c r="H446" s="10"/>
      <c r="I446" s="10"/>
      <c r="J446" s="12"/>
      <c r="L446" s="10">
        <v>36</v>
      </c>
      <c r="M446" s="32"/>
      <c r="N446" s="33"/>
      <c r="O446" s="51"/>
      <c r="P446" s="33"/>
      <c r="Q446" s="34">
        <f t="shared" si="159"/>
        <v>0</v>
      </c>
      <c r="R446" s="10"/>
      <c r="S446" s="10"/>
      <c r="T446" s="10"/>
      <c r="U446" s="12">
        <f t="shared" si="150"/>
        <v>0</v>
      </c>
      <c r="W446" s="10">
        <v>36</v>
      </c>
      <c r="X446" s="32"/>
      <c r="Y446" s="33"/>
      <c r="Z446" s="51"/>
      <c r="AA446" s="33"/>
      <c r="AB446" s="34">
        <f t="shared" si="160"/>
        <v>0</v>
      </c>
      <c r="AC446" s="10"/>
      <c r="AD446" s="10"/>
      <c r="AE446" s="10"/>
      <c r="AF446" s="12">
        <f t="shared" si="152"/>
        <v>0</v>
      </c>
    </row>
    <row r="447" spans="1:32" x14ac:dyDescent="0.25">
      <c r="A447" s="10"/>
      <c r="B447" s="32"/>
      <c r="C447" s="33"/>
      <c r="D447" s="34"/>
      <c r="E447" s="34"/>
      <c r="F447" s="34"/>
      <c r="G447" s="10"/>
      <c r="H447" s="10"/>
      <c r="I447" s="10"/>
      <c r="J447" s="12"/>
      <c r="L447" s="10">
        <v>37</v>
      </c>
      <c r="M447" s="32"/>
      <c r="N447" s="33"/>
      <c r="O447" s="51"/>
      <c r="P447" s="33"/>
      <c r="Q447" s="34">
        <f t="shared" si="159"/>
        <v>0</v>
      </c>
      <c r="R447" s="10"/>
      <c r="S447" s="10"/>
      <c r="T447" s="10"/>
      <c r="U447" s="12">
        <f t="shared" si="150"/>
        <v>0</v>
      </c>
      <c r="W447" s="10">
        <v>37</v>
      </c>
      <c r="X447" s="32"/>
      <c r="Y447" s="33"/>
      <c r="Z447" s="51"/>
      <c r="AA447" s="33"/>
      <c r="AB447" s="34">
        <f t="shared" si="160"/>
        <v>0</v>
      </c>
      <c r="AC447" s="10"/>
      <c r="AD447" s="10"/>
      <c r="AE447" s="10"/>
      <c r="AF447" s="12">
        <f t="shared" si="152"/>
        <v>0</v>
      </c>
    </row>
    <row r="448" spans="1:32" x14ac:dyDescent="0.25">
      <c r="A448" s="10"/>
      <c r="B448" s="32"/>
      <c r="C448" s="33"/>
      <c r="D448" s="34"/>
      <c r="E448" s="34"/>
      <c r="F448" s="34"/>
      <c r="G448" s="10"/>
      <c r="H448" s="10"/>
      <c r="I448" s="10"/>
      <c r="J448" s="12"/>
      <c r="L448" s="10">
        <v>38</v>
      </c>
      <c r="M448" s="32"/>
      <c r="N448" s="33"/>
      <c r="O448" s="51"/>
      <c r="P448" s="33"/>
      <c r="Q448" s="34">
        <f t="shared" si="159"/>
        <v>0</v>
      </c>
      <c r="R448" s="10"/>
      <c r="S448" s="10"/>
      <c r="T448" s="10"/>
      <c r="U448" s="12">
        <f t="shared" si="150"/>
        <v>0</v>
      </c>
      <c r="W448" s="10">
        <v>38</v>
      </c>
      <c r="X448" s="32"/>
      <c r="Y448" s="33"/>
      <c r="Z448" s="51"/>
      <c r="AA448" s="33"/>
      <c r="AB448" s="34">
        <f t="shared" si="160"/>
        <v>0</v>
      </c>
      <c r="AC448" s="10"/>
      <c r="AD448" s="10"/>
      <c r="AE448" s="10"/>
      <c r="AF448" s="12">
        <f t="shared" si="152"/>
        <v>0</v>
      </c>
    </row>
    <row r="449" spans="1:32" x14ac:dyDescent="0.25">
      <c r="A449" s="10"/>
      <c r="B449" s="32"/>
      <c r="C449" s="33"/>
      <c r="D449" s="34"/>
      <c r="E449" s="34"/>
      <c r="F449" s="34"/>
      <c r="G449" s="10"/>
      <c r="H449" s="10"/>
      <c r="I449" s="10"/>
      <c r="J449" s="12"/>
      <c r="L449" s="10">
        <v>39</v>
      </c>
      <c r="M449" s="32"/>
      <c r="N449" s="33"/>
      <c r="O449" s="51"/>
      <c r="P449" s="33"/>
      <c r="Q449" s="34">
        <f t="shared" si="159"/>
        <v>0</v>
      </c>
      <c r="R449" s="10"/>
      <c r="S449" s="10"/>
      <c r="T449" s="10"/>
      <c r="U449" s="12">
        <f t="shared" si="150"/>
        <v>0</v>
      </c>
      <c r="W449" s="10">
        <v>39</v>
      </c>
      <c r="X449" s="32"/>
      <c r="Y449" s="33"/>
      <c r="Z449" s="51"/>
      <c r="AA449" s="33"/>
      <c r="AB449" s="34">
        <f t="shared" si="160"/>
        <v>0</v>
      </c>
      <c r="AC449" s="10"/>
      <c r="AD449" s="10"/>
      <c r="AE449" s="10"/>
      <c r="AF449" s="12">
        <f t="shared" si="152"/>
        <v>0</v>
      </c>
    </row>
    <row r="450" spans="1:32" x14ac:dyDescent="0.25">
      <c r="A450" s="10"/>
      <c r="B450" s="32"/>
      <c r="C450" s="70"/>
      <c r="D450" s="34"/>
      <c r="E450" s="34"/>
      <c r="F450" s="34"/>
      <c r="G450" s="10"/>
      <c r="H450" s="10"/>
      <c r="I450" s="10"/>
      <c r="J450" s="12"/>
      <c r="L450" s="10"/>
      <c r="M450" s="32"/>
      <c r="O450" s="51"/>
      <c r="P450" s="33"/>
      <c r="Q450" s="34"/>
      <c r="R450" s="10"/>
      <c r="S450" s="10"/>
      <c r="T450" s="10"/>
      <c r="U450" s="12">
        <f t="shared" si="150"/>
        <v>0</v>
      </c>
      <c r="W450" s="10"/>
      <c r="X450" s="32"/>
      <c r="Z450" s="51"/>
      <c r="AA450" s="33"/>
      <c r="AB450" s="34"/>
      <c r="AC450" s="10"/>
      <c r="AD450" s="10"/>
      <c r="AE450" s="10"/>
      <c r="AF450" s="12">
        <f t="shared" si="152"/>
        <v>0</v>
      </c>
    </row>
    <row r="451" spans="1:32" x14ac:dyDescent="0.25">
      <c r="A451" s="10"/>
      <c r="B451" s="32"/>
      <c r="C451" s="33"/>
      <c r="D451" s="34"/>
      <c r="E451" s="34"/>
      <c r="F451" s="34">
        <f t="shared" ref="F451" si="161">SUM(D451:E451)</f>
        <v>0</v>
      </c>
      <c r="G451" s="10"/>
      <c r="H451" s="10"/>
      <c r="I451" s="10"/>
      <c r="J451" s="12">
        <f t="shared" ref="J451" si="162">SUM(F451:I451)</f>
        <v>0</v>
      </c>
      <c r="L451" s="10"/>
      <c r="M451" s="32"/>
      <c r="N451" s="33"/>
      <c r="O451" s="51"/>
      <c r="P451" s="33"/>
      <c r="Q451" s="34">
        <f t="shared" ref="Q451" si="163">SUM(O451:P451)</f>
        <v>0</v>
      </c>
      <c r="R451" s="10"/>
      <c r="S451" s="10"/>
      <c r="T451" s="10"/>
      <c r="U451" s="12">
        <f t="shared" si="150"/>
        <v>0</v>
      </c>
      <c r="W451" s="10"/>
      <c r="X451" s="32"/>
      <c r="Y451" s="33"/>
      <c r="Z451" s="51"/>
      <c r="AA451" s="33"/>
      <c r="AB451" s="34">
        <f t="shared" ref="AB451" si="164">SUM(Z451:AA451)</f>
        <v>0</v>
      </c>
      <c r="AC451" s="10"/>
      <c r="AD451" s="10"/>
      <c r="AE451" s="10"/>
      <c r="AF451" s="12">
        <f t="shared" si="152"/>
        <v>0</v>
      </c>
    </row>
    <row r="452" spans="1:32" x14ac:dyDescent="0.25">
      <c r="A452" s="10"/>
      <c r="B452" s="32"/>
      <c r="C452" s="32"/>
      <c r="D452" s="34"/>
      <c r="E452" s="34"/>
      <c r="F452" s="34"/>
      <c r="G452" s="10"/>
      <c r="H452" s="10"/>
      <c r="I452" s="10"/>
      <c r="J452" s="12"/>
      <c r="L452" s="10"/>
      <c r="M452" s="33"/>
      <c r="N452" s="33"/>
      <c r="O452" s="33"/>
      <c r="P452" s="33"/>
      <c r="Q452" s="33"/>
      <c r="R452" s="10"/>
      <c r="S452" s="10"/>
      <c r="T452" s="10"/>
      <c r="U452" s="12">
        <f t="shared" si="150"/>
        <v>0</v>
      </c>
      <c r="W452" s="10"/>
      <c r="X452" s="33"/>
      <c r="Y452" s="33"/>
      <c r="Z452" s="33"/>
      <c r="AA452" s="33"/>
      <c r="AB452" s="33"/>
      <c r="AC452" s="10"/>
      <c r="AD452" s="10"/>
      <c r="AE452" s="10"/>
      <c r="AF452" s="12">
        <f t="shared" si="152"/>
        <v>0</v>
      </c>
    </row>
    <row r="453" spans="1:32" x14ac:dyDescent="0.25">
      <c r="B453" s="70"/>
      <c r="C453" s="70"/>
      <c r="D453" s="38"/>
      <c r="E453" s="38"/>
      <c r="F453" s="38"/>
      <c r="G453" s="39"/>
      <c r="H453" s="39"/>
      <c r="I453" s="39"/>
      <c r="J453" s="39"/>
      <c r="M453" s="70"/>
      <c r="N453" s="70"/>
      <c r="O453" s="38"/>
      <c r="P453" s="38"/>
      <c r="Q453" s="38"/>
      <c r="R453" s="39"/>
      <c r="S453" s="39"/>
      <c r="T453" s="39"/>
      <c r="U453" s="39"/>
      <c r="X453" s="70"/>
      <c r="Y453" s="70"/>
      <c r="Z453" s="38"/>
      <c r="AA453" s="38"/>
      <c r="AB453" s="38"/>
      <c r="AC453" s="39"/>
      <c r="AD453" s="39"/>
      <c r="AE453" s="39"/>
      <c r="AF453" s="39"/>
    </row>
    <row r="454" spans="1:32" x14ac:dyDescent="0.25">
      <c r="B454" s="70"/>
      <c r="C454" s="70"/>
      <c r="D454" s="40">
        <f>SUM(D411:D453)</f>
        <v>350895.5</v>
      </c>
      <c r="E454" s="40">
        <f t="shared" ref="E454" si="165">SUM(E411:E451)</f>
        <v>-3753</v>
      </c>
      <c r="F454" s="40">
        <f>SUM(F411:F453)</f>
        <v>347142.5</v>
      </c>
      <c r="G454" s="4"/>
      <c r="H454" s="41">
        <f>SUM(H411:H453)</f>
        <v>11582</v>
      </c>
      <c r="I454" s="41">
        <f>SUM(I411:I453)</f>
        <v>-2466</v>
      </c>
      <c r="J454" s="42">
        <f>SUM(J411:J453)</f>
        <v>356258.5</v>
      </c>
      <c r="M454" s="70"/>
      <c r="N454" s="70"/>
      <c r="O454" s="40">
        <f>SUM(O411:O453)</f>
        <v>295812.5</v>
      </c>
      <c r="P454" s="40">
        <f>SUM(P411:P435)</f>
        <v>-3986</v>
      </c>
      <c r="Q454" s="40">
        <f>SUM(Q411:Q453)</f>
        <v>291826.5</v>
      </c>
      <c r="R454" s="4"/>
      <c r="S454" s="43">
        <f>SUM(S411:S453)</f>
        <v>9300</v>
      </c>
      <c r="T454" s="43">
        <f>SUM(T411:T435)</f>
        <v>-15264</v>
      </c>
      <c r="U454" s="44">
        <f>SUM(U411:U453)</f>
        <v>285862.5</v>
      </c>
      <c r="X454" s="70"/>
      <c r="Y454" s="70"/>
      <c r="Z454" s="40">
        <f>SUM(Z411:Z453)</f>
        <v>190707.5</v>
      </c>
      <c r="AA454" s="40">
        <f>SUM(AA411:AA435)</f>
        <v>0</v>
      </c>
      <c r="AB454" s="40">
        <f>SUM(AB411:AB453)</f>
        <v>190707.5</v>
      </c>
      <c r="AC454" s="4"/>
      <c r="AD454" s="43">
        <f>SUM(AD411:AD453)</f>
        <v>5529</v>
      </c>
      <c r="AE454" s="43">
        <f>SUM(AE411:AE435)</f>
        <v>0</v>
      </c>
      <c r="AF454" s="44">
        <f>SUM(AF411:AF453)</f>
        <v>195546.5</v>
      </c>
    </row>
    <row r="455" spans="1:32" x14ac:dyDescent="0.25">
      <c r="B455" s="70"/>
      <c r="C455" s="70"/>
      <c r="D455" s="70"/>
      <c r="E455" s="70"/>
      <c r="F455" s="70"/>
      <c r="M455" s="70"/>
      <c r="N455" s="70"/>
      <c r="O455" s="45"/>
      <c r="P455" s="70"/>
      <c r="Q455" s="70"/>
      <c r="X455" s="70"/>
      <c r="Y455" s="70"/>
      <c r="Z455" s="45"/>
      <c r="AA455" s="70"/>
      <c r="AB455" s="70"/>
    </row>
    <row r="456" spans="1:32" x14ac:dyDescent="0.25">
      <c r="B456" s="70"/>
      <c r="C456" s="70"/>
      <c r="D456" s="70"/>
      <c r="E456" s="70"/>
      <c r="F456" s="70"/>
      <c r="M456" s="70"/>
      <c r="N456" s="70"/>
      <c r="O456" s="70"/>
      <c r="P456" s="70"/>
      <c r="Q456" s="70"/>
      <c r="X456" s="70"/>
      <c r="Y456" s="70"/>
      <c r="Z456" s="70"/>
      <c r="AA456" s="70"/>
      <c r="AB456" s="70"/>
    </row>
    <row r="457" spans="1:32" x14ac:dyDescent="0.25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</row>
    <row r="458" spans="1:32" x14ac:dyDescent="0.25">
      <c r="A458" t="s">
        <v>0</v>
      </c>
      <c r="B458" s="70"/>
      <c r="C458" s="70"/>
      <c r="D458" s="70"/>
      <c r="E458" s="70"/>
      <c r="F458" s="70"/>
      <c r="L458" t="s">
        <v>0</v>
      </c>
      <c r="M458" s="70"/>
      <c r="N458" s="70"/>
      <c r="O458" s="70"/>
      <c r="P458" s="70"/>
      <c r="Q458" s="70"/>
      <c r="W458" t="s">
        <v>0</v>
      </c>
      <c r="X458" s="70"/>
      <c r="Y458" s="70"/>
      <c r="Z458" s="70"/>
      <c r="AA458" s="70"/>
      <c r="AB458" s="70"/>
    </row>
    <row r="459" spans="1:32" x14ac:dyDescent="0.25">
      <c r="A459" t="s">
        <v>30</v>
      </c>
      <c r="B459" s="70"/>
      <c r="C459" s="70"/>
      <c r="D459" s="70"/>
      <c r="E459" s="70"/>
      <c r="F459" s="70"/>
      <c r="L459" t="s">
        <v>30</v>
      </c>
      <c r="M459" s="70"/>
      <c r="N459" s="70"/>
      <c r="O459" s="70"/>
      <c r="P459" s="70"/>
      <c r="Q459" s="70"/>
      <c r="W459" t="s">
        <v>30</v>
      </c>
      <c r="X459" s="70"/>
      <c r="Y459" s="70"/>
      <c r="Z459" s="70"/>
      <c r="AA459" s="70"/>
      <c r="AB459" s="70"/>
    </row>
    <row r="460" spans="1:32" x14ac:dyDescent="0.25">
      <c r="B460" s="70"/>
      <c r="C460" s="70"/>
      <c r="D460" s="70"/>
      <c r="E460" s="70"/>
      <c r="F460" s="70"/>
      <c r="M460" s="70"/>
      <c r="N460" s="70"/>
      <c r="O460" s="70"/>
      <c r="P460" s="70"/>
      <c r="Q460" s="70"/>
      <c r="X460" s="70"/>
      <c r="Y460" s="70"/>
      <c r="Z460" s="70"/>
      <c r="AA460" s="70"/>
      <c r="AB460" s="70"/>
    </row>
    <row r="461" spans="1:32" x14ac:dyDescent="0.25">
      <c r="A461" s="4" t="s">
        <v>15</v>
      </c>
      <c r="B461" s="70"/>
      <c r="C461" s="70"/>
      <c r="D461" s="70"/>
      <c r="E461" s="70"/>
      <c r="F461" s="70"/>
      <c r="L461" s="4" t="s">
        <v>15</v>
      </c>
      <c r="M461" s="70"/>
      <c r="N461" s="70"/>
      <c r="O461" s="70"/>
      <c r="P461" s="70"/>
      <c r="Q461" s="70"/>
      <c r="W461" s="4" t="s">
        <v>15</v>
      </c>
      <c r="X461" s="70"/>
      <c r="Y461" s="70"/>
      <c r="Z461" s="70"/>
      <c r="AA461" s="70"/>
      <c r="AB461" s="70"/>
    </row>
    <row r="462" spans="1:32" x14ac:dyDescent="0.25">
      <c r="B462" s="70"/>
      <c r="C462" s="70"/>
      <c r="D462" s="70"/>
      <c r="E462" s="70"/>
      <c r="F462" s="70"/>
      <c r="M462" s="70"/>
      <c r="N462" s="70"/>
      <c r="O462" s="70"/>
      <c r="P462" s="70"/>
      <c r="Q462" s="70"/>
      <c r="X462" s="70"/>
      <c r="Y462" s="70"/>
      <c r="Z462" s="70"/>
      <c r="AA462" s="70"/>
      <c r="AB462" s="70"/>
    </row>
    <row r="463" spans="1:32" ht="15.75" x14ac:dyDescent="0.25">
      <c r="A463" t="s">
        <v>39</v>
      </c>
      <c r="B463" s="70"/>
      <c r="C463" s="70"/>
      <c r="D463" s="70"/>
      <c r="E463" s="70"/>
      <c r="F463" s="70"/>
      <c r="H463" s="70" t="s">
        <v>16</v>
      </c>
      <c r="I463" s="19">
        <v>1</v>
      </c>
      <c r="L463" t="s">
        <v>39</v>
      </c>
      <c r="M463" s="70"/>
      <c r="N463" s="70"/>
      <c r="O463" s="70"/>
      <c r="P463" s="70"/>
      <c r="Q463" s="70"/>
      <c r="S463" s="70" t="s">
        <v>16</v>
      </c>
      <c r="T463" s="19">
        <v>2</v>
      </c>
      <c r="W463" t="s">
        <v>39</v>
      </c>
      <c r="X463" s="70"/>
      <c r="Y463" s="70"/>
      <c r="Z463" s="70"/>
      <c r="AA463" s="70"/>
      <c r="AB463" s="70"/>
      <c r="AD463" s="70" t="s">
        <v>16</v>
      </c>
      <c r="AE463" s="20">
        <v>3</v>
      </c>
    </row>
    <row r="464" spans="1:32" x14ac:dyDescent="0.25">
      <c r="A464" s="21" t="s">
        <v>64</v>
      </c>
      <c r="B464" s="20"/>
      <c r="C464" s="70"/>
      <c r="D464" s="70"/>
      <c r="E464" s="70"/>
      <c r="F464" s="70"/>
      <c r="H464" s="22" t="s">
        <v>17</v>
      </c>
      <c r="I464" s="23" t="s">
        <v>46</v>
      </c>
      <c r="J464" s="24"/>
      <c r="L464" s="21" t="s">
        <v>64</v>
      </c>
      <c r="M464" s="20"/>
      <c r="N464" s="70"/>
      <c r="O464" s="70"/>
      <c r="P464" s="70"/>
      <c r="Q464" s="70"/>
      <c r="S464" s="22" t="s">
        <v>17</v>
      </c>
      <c r="T464" s="23" t="s">
        <v>34</v>
      </c>
      <c r="U464" s="24"/>
      <c r="W464" s="21" t="s">
        <v>64</v>
      </c>
      <c r="X464" s="20"/>
      <c r="Y464" s="70"/>
      <c r="Z464" s="70"/>
      <c r="AA464" s="70"/>
      <c r="AB464" s="70"/>
      <c r="AD464" s="22" t="s">
        <v>17</v>
      </c>
      <c r="AE464" s="23" t="s">
        <v>47</v>
      </c>
      <c r="AF464" s="24"/>
    </row>
    <row r="465" spans="1:32" x14ac:dyDescent="0.25">
      <c r="B465" s="70"/>
      <c r="C465" s="70"/>
      <c r="D465" s="70"/>
      <c r="E465" s="70"/>
      <c r="F465" s="70"/>
      <c r="M465" s="70"/>
      <c r="N465" s="70"/>
      <c r="O465" s="70"/>
      <c r="P465" s="70"/>
      <c r="Q465" s="70"/>
      <c r="X465" s="70"/>
      <c r="Y465" s="70"/>
      <c r="Z465" s="70"/>
      <c r="AA465" s="70"/>
      <c r="AB465" s="70"/>
    </row>
    <row r="466" spans="1:32" x14ac:dyDescent="0.25">
      <c r="B466" s="25"/>
      <c r="C466" s="26"/>
      <c r="D466" s="79" t="s">
        <v>18</v>
      </c>
      <c r="E466" s="79"/>
      <c r="F466" s="27"/>
      <c r="H466" s="77" t="s">
        <v>19</v>
      </c>
      <c r="I466" s="78"/>
      <c r="J466" s="75" t="s">
        <v>20</v>
      </c>
      <c r="M466" s="25"/>
      <c r="N466" s="26"/>
      <c r="O466" s="79" t="s">
        <v>18</v>
      </c>
      <c r="P466" s="79"/>
      <c r="Q466" s="27"/>
      <c r="S466" s="77" t="s">
        <v>19</v>
      </c>
      <c r="T466" s="78"/>
      <c r="U466" s="75" t="s">
        <v>20</v>
      </c>
      <c r="X466" s="25"/>
      <c r="Y466" s="26"/>
      <c r="Z466" s="79" t="s">
        <v>18</v>
      </c>
      <c r="AA466" s="79"/>
      <c r="AB466" s="27"/>
      <c r="AD466" s="77" t="s">
        <v>19</v>
      </c>
      <c r="AE466" s="78"/>
      <c r="AF466" s="75" t="s">
        <v>20</v>
      </c>
    </row>
    <row r="467" spans="1:32" ht="30" x14ac:dyDescent="0.25">
      <c r="B467" s="28" t="s">
        <v>21</v>
      </c>
      <c r="C467" s="28" t="s">
        <v>22</v>
      </c>
      <c r="D467" s="29" t="s">
        <v>23</v>
      </c>
      <c r="E467" s="30" t="s">
        <v>24</v>
      </c>
      <c r="F467" s="30" t="s">
        <v>25</v>
      </c>
      <c r="H467" s="31" t="s">
        <v>26</v>
      </c>
      <c r="I467" s="31" t="s">
        <v>27</v>
      </c>
      <c r="J467" s="76"/>
      <c r="M467" s="28" t="s">
        <v>21</v>
      </c>
      <c r="N467" s="28" t="s">
        <v>22</v>
      </c>
      <c r="O467" s="29" t="s">
        <v>23</v>
      </c>
      <c r="P467" s="30" t="s">
        <v>24</v>
      </c>
      <c r="Q467" s="30" t="s">
        <v>25</v>
      </c>
      <c r="S467" s="31" t="s">
        <v>26</v>
      </c>
      <c r="T467" s="31" t="s">
        <v>27</v>
      </c>
      <c r="U467" s="76"/>
      <c r="X467" s="28" t="s">
        <v>21</v>
      </c>
      <c r="Y467" s="28" t="s">
        <v>22</v>
      </c>
      <c r="Z467" s="29" t="s">
        <v>23</v>
      </c>
      <c r="AA467" s="30" t="s">
        <v>24</v>
      </c>
      <c r="AB467" s="30" t="s">
        <v>25</v>
      </c>
      <c r="AD467" s="31" t="s">
        <v>26</v>
      </c>
      <c r="AE467" s="31" t="s">
        <v>27</v>
      </c>
      <c r="AF467" s="76"/>
    </row>
    <row r="468" spans="1:32" x14ac:dyDescent="0.25">
      <c r="A468" s="10">
        <v>1</v>
      </c>
      <c r="B468" s="32">
        <v>45668</v>
      </c>
      <c r="C468" s="33">
        <v>7451</v>
      </c>
      <c r="D468" s="34">
        <f>4382+1192+76.5+674</f>
        <v>6324.5</v>
      </c>
      <c r="E468" s="34"/>
      <c r="F468" s="34">
        <f t="shared" ref="F468:F473" si="166">SUM(D468:E468)</f>
        <v>6324.5</v>
      </c>
      <c r="G468" s="12"/>
      <c r="H468" s="12"/>
      <c r="I468" s="12"/>
      <c r="J468" s="12">
        <f t="shared" ref="J468:J507" si="167">SUM(F468:I468)</f>
        <v>6324.5</v>
      </c>
      <c r="L468" s="10">
        <v>1</v>
      </c>
      <c r="M468" s="32">
        <v>45668</v>
      </c>
      <c r="N468" s="33">
        <v>7361</v>
      </c>
      <c r="O468" s="34">
        <f>4382+614+59.5+674</f>
        <v>5729.5</v>
      </c>
      <c r="P468" s="34"/>
      <c r="Q468" s="34">
        <f>SUM(O468:P468)</f>
        <v>5729.5</v>
      </c>
      <c r="R468" s="12"/>
      <c r="S468" s="12"/>
      <c r="T468" s="12"/>
      <c r="U468" s="12">
        <f>SUM(Q468:T468)</f>
        <v>5729.5</v>
      </c>
      <c r="W468" s="10">
        <v>1</v>
      </c>
      <c r="X468" s="32">
        <v>45668</v>
      </c>
      <c r="Y468" s="33">
        <v>7049</v>
      </c>
      <c r="Z468" s="34">
        <f>3756+596*3+76.5</f>
        <v>5620.5</v>
      </c>
      <c r="AA468" s="34"/>
      <c r="AB468" s="34">
        <f>SUM(Z468:AA468)</f>
        <v>5620.5</v>
      </c>
      <c r="AC468" s="12"/>
      <c r="AD468" s="12">
        <v>63</v>
      </c>
      <c r="AE468" s="12"/>
      <c r="AF468" s="12">
        <f>SUM(AB468:AE468)</f>
        <v>5683.5</v>
      </c>
    </row>
    <row r="469" spans="1:32" x14ac:dyDescent="0.25">
      <c r="A469" s="10">
        <v>2</v>
      </c>
      <c r="B469" s="32">
        <v>45668</v>
      </c>
      <c r="C469" s="33">
        <v>7415</v>
      </c>
      <c r="D469" s="34">
        <f>10016+2384+170</f>
        <v>12570</v>
      </c>
      <c r="E469" s="34"/>
      <c r="F469" s="34">
        <f t="shared" si="166"/>
        <v>12570</v>
      </c>
      <c r="G469" s="12"/>
      <c r="H469" s="12"/>
      <c r="I469" s="12"/>
      <c r="J469" s="12">
        <f t="shared" si="167"/>
        <v>12570</v>
      </c>
      <c r="L469" s="10">
        <v>2</v>
      </c>
      <c r="M469" s="32">
        <v>45668</v>
      </c>
      <c r="N469" s="33">
        <f>N468+1</f>
        <v>7362</v>
      </c>
      <c r="O469" s="34">
        <f>1228</f>
        <v>1228</v>
      </c>
      <c r="P469" s="34"/>
      <c r="Q469" s="34">
        <f t="shared" ref="Q469:Q500" si="168">SUM(O469:P469)</f>
        <v>1228</v>
      </c>
      <c r="R469" s="12"/>
      <c r="S469" s="12"/>
      <c r="T469" s="12"/>
      <c r="U469" s="12">
        <f t="shared" ref="U469:U509" si="169">SUM(Q469:T469)</f>
        <v>1228</v>
      </c>
      <c r="W469" s="10">
        <v>2</v>
      </c>
      <c r="X469" s="32">
        <v>45668</v>
      </c>
      <c r="Y469" s="33">
        <f>Y468+1</f>
        <v>7050</v>
      </c>
      <c r="Z469" s="34">
        <f>626*35+913*2+596*2+205</f>
        <v>25133</v>
      </c>
      <c r="AA469" s="34"/>
      <c r="AB469" s="34">
        <f t="shared" ref="AB469:AB471" si="170">SUM(Z469:AA469)</f>
        <v>25133</v>
      </c>
      <c r="AC469" s="12"/>
      <c r="AD469" s="12">
        <f>9+1.5</f>
        <v>10.5</v>
      </c>
      <c r="AE469" s="12"/>
      <c r="AF469" s="12">
        <f t="shared" ref="AF469:AF509" si="171">SUM(AB469:AE469)</f>
        <v>25143.5</v>
      </c>
    </row>
    <row r="470" spans="1:32" x14ac:dyDescent="0.25">
      <c r="A470" s="10">
        <v>3</v>
      </c>
      <c r="B470" s="32">
        <v>45668</v>
      </c>
      <c r="C470" s="33">
        <f t="shared" ref="C470:C504" si="172">C469+1</f>
        <v>7416</v>
      </c>
      <c r="D470" s="35">
        <f>626+9</f>
        <v>635</v>
      </c>
      <c r="E470" s="35"/>
      <c r="F470" s="35">
        <f t="shared" si="166"/>
        <v>635</v>
      </c>
      <c r="G470" s="36"/>
      <c r="H470" s="36"/>
      <c r="I470" s="36"/>
      <c r="J470" s="36">
        <f t="shared" si="167"/>
        <v>635</v>
      </c>
      <c r="L470" s="10">
        <v>3</v>
      </c>
      <c r="M470" s="32">
        <v>45668</v>
      </c>
      <c r="N470" s="33">
        <f t="shared" ref="N470:N483" si="173">N469+1</f>
        <v>7363</v>
      </c>
      <c r="O470" s="34">
        <f>626+614+8.5</f>
        <v>1248.5</v>
      </c>
      <c r="P470" s="34"/>
      <c r="Q470" s="34">
        <f t="shared" si="168"/>
        <v>1248.5</v>
      </c>
      <c r="R470" s="12"/>
      <c r="S470" s="12"/>
      <c r="T470" s="12"/>
      <c r="U470" s="12">
        <f t="shared" si="169"/>
        <v>1248.5</v>
      </c>
      <c r="W470" s="10">
        <v>3</v>
      </c>
      <c r="X470" s="32">
        <v>45668</v>
      </c>
      <c r="Y470" s="33">
        <v>7101</v>
      </c>
      <c r="Z470" s="34">
        <f>626*150+614*20+596*50+205*4</f>
        <v>136800</v>
      </c>
      <c r="AA470" s="34">
        <v>-1980</v>
      </c>
      <c r="AB470" s="34">
        <f t="shared" si="170"/>
        <v>134820</v>
      </c>
      <c r="AC470" s="12"/>
      <c r="AD470" s="12"/>
      <c r="AE470" s="12"/>
      <c r="AF470" s="12">
        <f t="shared" si="171"/>
        <v>134820</v>
      </c>
    </row>
    <row r="471" spans="1:32" x14ac:dyDescent="0.25">
      <c r="A471" s="10">
        <v>4</v>
      </c>
      <c r="B471" s="32">
        <v>45668</v>
      </c>
      <c r="C471" s="33">
        <f t="shared" si="172"/>
        <v>7417</v>
      </c>
      <c r="D471" s="34">
        <f>1252+17</f>
        <v>1269</v>
      </c>
      <c r="E471" s="34"/>
      <c r="F471" s="34">
        <f t="shared" si="166"/>
        <v>1269</v>
      </c>
      <c r="G471" s="12"/>
      <c r="H471" s="12"/>
      <c r="I471" s="12"/>
      <c r="J471" s="12">
        <f t="shared" si="167"/>
        <v>1269</v>
      </c>
      <c r="L471" s="10">
        <v>4</v>
      </c>
      <c r="M471" s="32">
        <v>45668</v>
      </c>
      <c r="N471" s="33">
        <f t="shared" si="173"/>
        <v>7364</v>
      </c>
      <c r="O471" s="34">
        <f>626*16+1102+136</f>
        <v>11254</v>
      </c>
      <c r="P471" s="34"/>
      <c r="Q471" s="34">
        <f t="shared" si="168"/>
        <v>11254</v>
      </c>
      <c r="R471" s="12"/>
      <c r="S471" s="12"/>
      <c r="T471" s="12"/>
      <c r="U471" s="12">
        <f t="shared" si="169"/>
        <v>11254</v>
      </c>
      <c r="W471" s="10">
        <v>4</v>
      </c>
      <c r="X471" s="32">
        <v>45668</v>
      </c>
      <c r="Y471" s="33">
        <f t="shared" ref="Y471:Y477" si="174">Y470+1</f>
        <v>7102</v>
      </c>
      <c r="Z471" s="34">
        <f>1252+596+25.5+674</f>
        <v>2547.5</v>
      </c>
      <c r="AA471" s="34"/>
      <c r="AB471" s="34">
        <f t="shared" si="170"/>
        <v>2547.5</v>
      </c>
      <c r="AC471" s="12"/>
      <c r="AE471" s="12"/>
      <c r="AF471" s="12">
        <f t="shared" si="171"/>
        <v>2547.5</v>
      </c>
    </row>
    <row r="472" spans="1:32" x14ac:dyDescent="0.25">
      <c r="A472" s="10">
        <v>5</v>
      </c>
      <c r="B472" s="32">
        <v>45668</v>
      </c>
      <c r="C472" s="33">
        <f t="shared" si="172"/>
        <v>7418</v>
      </c>
      <c r="D472" s="34">
        <f>1252+17</f>
        <v>1269</v>
      </c>
      <c r="E472" s="34"/>
      <c r="F472" s="34">
        <f t="shared" si="166"/>
        <v>1269</v>
      </c>
      <c r="G472" s="12"/>
      <c r="H472" s="12"/>
      <c r="I472" s="12"/>
      <c r="J472" s="12">
        <f t="shared" si="167"/>
        <v>1269</v>
      </c>
      <c r="L472" s="10">
        <v>5</v>
      </c>
      <c r="M472" s="32">
        <v>45668</v>
      </c>
      <c r="N472" s="33">
        <f t="shared" si="173"/>
        <v>7365</v>
      </c>
      <c r="O472" s="34">
        <f>1252+17+666</f>
        <v>1935</v>
      </c>
      <c r="P472" s="34"/>
      <c r="Q472" s="34">
        <f t="shared" si="168"/>
        <v>1935</v>
      </c>
      <c r="R472" s="12"/>
      <c r="S472" s="12"/>
      <c r="T472" s="12"/>
      <c r="U472" s="12">
        <f t="shared" si="169"/>
        <v>1935</v>
      </c>
      <c r="W472" s="10">
        <v>5</v>
      </c>
      <c r="X472" s="32">
        <v>45668</v>
      </c>
      <c r="Y472" s="33">
        <f t="shared" si="174"/>
        <v>7103</v>
      </c>
      <c r="Z472" s="34">
        <f>626*35+674*5+205</f>
        <v>25485</v>
      </c>
      <c r="AA472" s="34"/>
      <c r="AB472" s="34">
        <f t="shared" ref="AB472:AB477" si="175">SUM(Z472:AA472)</f>
        <v>25485</v>
      </c>
      <c r="AC472" s="12"/>
      <c r="AD472" s="12">
        <v>36</v>
      </c>
      <c r="AE472" s="12"/>
      <c r="AF472" s="12">
        <f t="shared" si="171"/>
        <v>25521</v>
      </c>
    </row>
    <row r="473" spans="1:32" x14ac:dyDescent="0.25">
      <c r="A473" s="10">
        <v>6</v>
      </c>
      <c r="B473" s="32">
        <v>45668</v>
      </c>
      <c r="C473" s="33">
        <f t="shared" si="172"/>
        <v>7419</v>
      </c>
      <c r="D473" s="70">
        <f>1878+596+34+1348</f>
        <v>3856</v>
      </c>
      <c r="E473" s="34"/>
      <c r="F473" s="34">
        <f t="shared" si="166"/>
        <v>3856</v>
      </c>
      <c r="G473" s="12"/>
      <c r="I473" s="12"/>
      <c r="J473" s="12">
        <f t="shared" si="167"/>
        <v>3856</v>
      </c>
      <c r="L473" s="10">
        <v>6</v>
      </c>
      <c r="M473" s="32">
        <v>45668</v>
      </c>
      <c r="N473" s="33">
        <f t="shared" si="173"/>
        <v>7366</v>
      </c>
      <c r="O473" s="34">
        <f>626+8.5</f>
        <v>634.5</v>
      </c>
      <c r="P473" s="34"/>
      <c r="Q473" s="34">
        <f t="shared" si="168"/>
        <v>634.5</v>
      </c>
      <c r="R473" s="12"/>
      <c r="S473" s="12"/>
      <c r="T473" s="10"/>
      <c r="U473" s="12">
        <f t="shared" si="169"/>
        <v>634.5</v>
      </c>
      <c r="W473" s="10">
        <v>6</v>
      </c>
      <c r="X473" s="32">
        <v>45668</v>
      </c>
      <c r="Y473" s="33">
        <f t="shared" si="174"/>
        <v>7104</v>
      </c>
      <c r="Z473" s="34">
        <f>626*50+410</f>
        <v>31710</v>
      </c>
      <c r="AA473" s="34"/>
      <c r="AB473" s="34">
        <f t="shared" si="175"/>
        <v>31710</v>
      </c>
      <c r="AC473" s="12"/>
      <c r="AD473" s="12"/>
      <c r="AE473" s="10"/>
      <c r="AF473" s="12">
        <f t="shared" si="171"/>
        <v>31710</v>
      </c>
    </row>
    <row r="474" spans="1:32" x14ac:dyDescent="0.25">
      <c r="A474" s="10">
        <v>7</v>
      </c>
      <c r="B474" s="32">
        <v>45668</v>
      </c>
      <c r="C474" s="33">
        <f t="shared" si="172"/>
        <v>7420</v>
      </c>
      <c r="D474" s="34">
        <f>626*16+614*2+596*2+153</f>
        <v>12589</v>
      </c>
      <c r="E474" s="34"/>
      <c r="F474" s="34">
        <f>SUM(D474:E474)</f>
        <v>12589</v>
      </c>
      <c r="G474" s="12"/>
      <c r="H474" s="12">
        <v>444</v>
      </c>
      <c r="I474" s="12"/>
      <c r="J474" s="12">
        <f t="shared" si="167"/>
        <v>13033</v>
      </c>
      <c r="L474" s="10">
        <v>7</v>
      </c>
      <c r="M474" s="32">
        <v>45668</v>
      </c>
      <c r="N474" s="33">
        <f t="shared" si="173"/>
        <v>7367</v>
      </c>
      <c r="O474" s="34">
        <f>626*45+596*5+410</f>
        <v>31560</v>
      </c>
      <c r="P474" s="34"/>
      <c r="Q474" s="34">
        <f t="shared" si="168"/>
        <v>31560</v>
      </c>
      <c r="R474" s="12"/>
      <c r="S474" s="12"/>
      <c r="T474" s="12"/>
      <c r="U474" s="12">
        <f t="shared" si="169"/>
        <v>31560</v>
      </c>
      <c r="W474" s="10">
        <v>7</v>
      </c>
      <c r="X474" s="32">
        <v>45668</v>
      </c>
      <c r="Y474" s="33">
        <f t="shared" si="174"/>
        <v>7105</v>
      </c>
      <c r="Z474" s="34">
        <f>1252+674+17</f>
        <v>1943</v>
      </c>
      <c r="AA474" s="34"/>
      <c r="AB474" s="34">
        <f t="shared" si="175"/>
        <v>1943</v>
      </c>
      <c r="AC474" s="12"/>
      <c r="AD474" s="66"/>
      <c r="AE474" s="12"/>
      <c r="AF474" s="12">
        <f t="shared" si="171"/>
        <v>1943</v>
      </c>
    </row>
    <row r="475" spans="1:32" x14ac:dyDescent="0.25">
      <c r="A475" s="10">
        <v>8</v>
      </c>
      <c r="B475" s="32">
        <v>45668</v>
      </c>
      <c r="C475" s="33">
        <f t="shared" si="172"/>
        <v>7421</v>
      </c>
      <c r="D475" s="34">
        <f>1252+1228+17</f>
        <v>2497</v>
      </c>
      <c r="E475" s="34"/>
      <c r="F475" s="34">
        <f t="shared" ref="F475:F507" si="176">SUM(D475:E475)</f>
        <v>2497</v>
      </c>
      <c r="G475" s="12"/>
      <c r="H475" s="12">
        <v>14</v>
      </c>
      <c r="I475" s="12"/>
      <c r="J475" s="12">
        <f t="shared" si="167"/>
        <v>2511</v>
      </c>
      <c r="L475" s="10">
        <v>8</v>
      </c>
      <c r="M475" s="32">
        <v>45668</v>
      </c>
      <c r="N475" s="33">
        <f t="shared" si="173"/>
        <v>7368</v>
      </c>
      <c r="O475" s="34">
        <f>13772+1192+205</f>
        <v>15169</v>
      </c>
      <c r="P475" s="34"/>
      <c r="Q475" s="34">
        <f t="shared" si="168"/>
        <v>15169</v>
      </c>
      <c r="R475" s="12"/>
      <c r="S475" s="12">
        <v>36</v>
      </c>
      <c r="T475" s="12"/>
      <c r="U475" s="12">
        <f t="shared" si="169"/>
        <v>15205</v>
      </c>
      <c r="W475" s="10">
        <v>8</v>
      </c>
      <c r="X475" s="32">
        <v>45668</v>
      </c>
      <c r="Y475" s="33">
        <f t="shared" si="174"/>
        <v>7106</v>
      </c>
      <c r="Z475" s="34">
        <f>8138+614+110.5</f>
        <v>8862.5</v>
      </c>
      <c r="AB475" s="34">
        <f t="shared" si="175"/>
        <v>8862.5</v>
      </c>
      <c r="AC475" s="12"/>
      <c r="AD475" s="12"/>
      <c r="AE475" s="12">
        <f>-10*111</f>
        <v>-1110</v>
      </c>
      <c r="AF475" s="12">
        <f t="shared" si="171"/>
        <v>7752.5</v>
      </c>
    </row>
    <row r="476" spans="1:32" x14ac:dyDescent="0.25">
      <c r="A476" s="10">
        <v>9</v>
      </c>
      <c r="B476" s="32">
        <v>45668</v>
      </c>
      <c r="C476" s="33">
        <f t="shared" si="172"/>
        <v>7422</v>
      </c>
      <c r="D476" s="34">
        <f>6260+1192+102</f>
        <v>7554</v>
      </c>
      <c r="E476" s="34"/>
      <c r="F476" s="34">
        <f t="shared" si="176"/>
        <v>7554</v>
      </c>
      <c r="G476" s="12"/>
      <c r="H476" s="12"/>
      <c r="I476" s="12"/>
      <c r="J476" s="12">
        <f t="shared" si="167"/>
        <v>7554</v>
      </c>
      <c r="L476" s="10">
        <v>9</v>
      </c>
      <c r="M476" s="32">
        <v>45668</v>
      </c>
      <c r="N476" s="33">
        <f t="shared" si="173"/>
        <v>7369</v>
      </c>
      <c r="O476" s="34">
        <f>626+596+17</f>
        <v>1239</v>
      </c>
      <c r="P476" s="34"/>
      <c r="Q476" s="34">
        <f t="shared" si="168"/>
        <v>1239</v>
      </c>
      <c r="R476" s="12"/>
      <c r="S476" s="12"/>
      <c r="T476" s="12"/>
      <c r="U476" s="12">
        <f t="shared" si="169"/>
        <v>1239</v>
      </c>
      <c r="W476" s="10">
        <v>9</v>
      </c>
      <c r="X476" s="32">
        <v>45668</v>
      </c>
      <c r="Y476" s="33">
        <f t="shared" si="174"/>
        <v>7107</v>
      </c>
      <c r="Z476">
        <f>1878+596+34</f>
        <v>2508</v>
      </c>
      <c r="AA476" s="34"/>
      <c r="AB476" s="34">
        <f t="shared" si="175"/>
        <v>2508</v>
      </c>
      <c r="AC476" s="12"/>
      <c r="AD476">
        <v>6</v>
      </c>
      <c r="AE476" s="12"/>
      <c r="AF476" s="12">
        <f t="shared" si="171"/>
        <v>2514</v>
      </c>
    </row>
    <row r="477" spans="1:32" x14ac:dyDescent="0.25">
      <c r="A477" s="10">
        <v>10</v>
      </c>
      <c r="B477" s="32">
        <v>45668</v>
      </c>
      <c r="C477" s="33">
        <f t="shared" si="172"/>
        <v>7423</v>
      </c>
      <c r="D477" s="34">
        <f>5008+68</f>
        <v>5076</v>
      </c>
      <c r="E477" s="34"/>
      <c r="F477" s="34">
        <f t="shared" si="176"/>
        <v>5076</v>
      </c>
      <c r="G477" s="12"/>
      <c r="H477" s="12"/>
      <c r="I477" s="12"/>
      <c r="J477" s="12">
        <f t="shared" si="167"/>
        <v>5076</v>
      </c>
      <c r="L477" s="10">
        <v>10</v>
      </c>
      <c r="M477" s="32">
        <v>45668</v>
      </c>
      <c r="N477" s="33">
        <f t="shared" si="173"/>
        <v>7370</v>
      </c>
      <c r="O477" s="34">
        <f>626*170+596*30+1005*5+832*5+1708</f>
        <v>135193</v>
      </c>
      <c r="P477" s="34">
        <v>-1962</v>
      </c>
      <c r="Q477" s="34">
        <f t="shared" si="168"/>
        <v>133231</v>
      </c>
      <c r="R477" s="12"/>
      <c r="S477" s="12"/>
      <c r="T477" s="12">
        <v>-525</v>
      </c>
      <c r="U477" s="12">
        <f t="shared" si="169"/>
        <v>132706</v>
      </c>
      <c r="W477" s="10">
        <v>10</v>
      </c>
      <c r="X477" s="32">
        <v>45668</v>
      </c>
      <c r="Y477" s="33">
        <f t="shared" si="174"/>
        <v>7108</v>
      </c>
      <c r="Z477" s="34">
        <f>1252+17</f>
        <v>1269</v>
      </c>
      <c r="AA477" s="34"/>
      <c r="AB477" s="34">
        <f t="shared" si="175"/>
        <v>1269</v>
      </c>
      <c r="AC477" s="12"/>
      <c r="AD477" s="12"/>
      <c r="AE477" s="12"/>
      <c r="AF477" s="12">
        <f t="shared" si="171"/>
        <v>1269</v>
      </c>
    </row>
    <row r="478" spans="1:32" x14ac:dyDescent="0.25">
      <c r="A478" s="10">
        <v>11</v>
      </c>
      <c r="B478" s="32">
        <v>45668</v>
      </c>
      <c r="C478" s="33">
        <f t="shared" si="172"/>
        <v>7424</v>
      </c>
      <c r="D478" s="34">
        <f>1252+17</f>
        <v>1269</v>
      </c>
      <c r="E478" s="34"/>
      <c r="F478" s="34">
        <f t="shared" si="176"/>
        <v>1269</v>
      </c>
      <c r="G478" s="12"/>
      <c r="H478" s="12"/>
      <c r="I478" s="12"/>
      <c r="J478" s="12">
        <f t="shared" si="167"/>
        <v>1269</v>
      </c>
      <c r="L478" s="10">
        <v>11</v>
      </c>
      <c r="M478" s="32">
        <v>45668</v>
      </c>
      <c r="N478" s="33">
        <f t="shared" si="173"/>
        <v>7371</v>
      </c>
      <c r="O478" s="34">
        <f>3130+42.5</f>
        <v>3172.5</v>
      </c>
      <c r="P478" s="34"/>
      <c r="Q478" s="34">
        <f t="shared" si="168"/>
        <v>3172.5</v>
      </c>
      <c r="R478" s="12"/>
      <c r="S478" s="12"/>
      <c r="T478" s="12"/>
      <c r="U478" s="12">
        <f t="shared" si="169"/>
        <v>3172.5</v>
      </c>
      <c r="W478" s="10">
        <v>11</v>
      </c>
      <c r="X478" s="32"/>
      <c r="Y478" s="11" t="s">
        <v>28</v>
      </c>
      <c r="Z478" s="34"/>
      <c r="AA478" s="34"/>
      <c r="AB478" s="34">
        <f t="shared" ref="AB478:AB500" si="177">SUM(Z478:AA478)</f>
        <v>0</v>
      </c>
      <c r="AC478" s="12"/>
      <c r="AD478" s="12"/>
      <c r="AE478" s="12"/>
      <c r="AF478" s="12">
        <f t="shared" si="171"/>
        <v>0</v>
      </c>
    </row>
    <row r="479" spans="1:32" x14ac:dyDescent="0.25">
      <c r="A479" s="10">
        <v>12</v>
      </c>
      <c r="B479" s="32">
        <v>45668</v>
      </c>
      <c r="C479" s="33">
        <f t="shared" si="172"/>
        <v>7425</v>
      </c>
      <c r="D479" s="34">
        <f>1878+25.5</f>
        <v>1903.5</v>
      </c>
      <c r="E479" s="34"/>
      <c r="F479" s="34">
        <f t="shared" si="176"/>
        <v>1903.5</v>
      </c>
      <c r="G479" s="12"/>
      <c r="H479" s="12"/>
      <c r="I479" s="10"/>
      <c r="J479" s="12">
        <f t="shared" si="167"/>
        <v>1903.5</v>
      </c>
      <c r="L479" s="10">
        <v>12</v>
      </c>
      <c r="M479" s="32">
        <v>45668</v>
      </c>
      <c r="N479" s="33">
        <f t="shared" si="173"/>
        <v>7372</v>
      </c>
      <c r="O479" s="34">
        <f>4382+59.5</f>
        <v>4441.5</v>
      </c>
      <c r="P479" s="34"/>
      <c r="Q479" s="34">
        <f t="shared" si="168"/>
        <v>4441.5</v>
      </c>
      <c r="R479" s="12"/>
      <c r="S479" s="12"/>
      <c r="T479" s="12"/>
      <c r="U479" s="12">
        <f t="shared" si="169"/>
        <v>4441.5</v>
      </c>
      <c r="W479" s="10">
        <v>12</v>
      </c>
      <c r="X479" s="32"/>
      <c r="Y479" s="33"/>
      <c r="Z479" s="34"/>
      <c r="AA479" s="34"/>
      <c r="AB479" s="34">
        <f t="shared" si="177"/>
        <v>0</v>
      </c>
      <c r="AC479" s="12"/>
      <c r="AD479" s="12"/>
      <c r="AE479" s="12"/>
      <c r="AF479" s="12">
        <f t="shared" si="171"/>
        <v>0</v>
      </c>
    </row>
    <row r="480" spans="1:32" x14ac:dyDescent="0.25">
      <c r="A480" s="10">
        <v>13</v>
      </c>
      <c r="B480" s="32">
        <v>45668</v>
      </c>
      <c r="C480" s="33">
        <f t="shared" si="172"/>
        <v>7426</v>
      </c>
      <c r="D480" s="34">
        <f>1878+25.5</f>
        <v>1903.5</v>
      </c>
      <c r="E480" s="34"/>
      <c r="F480" s="34">
        <f t="shared" si="176"/>
        <v>1903.5</v>
      </c>
      <c r="G480" s="12"/>
      <c r="H480" s="12"/>
      <c r="I480" s="12"/>
      <c r="J480" s="12">
        <f t="shared" si="167"/>
        <v>1903.5</v>
      </c>
      <c r="L480" s="10">
        <v>13</v>
      </c>
      <c r="M480" s="32">
        <v>45668</v>
      </c>
      <c r="N480" s="33">
        <f t="shared" si="173"/>
        <v>7373</v>
      </c>
      <c r="O480" s="34">
        <f>1878+205</f>
        <v>2083</v>
      </c>
      <c r="P480" s="34"/>
      <c r="Q480" s="34">
        <f t="shared" si="168"/>
        <v>2083</v>
      </c>
      <c r="R480" s="12"/>
      <c r="S480" s="12">
        <v>411</v>
      </c>
      <c r="T480" s="12"/>
      <c r="U480" s="12">
        <f t="shared" si="169"/>
        <v>2494</v>
      </c>
      <c r="W480" s="10">
        <v>13</v>
      </c>
      <c r="X480" s="32"/>
      <c r="Y480" s="33"/>
      <c r="Z480" s="34"/>
      <c r="AA480" s="34"/>
      <c r="AB480" s="34">
        <f t="shared" si="177"/>
        <v>0</v>
      </c>
      <c r="AC480" s="12"/>
      <c r="AD480" s="12"/>
      <c r="AE480" s="12"/>
      <c r="AF480" s="12">
        <f t="shared" si="171"/>
        <v>0</v>
      </c>
    </row>
    <row r="481" spans="1:32" x14ac:dyDescent="0.25">
      <c r="A481" s="10">
        <v>14</v>
      </c>
      <c r="B481" s="32">
        <v>45668</v>
      </c>
      <c r="C481" s="33">
        <f t="shared" si="172"/>
        <v>7427</v>
      </c>
      <c r="D481" s="34">
        <f>1252+596+25.5</f>
        <v>1873.5</v>
      </c>
      <c r="E481" s="34"/>
      <c r="F481" s="34">
        <f t="shared" si="176"/>
        <v>1873.5</v>
      </c>
      <c r="G481" s="12"/>
      <c r="H481" s="12">
        <v>1.5</v>
      </c>
      <c r="I481" s="12"/>
      <c r="J481" s="12">
        <f t="shared" si="167"/>
        <v>1875</v>
      </c>
      <c r="L481" s="10">
        <v>14</v>
      </c>
      <c r="M481" s="32">
        <v>45668</v>
      </c>
      <c r="N481" s="33">
        <f t="shared" si="173"/>
        <v>7374</v>
      </c>
      <c r="O481" s="34">
        <f>1252+17</f>
        <v>1269</v>
      </c>
      <c r="P481" s="34"/>
      <c r="Q481" s="34">
        <f t="shared" si="168"/>
        <v>1269</v>
      </c>
      <c r="R481" s="12"/>
      <c r="S481" s="12"/>
      <c r="T481" s="12"/>
      <c r="U481" s="12">
        <f t="shared" si="169"/>
        <v>1269</v>
      </c>
      <c r="W481" s="10">
        <v>14</v>
      </c>
      <c r="X481" s="32"/>
      <c r="Y481" s="33"/>
      <c r="AA481" s="34"/>
      <c r="AB481" s="34">
        <f t="shared" si="177"/>
        <v>0</v>
      </c>
      <c r="AC481" s="12"/>
      <c r="AD481" s="12"/>
      <c r="AE481" s="12"/>
      <c r="AF481" s="12">
        <f t="shared" si="171"/>
        <v>0</v>
      </c>
    </row>
    <row r="482" spans="1:32" x14ac:dyDescent="0.25">
      <c r="A482" s="10">
        <v>15</v>
      </c>
      <c r="B482" s="32">
        <v>45668</v>
      </c>
      <c r="C482" s="33">
        <f t="shared" si="172"/>
        <v>7428</v>
      </c>
      <c r="D482" s="34">
        <f>1252+17</f>
        <v>1269</v>
      </c>
      <c r="E482" s="34"/>
      <c r="F482" s="34">
        <f t="shared" si="176"/>
        <v>1269</v>
      </c>
      <c r="G482" s="12"/>
      <c r="H482" s="12"/>
      <c r="I482" s="12"/>
      <c r="J482" s="12">
        <f t="shared" si="167"/>
        <v>1269</v>
      </c>
      <c r="L482" s="10">
        <v>15</v>
      </c>
      <c r="M482" s="32">
        <v>45668</v>
      </c>
      <c r="N482" s="33">
        <f t="shared" si="173"/>
        <v>7375</v>
      </c>
      <c r="O482" s="34">
        <f>1252+17</f>
        <v>1269</v>
      </c>
      <c r="P482" s="34"/>
      <c r="Q482" s="34">
        <f t="shared" si="168"/>
        <v>1269</v>
      </c>
      <c r="R482" s="12"/>
      <c r="S482" s="12"/>
      <c r="T482" s="12"/>
      <c r="U482" s="12">
        <f t="shared" si="169"/>
        <v>1269</v>
      </c>
      <c r="W482" s="10">
        <v>15</v>
      </c>
      <c r="X482" s="32"/>
      <c r="Y482" s="33"/>
      <c r="Z482" s="34"/>
      <c r="AA482" s="34"/>
      <c r="AB482" s="34">
        <f t="shared" si="177"/>
        <v>0</v>
      </c>
      <c r="AC482" s="12"/>
      <c r="AD482" s="12"/>
      <c r="AE482" s="12"/>
      <c r="AF482" s="12">
        <f t="shared" si="171"/>
        <v>0</v>
      </c>
    </row>
    <row r="483" spans="1:32" x14ac:dyDescent="0.25">
      <c r="A483" s="10">
        <v>16</v>
      </c>
      <c r="B483" s="32">
        <v>45668</v>
      </c>
      <c r="C483" s="33">
        <f t="shared" si="172"/>
        <v>7429</v>
      </c>
      <c r="D483" s="34">
        <f>6260+85</f>
        <v>6345</v>
      </c>
      <c r="E483" s="34"/>
      <c r="F483" s="34">
        <f t="shared" si="176"/>
        <v>6345</v>
      </c>
      <c r="G483" s="12"/>
      <c r="H483" s="12"/>
      <c r="I483" s="12"/>
      <c r="J483" s="12">
        <f t="shared" si="167"/>
        <v>6345</v>
      </c>
      <c r="L483" s="10">
        <v>16</v>
      </c>
      <c r="M483" s="32">
        <v>45668</v>
      </c>
      <c r="N483" s="33">
        <f t="shared" si="173"/>
        <v>7376</v>
      </c>
      <c r="O483" s="34">
        <f>1252+8.5</f>
        <v>1260.5</v>
      </c>
      <c r="P483" s="34"/>
      <c r="Q483" s="34">
        <f t="shared" si="168"/>
        <v>1260.5</v>
      </c>
      <c r="R483" s="12"/>
      <c r="S483" s="12"/>
      <c r="T483" s="12">
        <v>-666</v>
      </c>
      <c r="U483" s="12">
        <f t="shared" si="169"/>
        <v>594.5</v>
      </c>
      <c r="W483" s="10">
        <v>16</v>
      </c>
      <c r="X483" s="32"/>
      <c r="Y483" s="33"/>
      <c r="Z483" s="34"/>
      <c r="AA483" s="34"/>
      <c r="AB483" s="34">
        <f t="shared" si="177"/>
        <v>0</v>
      </c>
      <c r="AC483" s="12"/>
      <c r="AD483" s="12"/>
      <c r="AE483" s="12"/>
      <c r="AF483" s="12">
        <f t="shared" si="171"/>
        <v>0</v>
      </c>
    </row>
    <row r="484" spans="1:32" x14ac:dyDescent="0.25">
      <c r="A484" s="10">
        <v>17</v>
      </c>
      <c r="B484" s="32">
        <v>45668</v>
      </c>
      <c r="C484" s="33">
        <f t="shared" si="172"/>
        <v>7430</v>
      </c>
      <c r="D484" s="34">
        <f>3756+51</f>
        <v>3807</v>
      </c>
      <c r="E484" s="34"/>
      <c r="F484" s="34">
        <f t="shared" si="176"/>
        <v>3807</v>
      </c>
      <c r="G484" s="12"/>
      <c r="H484" s="12"/>
      <c r="I484" s="12"/>
      <c r="J484" s="12">
        <f t="shared" si="167"/>
        <v>3807</v>
      </c>
      <c r="L484" s="10">
        <v>17</v>
      </c>
      <c r="M484" s="32"/>
      <c r="N484" s="11" t="s">
        <v>28</v>
      </c>
      <c r="O484" s="37"/>
      <c r="P484" s="34"/>
      <c r="Q484" s="34">
        <f t="shared" si="168"/>
        <v>0</v>
      </c>
      <c r="R484" s="12"/>
      <c r="S484" s="12"/>
      <c r="T484" s="12"/>
      <c r="U484" s="12">
        <f t="shared" si="169"/>
        <v>0</v>
      </c>
      <c r="W484" s="10">
        <v>17</v>
      </c>
      <c r="X484" s="32"/>
      <c r="Y484" s="33"/>
      <c r="Z484" s="37"/>
      <c r="AA484" s="34"/>
      <c r="AB484" s="34">
        <f t="shared" si="177"/>
        <v>0</v>
      </c>
      <c r="AC484" s="12"/>
      <c r="AD484" s="12"/>
      <c r="AE484" s="12"/>
      <c r="AF484" s="12">
        <f t="shared" si="171"/>
        <v>0</v>
      </c>
    </row>
    <row r="485" spans="1:32" x14ac:dyDescent="0.25">
      <c r="A485" s="10">
        <v>18</v>
      </c>
      <c r="B485" s="32">
        <v>45668</v>
      </c>
      <c r="C485" s="33">
        <f t="shared" si="172"/>
        <v>7431</v>
      </c>
      <c r="D485" s="34">
        <f>15024+205</f>
        <v>15229</v>
      </c>
      <c r="E485" s="34"/>
      <c r="F485" s="34">
        <f t="shared" si="176"/>
        <v>15229</v>
      </c>
      <c r="G485" s="12"/>
      <c r="H485" s="12">
        <v>23</v>
      </c>
      <c r="I485" s="12"/>
      <c r="J485" s="12">
        <f t="shared" si="167"/>
        <v>15252</v>
      </c>
      <c r="L485" s="10">
        <v>18</v>
      </c>
      <c r="M485" s="32"/>
      <c r="N485" s="33"/>
      <c r="O485" s="34"/>
      <c r="P485" s="34"/>
      <c r="Q485" s="34">
        <f t="shared" si="168"/>
        <v>0</v>
      </c>
      <c r="R485" s="12"/>
      <c r="S485" s="12"/>
      <c r="T485" s="12"/>
      <c r="U485" s="12">
        <f t="shared" si="169"/>
        <v>0</v>
      </c>
      <c r="W485" s="10">
        <v>18</v>
      </c>
      <c r="X485" s="32"/>
      <c r="Y485" s="33"/>
      <c r="Z485" s="34"/>
      <c r="AA485" s="34"/>
      <c r="AB485" s="34">
        <f t="shared" si="177"/>
        <v>0</v>
      </c>
      <c r="AC485" s="12"/>
      <c r="AD485" s="12"/>
      <c r="AE485" s="12"/>
      <c r="AF485" s="12">
        <f t="shared" si="171"/>
        <v>0</v>
      </c>
    </row>
    <row r="486" spans="1:32" x14ac:dyDescent="0.25">
      <c r="A486" s="10">
        <v>19</v>
      </c>
      <c r="B486" s="32">
        <v>45668</v>
      </c>
      <c r="C486" s="33">
        <f t="shared" si="172"/>
        <v>7432</v>
      </c>
      <c r="D486" s="34">
        <f>12520+170</f>
        <v>12690</v>
      </c>
      <c r="E486" s="34"/>
      <c r="F486" s="34">
        <f t="shared" si="176"/>
        <v>12690</v>
      </c>
      <c r="G486" s="12"/>
      <c r="H486" s="12"/>
      <c r="I486" s="12"/>
      <c r="J486" s="12">
        <f t="shared" si="167"/>
        <v>12690</v>
      </c>
      <c r="L486" s="10">
        <v>19</v>
      </c>
      <c r="M486" s="32"/>
      <c r="N486" s="33"/>
      <c r="O486" s="34"/>
      <c r="P486" s="34"/>
      <c r="Q486" s="34">
        <f t="shared" si="168"/>
        <v>0</v>
      </c>
      <c r="R486" s="12"/>
      <c r="S486" s="12"/>
      <c r="T486" s="12"/>
      <c r="U486" s="12">
        <f t="shared" si="169"/>
        <v>0</v>
      </c>
      <c r="W486" s="10">
        <v>19</v>
      </c>
      <c r="X486" s="32"/>
      <c r="Y486" s="33"/>
      <c r="Z486" s="34"/>
      <c r="AA486" s="34"/>
      <c r="AB486" s="34">
        <f t="shared" si="177"/>
        <v>0</v>
      </c>
      <c r="AC486" s="12"/>
      <c r="AD486" s="12"/>
      <c r="AE486" s="12"/>
      <c r="AF486" s="12">
        <f t="shared" si="171"/>
        <v>0</v>
      </c>
    </row>
    <row r="487" spans="1:32" x14ac:dyDescent="0.25">
      <c r="A487" s="10">
        <v>20</v>
      </c>
      <c r="B487" s="32">
        <v>45668</v>
      </c>
      <c r="C487" s="33">
        <f t="shared" si="172"/>
        <v>7433</v>
      </c>
      <c r="D487" s="34">
        <f>1878+25.5</f>
        <v>1903.5</v>
      </c>
      <c r="E487" s="34"/>
      <c r="F487" s="34">
        <f t="shared" si="176"/>
        <v>1903.5</v>
      </c>
      <c r="G487" s="12"/>
      <c r="H487" s="12"/>
      <c r="I487" s="12">
        <v>-1.5</v>
      </c>
      <c r="J487" s="12">
        <f t="shared" si="167"/>
        <v>1902</v>
      </c>
      <c r="L487" s="10">
        <v>20</v>
      </c>
      <c r="M487" s="32"/>
      <c r="N487" s="33"/>
      <c r="O487" s="34"/>
      <c r="P487" s="34"/>
      <c r="Q487" s="34">
        <f t="shared" si="168"/>
        <v>0</v>
      </c>
      <c r="R487" s="12"/>
      <c r="S487" s="12"/>
      <c r="T487" s="12"/>
      <c r="U487" s="12">
        <f t="shared" si="169"/>
        <v>0</v>
      </c>
      <c r="W487" s="10">
        <v>20</v>
      </c>
      <c r="X487" s="32"/>
      <c r="Y487" s="33"/>
      <c r="Z487" s="34"/>
      <c r="AA487" s="34"/>
      <c r="AB487" s="34">
        <f t="shared" si="177"/>
        <v>0</v>
      </c>
      <c r="AC487" s="12"/>
      <c r="AD487" s="12"/>
      <c r="AE487" s="12"/>
      <c r="AF487" s="12">
        <f t="shared" si="171"/>
        <v>0</v>
      </c>
    </row>
    <row r="488" spans="1:32" x14ac:dyDescent="0.25">
      <c r="A488" s="10">
        <v>21</v>
      </c>
      <c r="B488" s="32">
        <v>45668</v>
      </c>
      <c r="C488" s="33">
        <f t="shared" si="172"/>
        <v>7434</v>
      </c>
      <c r="D488" s="34">
        <f>1252+17</f>
        <v>1269</v>
      </c>
      <c r="E488" s="34"/>
      <c r="F488" s="34">
        <f t="shared" si="176"/>
        <v>1269</v>
      </c>
      <c r="G488" s="10"/>
      <c r="H488" s="10"/>
      <c r="I488" s="10"/>
      <c r="J488" s="12">
        <f t="shared" si="167"/>
        <v>1269</v>
      </c>
      <c r="L488" s="10">
        <v>21</v>
      </c>
      <c r="M488" s="32"/>
      <c r="N488" s="11"/>
      <c r="O488" s="50"/>
      <c r="P488" s="33"/>
      <c r="Q488" s="34">
        <f t="shared" si="168"/>
        <v>0</v>
      </c>
      <c r="R488" s="10"/>
      <c r="S488" s="10"/>
      <c r="T488" s="10"/>
      <c r="U488" s="12">
        <f t="shared" si="169"/>
        <v>0</v>
      </c>
      <c r="W488" s="10">
        <v>21</v>
      </c>
      <c r="X488" s="32"/>
      <c r="Y488" s="33"/>
      <c r="Z488" s="50"/>
      <c r="AA488" s="33"/>
      <c r="AB488" s="34">
        <f t="shared" si="177"/>
        <v>0</v>
      </c>
      <c r="AC488" s="10"/>
      <c r="AD488" s="10"/>
      <c r="AE488" s="10"/>
      <c r="AF488" s="12">
        <f t="shared" si="171"/>
        <v>0</v>
      </c>
    </row>
    <row r="489" spans="1:32" x14ac:dyDescent="0.25">
      <c r="A489" s="10">
        <v>22</v>
      </c>
      <c r="B489" s="32">
        <v>45668</v>
      </c>
      <c r="C489" s="33">
        <f t="shared" si="172"/>
        <v>7435</v>
      </c>
      <c r="D489" s="34">
        <f>416+250+120</f>
        <v>786</v>
      </c>
      <c r="E489" s="34"/>
      <c r="F489" s="34">
        <f t="shared" si="176"/>
        <v>786</v>
      </c>
      <c r="G489" s="10"/>
      <c r="H489" s="10"/>
      <c r="I489" s="10"/>
      <c r="J489" s="12">
        <f t="shared" si="167"/>
        <v>786</v>
      </c>
      <c r="L489" s="10">
        <v>22</v>
      </c>
      <c r="M489" s="32"/>
      <c r="N489" s="33"/>
      <c r="O489" s="49"/>
      <c r="P489" s="33"/>
      <c r="Q489" s="34">
        <f t="shared" si="168"/>
        <v>0</v>
      </c>
      <c r="R489" s="10"/>
      <c r="S489" s="10"/>
      <c r="T489" s="10"/>
      <c r="U489" s="12">
        <f t="shared" si="169"/>
        <v>0</v>
      </c>
      <c r="W489" s="10">
        <v>22</v>
      </c>
      <c r="X489" s="32"/>
      <c r="Y489" s="33"/>
      <c r="Z489" s="49"/>
      <c r="AA489" s="33"/>
      <c r="AB489" s="34">
        <f t="shared" si="177"/>
        <v>0</v>
      </c>
      <c r="AC489" s="10"/>
      <c r="AD489" s="10"/>
      <c r="AE489" s="10"/>
      <c r="AF489" s="12">
        <f t="shared" si="171"/>
        <v>0</v>
      </c>
    </row>
    <row r="490" spans="1:32" x14ac:dyDescent="0.25">
      <c r="A490" s="10">
        <v>23</v>
      </c>
      <c r="B490" s="32">
        <v>45668</v>
      </c>
      <c r="C490" s="33">
        <f t="shared" si="172"/>
        <v>7436</v>
      </c>
      <c r="D490" s="34">
        <f>1252+17</f>
        <v>1269</v>
      </c>
      <c r="E490" s="34"/>
      <c r="F490" s="34">
        <f t="shared" si="176"/>
        <v>1269</v>
      </c>
      <c r="G490" s="10"/>
      <c r="H490" s="10"/>
      <c r="I490" s="12"/>
      <c r="J490" s="12">
        <f t="shared" si="167"/>
        <v>1269</v>
      </c>
      <c r="L490" s="10">
        <v>23</v>
      </c>
      <c r="M490" s="32"/>
      <c r="N490" s="33"/>
      <c r="O490" s="51"/>
      <c r="Q490" s="34">
        <f t="shared" si="168"/>
        <v>0</v>
      </c>
      <c r="R490" s="10"/>
      <c r="S490" s="10"/>
      <c r="T490" s="10"/>
      <c r="U490" s="12">
        <f t="shared" si="169"/>
        <v>0</v>
      </c>
      <c r="W490" s="10">
        <v>23</v>
      </c>
      <c r="X490" s="32"/>
      <c r="Y490" s="33"/>
      <c r="Z490" s="51"/>
      <c r="AB490" s="34">
        <f t="shared" si="177"/>
        <v>0</v>
      </c>
      <c r="AC490" s="10"/>
      <c r="AD490" s="10"/>
      <c r="AE490" s="10"/>
      <c r="AF490" s="12">
        <f t="shared" si="171"/>
        <v>0</v>
      </c>
    </row>
    <row r="491" spans="1:32" x14ac:dyDescent="0.25">
      <c r="A491" s="10">
        <v>24</v>
      </c>
      <c r="B491" s="32">
        <v>45668</v>
      </c>
      <c r="C491" s="33">
        <f t="shared" si="172"/>
        <v>7437</v>
      </c>
      <c r="D491" s="34">
        <f>3756+51</f>
        <v>3807</v>
      </c>
      <c r="E491" s="34"/>
      <c r="F491" s="34">
        <f t="shared" si="176"/>
        <v>3807</v>
      </c>
      <c r="G491" s="10"/>
      <c r="H491" s="10"/>
      <c r="I491" s="10"/>
      <c r="J491" s="12">
        <f t="shared" si="167"/>
        <v>3807</v>
      </c>
      <c r="L491" s="10">
        <v>24</v>
      </c>
      <c r="M491" s="32"/>
      <c r="N491" s="33"/>
      <c r="O491" s="51"/>
      <c r="P491" s="33"/>
      <c r="Q491" s="34">
        <f t="shared" si="168"/>
        <v>0</v>
      </c>
      <c r="R491" s="10"/>
      <c r="S491" s="10"/>
      <c r="T491" s="10"/>
      <c r="U491" s="12">
        <f t="shared" si="169"/>
        <v>0</v>
      </c>
      <c r="W491" s="10">
        <v>24</v>
      </c>
      <c r="X491" s="32"/>
      <c r="Y491" s="33"/>
      <c r="Z491" s="51"/>
      <c r="AA491" s="33"/>
      <c r="AB491" s="34">
        <f t="shared" si="177"/>
        <v>0</v>
      </c>
      <c r="AC491" s="10"/>
      <c r="AD491" s="10"/>
      <c r="AE491" s="10"/>
      <c r="AF491" s="12">
        <f t="shared" si="171"/>
        <v>0</v>
      </c>
    </row>
    <row r="492" spans="1:32" x14ac:dyDescent="0.25">
      <c r="A492" s="10">
        <v>25</v>
      </c>
      <c r="B492" s="32">
        <v>45668</v>
      </c>
      <c r="C492" s="33">
        <f t="shared" si="172"/>
        <v>7438</v>
      </c>
      <c r="D492" s="34">
        <f>596+8.5</f>
        <v>604.5</v>
      </c>
      <c r="E492" s="34"/>
      <c r="F492" s="34">
        <f t="shared" si="176"/>
        <v>604.5</v>
      </c>
      <c r="G492" s="10"/>
      <c r="H492" s="10"/>
      <c r="I492" s="10"/>
      <c r="J492" s="12">
        <f t="shared" si="167"/>
        <v>604.5</v>
      </c>
      <c r="L492" s="10">
        <v>25</v>
      </c>
      <c r="M492" s="32"/>
      <c r="N492" s="33"/>
      <c r="O492" s="51"/>
      <c r="P492" s="33"/>
      <c r="Q492" s="34">
        <f t="shared" si="168"/>
        <v>0</v>
      </c>
      <c r="R492" s="10"/>
      <c r="S492" s="10"/>
      <c r="T492" s="10"/>
      <c r="U492" s="12">
        <f t="shared" si="169"/>
        <v>0</v>
      </c>
      <c r="W492" s="10">
        <v>25</v>
      </c>
      <c r="X492" s="32"/>
      <c r="Y492" s="33"/>
      <c r="Z492" s="51"/>
      <c r="AA492" s="33"/>
      <c r="AB492" s="34">
        <f t="shared" si="177"/>
        <v>0</v>
      </c>
      <c r="AC492" s="10"/>
      <c r="AD492" s="10"/>
      <c r="AE492" s="10"/>
      <c r="AF492" s="12">
        <f t="shared" si="171"/>
        <v>0</v>
      </c>
    </row>
    <row r="493" spans="1:32" x14ac:dyDescent="0.25">
      <c r="A493" s="10">
        <v>26</v>
      </c>
      <c r="B493" s="32">
        <v>45668</v>
      </c>
      <c r="C493" s="33">
        <f t="shared" si="172"/>
        <v>7439</v>
      </c>
      <c r="D493" s="34">
        <f>3130+42.5</f>
        <v>3172.5</v>
      </c>
      <c r="E493" s="34"/>
      <c r="F493" s="34">
        <f t="shared" si="176"/>
        <v>3172.5</v>
      </c>
      <c r="G493" s="10"/>
      <c r="H493" s="10">
        <v>9</v>
      </c>
      <c r="I493" s="10"/>
      <c r="J493" s="12">
        <f t="shared" si="167"/>
        <v>3181.5</v>
      </c>
      <c r="L493" s="10">
        <v>26</v>
      </c>
      <c r="M493" s="32"/>
      <c r="N493" s="33"/>
      <c r="O493" s="51"/>
      <c r="P493" s="33"/>
      <c r="Q493" s="34">
        <f t="shared" si="168"/>
        <v>0</v>
      </c>
      <c r="R493" s="10"/>
      <c r="S493" s="10"/>
      <c r="T493" s="10"/>
      <c r="U493" s="12">
        <f t="shared" si="169"/>
        <v>0</v>
      </c>
      <c r="W493" s="10">
        <v>26</v>
      </c>
      <c r="X493" s="32"/>
      <c r="Y493" s="33"/>
      <c r="Z493" s="51"/>
      <c r="AA493" s="33"/>
      <c r="AB493" s="34">
        <f t="shared" si="177"/>
        <v>0</v>
      </c>
      <c r="AC493" s="10"/>
      <c r="AD493" s="10"/>
      <c r="AE493" s="10"/>
      <c r="AF493" s="12">
        <f t="shared" si="171"/>
        <v>0</v>
      </c>
    </row>
    <row r="494" spans="1:32" x14ac:dyDescent="0.25">
      <c r="A494" s="10">
        <v>27</v>
      </c>
      <c r="B494" s="32">
        <v>45668</v>
      </c>
      <c r="C494" s="33">
        <f t="shared" si="172"/>
        <v>7440</v>
      </c>
      <c r="D494" s="34">
        <f>626*54+1842+2980+410+4044</f>
        <v>43080</v>
      </c>
      <c r="E494" s="34"/>
      <c r="F494" s="34">
        <f t="shared" si="176"/>
        <v>43080</v>
      </c>
      <c r="G494" s="10"/>
      <c r="H494" s="10"/>
      <c r="I494" s="10">
        <f>-66+-78</f>
        <v>-144</v>
      </c>
      <c r="J494" s="12">
        <f t="shared" si="167"/>
        <v>42936</v>
      </c>
      <c r="L494" s="10">
        <v>27</v>
      </c>
      <c r="M494" s="32"/>
      <c r="N494" s="33"/>
      <c r="O494" s="51"/>
      <c r="P494" s="33"/>
      <c r="Q494" s="34">
        <f t="shared" si="168"/>
        <v>0</v>
      </c>
      <c r="R494" s="10"/>
      <c r="S494" s="10"/>
      <c r="T494" s="10"/>
      <c r="U494" s="12">
        <f t="shared" si="169"/>
        <v>0</v>
      </c>
      <c r="W494" s="10">
        <v>27</v>
      </c>
      <c r="X494" s="32"/>
      <c r="Y494" s="33"/>
      <c r="Z494" s="51"/>
      <c r="AA494" s="33"/>
      <c r="AB494" s="34">
        <f t="shared" si="177"/>
        <v>0</v>
      </c>
      <c r="AC494" s="10"/>
      <c r="AD494" s="10"/>
      <c r="AE494" s="10"/>
      <c r="AF494" s="12">
        <f t="shared" si="171"/>
        <v>0</v>
      </c>
    </row>
    <row r="495" spans="1:32" x14ac:dyDescent="0.25">
      <c r="A495" s="10">
        <v>28</v>
      </c>
      <c r="B495" s="32">
        <v>45668</v>
      </c>
      <c r="C495" s="33">
        <f t="shared" si="172"/>
        <v>7441</v>
      </c>
      <c r="D495" s="34">
        <f>5008+674</f>
        <v>5682</v>
      </c>
      <c r="E495" s="34"/>
      <c r="F495" s="34">
        <f t="shared" si="176"/>
        <v>5682</v>
      </c>
      <c r="G495" s="10"/>
      <c r="H495" s="10">
        <v>11</v>
      </c>
      <c r="I495" s="10"/>
      <c r="J495" s="12">
        <f t="shared" si="167"/>
        <v>5693</v>
      </c>
      <c r="L495" s="10">
        <v>28</v>
      </c>
      <c r="M495" s="32"/>
      <c r="N495" s="70"/>
      <c r="O495" s="51"/>
      <c r="P495" s="33"/>
      <c r="Q495" s="34">
        <f t="shared" si="168"/>
        <v>0</v>
      </c>
      <c r="R495" s="10"/>
      <c r="S495" s="10"/>
      <c r="T495" s="10"/>
      <c r="U495" s="12">
        <f t="shared" si="169"/>
        <v>0</v>
      </c>
      <c r="W495" s="10">
        <v>28</v>
      </c>
      <c r="X495" s="32"/>
      <c r="Z495" s="51"/>
      <c r="AA495" s="33"/>
      <c r="AB495" s="34">
        <f t="shared" si="177"/>
        <v>0</v>
      </c>
      <c r="AC495" s="10"/>
      <c r="AD495" s="10"/>
      <c r="AE495" s="10"/>
      <c r="AF495" s="12">
        <f t="shared" si="171"/>
        <v>0</v>
      </c>
    </row>
    <row r="496" spans="1:32" x14ac:dyDescent="0.25">
      <c r="A496" s="10">
        <v>29</v>
      </c>
      <c r="B496" s="32">
        <v>45668</v>
      </c>
      <c r="C496" s="33">
        <f t="shared" si="172"/>
        <v>7442</v>
      </c>
      <c r="D496" s="34">
        <f>626*50+410+17+3370</f>
        <v>35097</v>
      </c>
      <c r="E496" s="34"/>
      <c r="F496" s="34">
        <f t="shared" si="176"/>
        <v>35097</v>
      </c>
      <c r="G496" s="10"/>
      <c r="H496" s="10"/>
      <c r="I496" s="10"/>
      <c r="J496" s="12">
        <f t="shared" si="167"/>
        <v>35097</v>
      </c>
      <c r="L496" s="10">
        <v>29</v>
      </c>
      <c r="M496" s="32"/>
      <c r="O496" s="51"/>
      <c r="P496" s="33"/>
      <c r="Q496" s="34">
        <f t="shared" si="168"/>
        <v>0</v>
      </c>
      <c r="R496" s="10"/>
      <c r="S496" s="10"/>
      <c r="T496" s="10"/>
      <c r="U496" s="12">
        <f t="shared" si="169"/>
        <v>0</v>
      </c>
      <c r="W496" s="10">
        <v>29</v>
      </c>
      <c r="X496" s="32"/>
      <c r="Y496" s="33"/>
      <c r="Z496" s="51"/>
      <c r="AA496" s="33"/>
      <c r="AB496" s="34">
        <f t="shared" si="177"/>
        <v>0</v>
      </c>
      <c r="AC496" s="10"/>
      <c r="AD496" s="10"/>
      <c r="AE496" s="10"/>
      <c r="AF496" s="12">
        <f t="shared" si="171"/>
        <v>0</v>
      </c>
    </row>
    <row r="497" spans="1:32" x14ac:dyDescent="0.25">
      <c r="A497" s="10">
        <v>30</v>
      </c>
      <c r="B497" s="32">
        <v>45668</v>
      </c>
      <c r="C497" s="33">
        <f t="shared" si="172"/>
        <v>7443</v>
      </c>
      <c r="D497" s="34">
        <f>1175+1175</f>
        <v>2350</v>
      </c>
      <c r="E497" s="34"/>
      <c r="F497" s="34">
        <f t="shared" si="176"/>
        <v>2350</v>
      </c>
      <c r="G497" s="10"/>
      <c r="H497" s="10"/>
      <c r="I497" s="10"/>
      <c r="J497" s="12">
        <f t="shared" si="167"/>
        <v>2350</v>
      </c>
      <c r="L497" s="10">
        <v>30</v>
      </c>
      <c r="M497" s="32"/>
      <c r="N497" s="33"/>
      <c r="O497" s="51"/>
      <c r="P497" s="33"/>
      <c r="Q497" s="34">
        <f t="shared" si="168"/>
        <v>0</v>
      </c>
      <c r="R497" s="10"/>
      <c r="S497" s="10"/>
      <c r="T497" s="10"/>
      <c r="U497" s="12">
        <f t="shared" si="169"/>
        <v>0</v>
      </c>
      <c r="W497" s="10">
        <v>30</v>
      </c>
      <c r="X497" s="32"/>
      <c r="Y497" s="33"/>
      <c r="Z497" s="51"/>
      <c r="AA497" s="33"/>
      <c r="AB497" s="34">
        <f t="shared" si="177"/>
        <v>0</v>
      </c>
      <c r="AC497" s="10"/>
      <c r="AD497" s="10"/>
      <c r="AE497" s="10"/>
      <c r="AF497" s="12">
        <f t="shared" si="171"/>
        <v>0</v>
      </c>
    </row>
    <row r="498" spans="1:32" x14ac:dyDescent="0.25">
      <c r="A498" s="10">
        <v>31</v>
      </c>
      <c r="B498" s="32">
        <v>45668</v>
      </c>
      <c r="C498" s="33">
        <f t="shared" si="172"/>
        <v>7444</v>
      </c>
      <c r="D498" s="34">
        <f>1252+596+25.5</f>
        <v>1873.5</v>
      </c>
      <c r="E498" s="34"/>
      <c r="F498" s="34">
        <f t="shared" si="176"/>
        <v>1873.5</v>
      </c>
      <c r="G498" s="10"/>
      <c r="H498" s="10"/>
      <c r="I498" s="10"/>
      <c r="J498" s="12">
        <f t="shared" si="167"/>
        <v>1873.5</v>
      </c>
      <c r="L498" s="10">
        <v>31</v>
      </c>
      <c r="M498" s="32"/>
      <c r="N498" s="33"/>
      <c r="O498" s="51"/>
      <c r="P498" s="33"/>
      <c r="Q498" s="34">
        <f t="shared" si="168"/>
        <v>0</v>
      </c>
      <c r="R498" s="10"/>
      <c r="S498" s="10"/>
      <c r="T498" s="10"/>
      <c r="U498" s="12">
        <f t="shared" si="169"/>
        <v>0</v>
      </c>
      <c r="W498" s="10">
        <v>31</v>
      </c>
      <c r="X498" s="32"/>
      <c r="Z498" s="51"/>
      <c r="AA498" s="33"/>
      <c r="AB498" s="34">
        <f t="shared" si="177"/>
        <v>0</v>
      </c>
      <c r="AC498" s="10"/>
      <c r="AD498" s="10"/>
      <c r="AE498" s="10"/>
      <c r="AF498" s="12">
        <f t="shared" si="171"/>
        <v>0</v>
      </c>
    </row>
    <row r="499" spans="1:32" x14ac:dyDescent="0.25">
      <c r="A499" s="10">
        <v>32</v>
      </c>
      <c r="B499" s="32">
        <v>45668</v>
      </c>
      <c r="C499" s="33">
        <f t="shared" si="172"/>
        <v>7445</v>
      </c>
      <c r="D499" s="34">
        <f>626+8.5</f>
        <v>634.5</v>
      </c>
      <c r="E499" s="34"/>
      <c r="F499" s="34">
        <f t="shared" si="176"/>
        <v>634.5</v>
      </c>
      <c r="G499" s="10"/>
      <c r="H499" s="10"/>
      <c r="I499" s="10"/>
      <c r="J499" s="12">
        <f t="shared" si="167"/>
        <v>634.5</v>
      </c>
      <c r="L499" s="10">
        <v>32</v>
      </c>
      <c r="M499" s="32"/>
      <c r="N499" s="33"/>
      <c r="O499" s="51"/>
      <c r="P499" s="33"/>
      <c r="Q499" s="34">
        <f t="shared" si="168"/>
        <v>0</v>
      </c>
      <c r="R499" s="10"/>
      <c r="S499" s="10"/>
      <c r="T499" s="10"/>
      <c r="U499" s="12">
        <f t="shared" si="169"/>
        <v>0</v>
      </c>
      <c r="W499" s="10">
        <v>32</v>
      </c>
      <c r="X499" s="32"/>
      <c r="Y499" s="33"/>
      <c r="Z499" s="51"/>
      <c r="AA499" s="33"/>
      <c r="AB499" s="34">
        <f t="shared" si="177"/>
        <v>0</v>
      </c>
      <c r="AC499" s="10"/>
      <c r="AD499" s="10"/>
      <c r="AE499" s="10"/>
      <c r="AF499" s="12">
        <f t="shared" si="171"/>
        <v>0</v>
      </c>
    </row>
    <row r="500" spans="1:32" x14ac:dyDescent="0.25">
      <c r="A500" s="10">
        <v>33</v>
      </c>
      <c r="B500" s="32">
        <v>45668</v>
      </c>
      <c r="C500" s="33">
        <f t="shared" si="172"/>
        <v>7446</v>
      </c>
      <c r="D500" s="34">
        <f>2504+614+596+34</f>
        <v>3748</v>
      </c>
      <c r="E500" s="34"/>
      <c r="F500" s="34">
        <f t="shared" si="176"/>
        <v>3748</v>
      </c>
      <c r="G500" s="10"/>
      <c r="H500" s="10">
        <v>6</v>
      </c>
      <c r="I500" s="10"/>
      <c r="J500" s="12">
        <f t="shared" si="167"/>
        <v>3754</v>
      </c>
      <c r="L500" s="10">
        <v>33</v>
      </c>
      <c r="M500" s="32"/>
      <c r="N500" s="33"/>
      <c r="O500" s="51"/>
      <c r="P500" s="33"/>
      <c r="Q500" s="34">
        <f t="shared" si="168"/>
        <v>0</v>
      </c>
      <c r="R500" s="10"/>
      <c r="S500" s="10"/>
      <c r="T500" s="10"/>
      <c r="U500" s="12">
        <f t="shared" si="169"/>
        <v>0</v>
      </c>
      <c r="W500" s="10">
        <v>33</v>
      </c>
      <c r="X500" s="32"/>
      <c r="Y500" s="33"/>
      <c r="Z500" s="51"/>
      <c r="AA500" s="33"/>
      <c r="AB500" s="34">
        <f t="shared" si="177"/>
        <v>0</v>
      </c>
      <c r="AC500" s="10"/>
      <c r="AD500" s="10"/>
      <c r="AE500" s="10"/>
      <c r="AF500" s="12">
        <f t="shared" si="171"/>
        <v>0</v>
      </c>
    </row>
    <row r="501" spans="1:32" x14ac:dyDescent="0.25">
      <c r="A501" s="10"/>
      <c r="B501" s="32">
        <v>45668</v>
      </c>
      <c r="C501" s="33">
        <f t="shared" si="172"/>
        <v>7447</v>
      </c>
      <c r="D501" s="34">
        <f>626*35+1228+596+205+102+2022</f>
        <v>26063</v>
      </c>
      <c r="E501" s="34"/>
      <c r="F501" s="34">
        <f t="shared" si="176"/>
        <v>26063</v>
      </c>
      <c r="G501" s="10"/>
      <c r="H501" s="10">
        <v>30</v>
      </c>
      <c r="I501" s="10"/>
      <c r="J501" s="12">
        <f t="shared" si="167"/>
        <v>26093</v>
      </c>
      <c r="L501" s="10">
        <v>34</v>
      </c>
      <c r="M501" s="32"/>
      <c r="N501" s="33"/>
      <c r="O501" s="51"/>
      <c r="P501" s="33"/>
      <c r="Q501" s="34">
        <f t="shared" ref="Q501:Q506" si="178">SUM(O501:P501)</f>
        <v>0</v>
      </c>
      <c r="R501" s="10"/>
      <c r="S501" s="10"/>
      <c r="T501" s="10"/>
      <c r="U501" s="12">
        <f t="shared" si="169"/>
        <v>0</v>
      </c>
      <c r="W501" s="10">
        <v>34</v>
      </c>
      <c r="X501" s="32"/>
      <c r="Y501" s="33"/>
      <c r="Z501" s="51"/>
      <c r="AA501" s="33"/>
      <c r="AB501" s="34">
        <f t="shared" ref="AB501:AB506" si="179">SUM(Z501:AA501)</f>
        <v>0</v>
      </c>
      <c r="AC501" s="10"/>
      <c r="AD501" s="10"/>
      <c r="AE501" s="10"/>
      <c r="AF501" s="12">
        <f t="shared" si="171"/>
        <v>0</v>
      </c>
    </row>
    <row r="502" spans="1:32" x14ac:dyDescent="0.25">
      <c r="A502" s="10"/>
      <c r="B502" s="32">
        <v>45668</v>
      </c>
      <c r="C502" s="33">
        <f t="shared" si="172"/>
        <v>7448</v>
      </c>
      <c r="D502" s="34">
        <f>4382+59.5+674</f>
        <v>5115.5</v>
      </c>
      <c r="E502" s="34"/>
      <c r="F502" s="34">
        <f t="shared" si="176"/>
        <v>5115.5</v>
      </c>
      <c r="G502" s="10"/>
      <c r="H502" s="10">
        <f>10.5</f>
        <v>10.5</v>
      </c>
      <c r="I502" s="10"/>
      <c r="J502" s="12">
        <f t="shared" si="167"/>
        <v>5126</v>
      </c>
      <c r="L502" s="10">
        <v>35</v>
      </c>
      <c r="M502" s="32"/>
      <c r="O502" s="51"/>
      <c r="P502" s="33"/>
      <c r="Q502" s="34">
        <f t="shared" si="178"/>
        <v>0</v>
      </c>
      <c r="R502" s="10"/>
      <c r="S502" s="10"/>
      <c r="T502" s="10"/>
      <c r="U502" s="12">
        <f t="shared" si="169"/>
        <v>0</v>
      </c>
      <c r="W502" s="10">
        <v>35</v>
      </c>
      <c r="X502" s="32"/>
      <c r="Y502" s="33"/>
      <c r="Z502" s="51"/>
      <c r="AA502" s="33"/>
      <c r="AB502" s="34">
        <f t="shared" si="179"/>
        <v>0</v>
      </c>
      <c r="AC502" s="10"/>
      <c r="AD502" s="10"/>
      <c r="AE502" s="10"/>
      <c r="AF502" s="12">
        <f t="shared" si="171"/>
        <v>0</v>
      </c>
    </row>
    <row r="503" spans="1:32" x14ac:dyDescent="0.25">
      <c r="A503" s="10"/>
      <c r="B503" s="32">
        <v>45668</v>
      </c>
      <c r="C503" s="33">
        <f t="shared" si="172"/>
        <v>7449</v>
      </c>
      <c r="D503" s="34">
        <f>8138+1842+2980+2980+153+500+1348</f>
        <v>17941</v>
      </c>
      <c r="E503" s="34"/>
      <c r="F503" s="34">
        <f t="shared" si="176"/>
        <v>17941</v>
      </c>
      <c r="G503" s="10"/>
      <c r="H503" s="10">
        <v>6</v>
      </c>
      <c r="I503" s="10"/>
      <c r="J503" s="12">
        <f t="shared" si="167"/>
        <v>17947</v>
      </c>
      <c r="L503" s="10">
        <v>36</v>
      </c>
      <c r="M503" s="32"/>
      <c r="N503" s="33"/>
      <c r="O503" s="51"/>
      <c r="P503" s="33"/>
      <c r="Q503" s="34">
        <f t="shared" si="178"/>
        <v>0</v>
      </c>
      <c r="R503" s="10"/>
      <c r="S503" s="10"/>
      <c r="T503" s="10"/>
      <c r="U503" s="12">
        <f t="shared" si="169"/>
        <v>0</v>
      </c>
      <c r="W503" s="10">
        <v>36</v>
      </c>
      <c r="X503" s="32"/>
      <c r="Y503" s="33"/>
      <c r="Z503" s="51"/>
      <c r="AA503" s="33"/>
      <c r="AB503" s="34">
        <f t="shared" si="179"/>
        <v>0</v>
      </c>
      <c r="AC503" s="10"/>
      <c r="AD503" s="10"/>
      <c r="AE503" s="10"/>
      <c r="AF503" s="12">
        <f t="shared" si="171"/>
        <v>0</v>
      </c>
    </row>
    <row r="504" spans="1:32" x14ac:dyDescent="0.25">
      <c r="A504" s="10"/>
      <c r="B504" s="32">
        <v>45668</v>
      </c>
      <c r="C504" s="33">
        <f t="shared" si="172"/>
        <v>7450</v>
      </c>
      <c r="D504" s="34">
        <f>55088+615+1348</f>
        <v>57051</v>
      </c>
      <c r="E504" s="34"/>
      <c r="F504" s="34">
        <f t="shared" si="176"/>
        <v>57051</v>
      </c>
      <c r="G504" s="10"/>
      <c r="H504" s="10"/>
      <c r="I504" s="10"/>
      <c r="J504" s="12">
        <f t="shared" si="167"/>
        <v>57051</v>
      </c>
      <c r="L504" s="10">
        <v>37</v>
      </c>
      <c r="M504" s="32"/>
      <c r="N504" s="33"/>
      <c r="O504" s="51"/>
      <c r="P504" s="33"/>
      <c r="Q504" s="34">
        <f t="shared" si="178"/>
        <v>0</v>
      </c>
      <c r="R504" s="10"/>
      <c r="S504" s="10"/>
      <c r="T504" s="10"/>
      <c r="U504" s="12">
        <f t="shared" si="169"/>
        <v>0</v>
      </c>
      <c r="W504" s="10">
        <v>37</v>
      </c>
      <c r="X504" s="32"/>
      <c r="Y504" s="33"/>
      <c r="Z504" s="51"/>
      <c r="AA504" s="33"/>
      <c r="AB504" s="34">
        <f t="shared" si="179"/>
        <v>0</v>
      </c>
      <c r="AC504" s="10"/>
      <c r="AD504" s="10"/>
      <c r="AE504" s="10"/>
      <c r="AF504" s="12">
        <f t="shared" si="171"/>
        <v>0</v>
      </c>
    </row>
    <row r="505" spans="1:32" x14ac:dyDescent="0.25">
      <c r="A505" s="10"/>
      <c r="B505" s="32"/>
      <c r="C505" s="11" t="s">
        <v>28</v>
      </c>
      <c r="D505" s="34"/>
      <c r="E505" s="34"/>
      <c r="F505" s="34">
        <f t="shared" si="176"/>
        <v>0</v>
      </c>
      <c r="G505" s="10"/>
      <c r="H505" s="10"/>
      <c r="I505" s="10"/>
      <c r="J505" s="12">
        <f t="shared" si="167"/>
        <v>0</v>
      </c>
      <c r="L505" s="10">
        <v>38</v>
      </c>
      <c r="M505" s="32"/>
      <c r="N505" s="33"/>
      <c r="O505" s="51"/>
      <c r="P505" s="33"/>
      <c r="Q505" s="34">
        <f t="shared" si="178"/>
        <v>0</v>
      </c>
      <c r="R505" s="10"/>
      <c r="S505" s="10"/>
      <c r="T505" s="10"/>
      <c r="U505" s="12">
        <f t="shared" si="169"/>
        <v>0</v>
      </c>
      <c r="W505" s="10">
        <v>38</v>
      </c>
      <c r="X505" s="32"/>
      <c r="Y505" s="33"/>
      <c r="Z505" s="51"/>
      <c r="AA505" s="33"/>
      <c r="AB505" s="34">
        <f t="shared" si="179"/>
        <v>0</v>
      </c>
      <c r="AC505" s="10"/>
      <c r="AD505" s="10"/>
      <c r="AE505" s="10"/>
      <c r="AF505" s="12">
        <f t="shared" si="171"/>
        <v>0</v>
      </c>
    </row>
    <row r="506" spans="1:32" x14ac:dyDescent="0.25">
      <c r="A506" s="10"/>
      <c r="B506" s="32"/>
      <c r="C506" s="33"/>
      <c r="D506" s="34"/>
      <c r="E506" s="34"/>
      <c r="F506" s="34">
        <f t="shared" si="176"/>
        <v>0</v>
      </c>
      <c r="G506" s="10"/>
      <c r="H506" s="10"/>
      <c r="I506" s="10"/>
      <c r="J506" s="12">
        <f t="shared" si="167"/>
        <v>0</v>
      </c>
      <c r="L506" s="10">
        <v>39</v>
      </c>
      <c r="M506" s="32"/>
      <c r="N506" s="33"/>
      <c r="O506" s="51"/>
      <c r="P506" s="33"/>
      <c r="Q506" s="34">
        <f t="shared" si="178"/>
        <v>0</v>
      </c>
      <c r="R506" s="10"/>
      <c r="S506" s="10"/>
      <c r="T506" s="10"/>
      <c r="U506" s="12">
        <f t="shared" si="169"/>
        <v>0</v>
      </c>
      <c r="W506" s="10">
        <v>39</v>
      </c>
      <c r="X506" s="32"/>
      <c r="Y506" s="33"/>
      <c r="Z506" s="51"/>
      <c r="AA506" s="33"/>
      <c r="AB506" s="34">
        <f t="shared" si="179"/>
        <v>0</v>
      </c>
      <c r="AC506" s="10"/>
      <c r="AD506" s="10"/>
      <c r="AE506" s="10"/>
      <c r="AF506" s="12">
        <f t="shared" si="171"/>
        <v>0</v>
      </c>
    </row>
    <row r="507" spans="1:32" x14ac:dyDescent="0.25">
      <c r="A507" s="10"/>
      <c r="B507" s="32"/>
      <c r="C507" s="33"/>
      <c r="D507" s="34"/>
      <c r="E507" s="34"/>
      <c r="F507" s="34">
        <f t="shared" si="176"/>
        <v>0</v>
      </c>
      <c r="G507" s="10"/>
      <c r="H507" s="10"/>
      <c r="I507" s="10"/>
      <c r="J507" s="12">
        <f t="shared" si="167"/>
        <v>0</v>
      </c>
      <c r="L507" s="10"/>
      <c r="M507" s="32"/>
      <c r="O507" s="51"/>
      <c r="P507" s="33"/>
      <c r="Q507" s="34"/>
      <c r="R507" s="10"/>
      <c r="S507" s="10"/>
      <c r="T507" s="10"/>
      <c r="U507" s="12">
        <f t="shared" si="169"/>
        <v>0</v>
      </c>
      <c r="W507" s="10"/>
      <c r="X507" s="32"/>
      <c r="Z507" s="51"/>
      <c r="AA507" s="33"/>
      <c r="AB507" s="34"/>
      <c r="AC507" s="10"/>
      <c r="AD507" s="10"/>
      <c r="AE507" s="10"/>
      <c r="AF507" s="12">
        <f t="shared" si="171"/>
        <v>0</v>
      </c>
    </row>
    <row r="508" spans="1:32" x14ac:dyDescent="0.25">
      <c r="A508" s="10"/>
      <c r="B508" s="32"/>
      <c r="D508" s="34"/>
      <c r="E508" s="34"/>
      <c r="F508" s="34">
        <f t="shared" ref="F508" si="180">SUM(D508:E508)</f>
        <v>0</v>
      </c>
      <c r="G508" s="10"/>
      <c r="H508" s="10"/>
      <c r="I508" s="10"/>
      <c r="J508" s="12">
        <f t="shared" ref="J508" si="181">SUM(F508:I508)</f>
        <v>0</v>
      </c>
      <c r="L508" s="10"/>
      <c r="M508" s="32"/>
      <c r="N508" s="33"/>
      <c r="O508" s="51"/>
      <c r="P508" s="33"/>
      <c r="Q508" s="34">
        <f t="shared" ref="Q508" si="182">SUM(O508:P508)</f>
        <v>0</v>
      </c>
      <c r="R508" s="10"/>
      <c r="S508" s="10"/>
      <c r="T508" s="10"/>
      <c r="U508" s="12">
        <f t="shared" si="169"/>
        <v>0</v>
      </c>
      <c r="W508" s="10"/>
      <c r="X508" s="32"/>
      <c r="Y508" s="33"/>
      <c r="Z508" s="51"/>
      <c r="AA508" s="33"/>
      <c r="AB508" s="34">
        <f t="shared" ref="AB508" si="183">SUM(Z508:AA508)</f>
        <v>0</v>
      </c>
      <c r="AC508" s="10"/>
      <c r="AD508" s="10"/>
      <c r="AE508" s="10"/>
      <c r="AF508" s="12">
        <f t="shared" si="171"/>
        <v>0</v>
      </c>
    </row>
    <row r="509" spans="1:32" x14ac:dyDescent="0.25">
      <c r="A509" s="10"/>
      <c r="B509" s="32"/>
      <c r="C509" s="32"/>
      <c r="D509" s="34"/>
      <c r="E509" s="34"/>
      <c r="F509" s="34"/>
      <c r="G509" s="10"/>
      <c r="H509" s="10"/>
      <c r="I509" s="10"/>
      <c r="J509" s="12"/>
      <c r="L509" s="10"/>
      <c r="M509" s="33"/>
      <c r="N509" s="33"/>
      <c r="O509" s="33"/>
      <c r="P509" s="33"/>
      <c r="Q509" s="33"/>
      <c r="R509" s="10"/>
      <c r="S509" s="10"/>
      <c r="T509" s="10"/>
      <c r="U509" s="12">
        <f t="shared" si="169"/>
        <v>0</v>
      </c>
      <c r="W509" s="10"/>
      <c r="X509" s="33"/>
      <c r="Y509" s="33"/>
      <c r="Z509" s="33"/>
      <c r="AA509" s="33"/>
      <c r="AB509" s="33"/>
      <c r="AC509" s="10"/>
      <c r="AD509" s="10"/>
      <c r="AE509" s="10"/>
      <c r="AF509" s="12">
        <f t="shared" si="171"/>
        <v>0</v>
      </c>
    </row>
    <row r="510" spans="1:32" x14ac:dyDescent="0.25">
      <c r="B510" s="70"/>
      <c r="C510" s="70"/>
      <c r="D510" s="38"/>
      <c r="E510" s="38"/>
      <c r="F510" s="38"/>
      <c r="G510" s="39"/>
      <c r="H510" s="39"/>
      <c r="I510" s="39"/>
      <c r="J510" s="39"/>
      <c r="M510" s="70"/>
      <c r="N510" s="70"/>
      <c r="O510" s="38"/>
      <c r="P510" s="38"/>
      <c r="Q510" s="38"/>
      <c r="R510" s="39"/>
      <c r="S510" s="39"/>
      <c r="T510" s="39"/>
      <c r="U510" s="39"/>
      <c r="X510" s="70"/>
      <c r="Y510" s="70"/>
      <c r="Z510" s="38"/>
      <c r="AA510" s="38"/>
      <c r="AB510" s="38"/>
      <c r="AC510" s="39"/>
      <c r="AD510" s="39"/>
      <c r="AE510" s="39"/>
      <c r="AF510" s="39"/>
    </row>
    <row r="511" spans="1:32" x14ac:dyDescent="0.25">
      <c r="B511" s="70"/>
      <c r="C511" s="70"/>
      <c r="D511" s="40">
        <f>SUM(D468:D510)</f>
        <v>311376</v>
      </c>
      <c r="E511" s="40">
        <f t="shared" ref="E511" si="184">SUM(E468:E508)</f>
        <v>0</v>
      </c>
      <c r="F511" s="40">
        <f>SUM(F468:F510)</f>
        <v>311376</v>
      </c>
      <c r="G511" s="4"/>
      <c r="H511" s="41">
        <f>SUM(H468:H510)</f>
        <v>555</v>
      </c>
      <c r="I511" s="41">
        <f>SUM(I468:I510)</f>
        <v>-145.5</v>
      </c>
      <c r="J511" s="42">
        <f>SUM(J468:J510)</f>
        <v>311785.5</v>
      </c>
      <c r="M511" s="70"/>
      <c r="N511" s="70"/>
      <c r="O511" s="40">
        <f>SUM(O468:O510)</f>
        <v>218686</v>
      </c>
      <c r="P511" s="40">
        <f>SUM(P468:P492)</f>
        <v>-1962</v>
      </c>
      <c r="Q511" s="40">
        <f>SUM(Q468:Q510)</f>
        <v>216724</v>
      </c>
      <c r="R511" s="4"/>
      <c r="S511" s="43">
        <f>SUM(S468:S510)</f>
        <v>447</v>
      </c>
      <c r="T511" s="43">
        <f>SUM(T468:T492)</f>
        <v>-1191</v>
      </c>
      <c r="U511" s="44">
        <f>SUM(U468:U510)</f>
        <v>215980</v>
      </c>
      <c r="X511" s="70"/>
      <c r="Y511" s="70"/>
      <c r="Z511" s="40">
        <f>SUM(Z468:Z510)</f>
        <v>241878.5</v>
      </c>
      <c r="AA511" s="40">
        <f>SUM(AA468:AA492)</f>
        <v>-1980</v>
      </c>
      <c r="AB511" s="40">
        <f>SUM(AB468:AB510)</f>
        <v>239898.5</v>
      </c>
      <c r="AC511" s="4"/>
      <c r="AD511" s="43">
        <f>SUM(AD468:AD510)</f>
        <v>115.5</v>
      </c>
      <c r="AE511" s="43">
        <f>SUM(AE468:AE492)</f>
        <v>-1110</v>
      </c>
      <c r="AF511" s="44">
        <f>SUM(AF468:AF510)</f>
        <v>238904</v>
      </c>
    </row>
    <row r="512" spans="1:32" x14ac:dyDescent="0.25">
      <c r="B512" s="70"/>
      <c r="C512" s="70"/>
      <c r="D512" s="70"/>
      <c r="E512" s="70"/>
      <c r="F512" s="70"/>
      <c r="M512" s="70"/>
      <c r="N512" s="70"/>
      <c r="O512" s="45"/>
      <c r="P512" s="70"/>
      <c r="Q512" s="70"/>
      <c r="X512" s="70"/>
      <c r="Y512" s="70"/>
      <c r="Z512" s="45"/>
      <c r="AA512" s="70"/>
      <c r="AB512" s="70"/>
    </row>
    <row r="513" spans="1:32" x14ac:dyDescent="0.25">
      <c r="B513" s="70"/>
      <c r="C513" s="70"/>
      <c r="D513" s="70"/>
      <c r="E513" s="70"/>
      <c r="F513" s="70"/>
      <c r="M513" s="70"/>
      <c r="N513" s="70"/>
      <c r="O513" s="70"/>
      <c r="P513" s="70"/>
      <c r="Q513" s="70"/>
      <c r="X513" s="70"/>
      <c r="Y513" s="70"/>
      <c r="Z513" s="70"/>
      <c r="AA513" s="70"/>
      <c r="AB513" s="70"/>
    </row>
    <row r="514" spans="1:32" x14ac:dyDescent="0.25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</row>
    <row r="515" spans="1:32" x14ac:dyDescent="0.25">
      <c r="A515" t="s">
        <v>0</v>
      </c>
      <c r="B515" s="70"/>
      <c r="C515" s="70"/>
      <c r="D515" s="70"/>
      <c r="E515" s="70"/>
      <c r="F515" s="70"/>
      <c r="L515" t="s">
        <v>0</v>
      </c>
      <c r="M515" s="70"/>
      <c r="N515" s="70"/>
      <c r="O515" s="70"/>
      <c r="P515" s="70"/>
      <c r="Q515" s="70"/>
      <c r="W515" t="s">
        <v>0</v>
      </c>
      <c r="X515" s="70"/>
      <c r="Y515" s="70"/>
      <c r="Z515" s="70"/>
      <c r="AA515" s="70"/>
      <c r="AB515" s="70"/>
    </row>
    <row r="516" spans="1:32" x14ac:dyDescent="0.25">
      <c r="A516" t="s">
        <v>30</v>
      </c>
      <c r="B516" s="70"/>
      <c r="C516" s="70"/>
      <c r="D516" s="70"/>
      <c r="E516" s="70"/>
      <c r="F516" s="70"/>
      <c r="L516" t="s">
        <v>30</v>
      </c>
      <c r="M516" s="70"/>
      <c r="N516" s="70"/>
      <c r="O516" s="70"/>
      <c r="P516" s="70"/>
      <c r="Q516" s="70"/>
      <c r="W516" t="s">
        <v>30</v>
      </c>
      <c r="X516" s="70"/>
      <c r="Y516" s="70"/>
      <c r="Z516" s="70"/>
      <c r="AA516" s="70"/>
      <c r="AB516" s="70"/>
    </row>
    <row r="517" spans="1:32" x14ac:dyDescent="0.25">
      <c r="B517" s="70"/>
      <c r="C517" s="70"/>
      <c r="D517" s="70"/>
      <c r="E517" s="70"/>
      <c r="F517" s="70"/>
      <c r="M517" s="70"/>
      <c r="N517" s="70"/>
      <c r="O517" s="70"/>
      <c r="P517" s="70"/>
      <c r="Q517" s="70"/>
      <c r="X517" s="70"/>
      <c r="Y517" s="70"/>
      <c r="Z517" s="70"/>
      <c r="AA517" s="70"/>
      <c r="AB517" s="70"/>
    </row>
    <row r="518" spans="1:32" x14ac:dyDescent="0.25">
      <c r="A518" s="4" t="s">
        <v>15</v>
      </c>
      <c r="B518" s="70"/>
      <c r="C518" s="70"/>
      <c r="D518" s="70"/>
      <c r="E518" s="70"/>
      <c r="F518" s="70"/>
      <c r="L518" s="4" t="s">
        <v>15</v>
      </c>
      <c r="M518" s="70"/>
      <c r="N518" s="70"/>
      <c r="O518" s="70"/>
      <c r="P518" s="70"/>
      <c r="Q518" s="70"/>
      <c r="W518" s="4" t="s">
        <v>15</v>
      </c>
      <c r="X518" s="70"/>
      <c r="Y518" s="70"/>
      <c r="Z518" s="70"/>
      <c r="AA518" s="70"/>
      <c r="AB518" s="70"/>
    </row>
    <row r="519" spans="1:32" x14ac:dyDescent="0.25">
      <c r="B519" s="70"/>
      <c r="C519" s="70"/>
      <c r="D519" s="70"/>
      <c r="E519" s="70"/>
      <c r="F519" s="70"/>
      <c r="M519" s="70"/>
      <c r="N519" s="70"/>
      <c r="O519" s="70"/>
      <c r="P519" s="70"/>
      <c r="Q519" s="70"/>
      <c r="X519" s="70"/>
      <c r="Y519" s="70"/>
      <c r="Z519" s="70"/>
      <c r="AA519" s="70"/>
      <c r="AB519" s="70"/>
    </row>
    <row r="520" spans="1:32" ht="15.75" x14ac:dyDescent="0.25">
      <c r="A520" t="s">
        <v>32</v>
      </c>
      <c r="B520" s="70"/>
      <c r="C520" s="70"/>
      <c r="D520" s="70"/>
      <c r="E520" s="70"/>
      <c r="F520" s="70"/>
      <c r="H520" s="70" t="s">
        <v>16</v>
      </c>
      <c r="I520" s="19">
        <v>1</v>
      </c>
      <c r="L520" t="s">
        <v>32</v>
      </c>
      <c r="M520" s="70"/>
      <c r="N520" s="70"/>
      <c r="O520" s="70"/>
      <c r="P520" s="70"/>
      <c r="Q520" s="70"/>
      <c r="S520" s="70" t="s">
        <v>16</v>
      </c>
      <c r="T520" s="19">
        <v>2</v>
      </c>
      <c r="W520" t="s">
        <v>32</v>
      </c>
      <c r="X520" s="70"/>
      <c r="Y520" s="70"/>
      <c r="Z520" s="70"/>
      <c r="AA520" s="70"/>
      <c r="AB520" s="70"/>
      <c r="AD520" s="70" t="s">
        <v>16</v>
      </c>
      <c r="AE520" s="20">
        <v>3</v>
      </c>
    </row>
    <row r="521" spans="1:32" x14ac:dyDescent="0.25">
      <c r="A521" s="21" t="s">
        <v>63</v>
      </c>
      <c r="B521" s="20"/>
      <c r="C521" s="70"/>
      <c r="D521" s="70"/>
      <c r="E521" s="70"/>
      <c r="F521" s="70"/>
      <c r="H521" s="22" t="s">
        <v>17</v>
      </c>
      <c r="I521" s="23" t="s">
        <v>46</v>
      </c>
      <c r="J521" s="24"/>
      <c r="L521" s="21" t="s">
        <v>63</v>
      </c>
      <c r="M521" s="20"/>
      <c r="N521" s="70"/>
      <c r="O521" s="70"/>
      <c r="P521" s="70"/>
      <c r="Q521" s="70"/>
      <c r="S521" s="22" t="s">
        <v>17</v>
      </c>
      <c r="T521" s="23" t="s">
        <v>34</v>
      </c>
      <c r="U521" s="24"/>
      <c r="W521" s="21" t="s">
        <v>63</v>
      </c>
      <c r="X521" s="20"/>
      <c r="Y521" s="70"/>
      <c r="Z521" s="70"/>
      <c r="AA521" s="70"/>
      <c r="AB521" s="70"/>
      <c r="AD521" s="22" t="s">
        <v>17</v>
      </c>
      <c r="AE521" s="23" t="s">
        <v>47</v>
      </c>
      <c r="AF521" s="24"/>
    </row>
    <row r="522" spans="1:32" x14ac:dyDescent="0.25">
      <c r="B522" s="70"/>
      <c r="C522" s="70"/>
      <c r="D522" s="70"/>
      <c r="E522" s="70"/>
      <c r="F522" s="70"/>
      <c r="M522" s="70"/>
      <c r="N522" s="70"/>
      <c r="O522" s="70"/>
      <c r="P522" s="70"/>
      <c r="Q522" s="70"/>
      <c r="X522" s="70"/>
      <c r="Y522" s="70"/>
      <c r="Z522" s="70"/>
      <c r="AA522" s="70"/>
      <c r="AB522" s="70"/>
    </row>
    <row r="523" spans="1:32" x14ac:dyDescent="0.25">
      <c r="B523" s="25"/>
      <c r="C523" s="26"/>
      <c r="D523" s="79" t="s">
        <v>18</v>
      </c>
      <c r="E523" s="79"/>
      <c r="F523" s="27"/>
      <c r="H523" s="77" t="s">
        <v>19</v>
      </c>
      <c r="I523" s="78"/>
      <c r="J523" s="75" t="s">
        <v>20</v>
      </c>
      <c r="M523" s="25"/>
      <c r="N523" s="26"/>
      <c r="O523" s="79" t="s">
        <v>18</v>
      </c>
      <c r="P523" s="79"/>
      <c r="Q523" s="27"/>
      <c r="S523" s="77" t="s">
        <v>19</v>
      </c>
      <c r="T523" s="78"/>
      <c r="U523" s="75" t="s">
        <v>20</v>
      </c>
      <c r="X523" s="25"/>
      <c r="Y523" s="26"/>
      <c r="Z523" s="79" t="s">
        <v>18</v>
      </c>
      <c r="AA523" s="79"/>
      <c r="AB523" s="27"/>
      <c r="AD523" s="77" t="s">
        <v>19</v>
      </c>
      <c r="AE523" s="78"/>
      <c r="AF523" s="75" t="s">
        <v>20</v>
      </c>
    </row>
    <row r="524" spans="1:32" ht="30" x14ac:dyDescent="0.25">
      <c r="B524" s="28" t="s">
        <v>21</v>
      </c>
      <c r="C524" s="28" t="s">
        <v>22</v>
      </c>
      <c r="D524" s="29" t="s">
        <v>23</v>
      </c>
      <c r="E524" s="30" t="s">
        <v>24</v>
      </c>
      <c r="F524" s="30" t="s">
        <v>25</v>
      </c>
      <c r="H524" s="31" t="s">
        <v>26</v>
      </c>
      <c r="I524" s="31" t="s">
        <v>27</v>
      </c>
      <c r="J524" s="76"/>
      <c r="M524" s="28" t="s">
        <v>21</v>
      </c>
      <c r="N524" s="28" t="s">
        <v>22</v>
      </c>
      <c r="O524" s="29" t="s">
        <v>23</v>
      </c>
      <c r="P524" s="30" t="s">
        <v>24</v>
      </c>
      <c r="Q524" s="30" t="s">
        <v>25</v>
      </c>
      <c r="S524" s="31" t="s">
        <v>26</v>
      </c>
      <c r="T524" s="31" t="s">
        <v>27</v>
      </c>
      <c r="U524" s="76"/>
      <c r="X524" s="28" t="s">
        <v>21</v>
      </c>
      <c r="Y524" s="28" t="s">
        <v>22</v>
      </c>
      <c r="Z524" s="29" t="s">
        <v>23</v>
      </c>
      <c r="AA524" s="30" t="s">
        <v>24</v>
      </c>
      <c r="AB524" s="30" t="s">
        <v>25</v>
      </c>
      <c r="AD524" s="31" t="s">
        <v>26</v>
      </c>
      <c r="AE524" s="31" t="s">
        <v>27</v>
      </c>
      <c r="AF524" s="76"/>
    </row>
    <row r="525" spans="1:32" x14ac:dyDescent="0.25">
      <c r="A525" s="10">
        <v>1</v>
      </c>
      <c r="B525" s="32">
        <v>45670</v>
      </c>
      <c r="C525" s="33">
        <v>7452</v>
      </c>
      <c r="D525" s="34">
        <f>626+8.5+2022</f>
        <v>2656.5</v>
      </c>
      <c r="E525" s="34"/>
      <c r="F525" s="34">
        <f t="shared" ref="F525:F530" si="185">SUM(D525:E525)</f>
        <v>2656.5</v>
      </c>
      <c r="G525" s="12"/>
      <c r="H525" s="12">
        <v>41.5</v>
      </c>
      <c r="I525" s="12"/>
      <c r="J525" s="12">
        <f t="shared" ref="J525:J564" si="186">SUM(F525:I525)</f>
        <v>2698</v>
      </c>
      <c r="L525" s="10">
        <v>1</v>
      </c>
      <c r="M525" s="32">
        <v>45670</v>
      </c>
      <c r="N525" s="33">
        <v>7377</v>
      </c>
      <c r="O525" s="34">
        <f>626*216+205*9</f>
        <v>137061</v>
      </c>
      <c r="P525" s="34">
        <v>-2025</v>
      </c>
      <c r="Q525" s="34">
        <f>SUM(O525:P525)</f>
        <v>135036</v>
      </c>
      <c r="R525" s="12"/>
      <c r="S525" s="12">
        <v>216</v>
      </c>
      <c r="T525" s="12"/>
      <c r="U525" s="12">
        <f>SUM(Q525:T525)</f>
        <v>135252</v>
      </c>
      <c r="W525" s="10">
        <v>1</v>
      </c>
      <c r="X525" s="32">
        <v>45670</v>
      </c>
      <c r="Y525" s="33">
        <v>7109</v>
      </c>
      <c r="Z525" s="34">
        <f>626*4+34</f>
        <v>2538</v>
      </c>
      <c r="AA525" s="34"/>
      <c r="AB525" s="34">
        <f>SUM(Z525:AA525)</f>
        <v>2538</v>
      </c>
      <c r="AC525" s="12"/>
      <c r="AD525" s="12"/>
      <c r="AE525" s="12"/>
      <c r="AF525" s="12">
        <f>SUM(AB525:AE525)</f>
        <v>2538</v>
      </c>
    </row>
    <row r="526" spans="1:32" x14ac:dyDescent="0.25">
      <c r="A526" s="10">
        <v>2</v>
      </c>
      <c r="B526" s="32">
        <v>45670</v>
      </c>
      <c r="C526" s="33">
        <f>C525+1</f>
        <v>7453</v>
      </c>
      <c r="D526" s="34">
        <f>2050</f>
        <v>2050</v>
      </c>
      <c r="E526" s="34"/>
      <c r="F526" s="34">
        <f t="shared" si="185"/>
        <v>2050</v>
      </c>
      <c r="G526" s="12"/>
      <c r="H526" s="12"/>
      <c r="I526" s="12"/>
      <c r="J526" s="12">
        <f t="shared" si="186"/>
        <v>2050</v>
      </c>
      <c r="L526" s="10">
        <v>2</v>
      </c>
      <c r="M526" s="32">
        <v>45670</v>
      </c>
      <c r="N526" s="33">
        <f>N525+1</f>
        <v>7378</v>
      </c>
      <c r="O526" s="34">
        <f>1252+614+17</f>
        <v>1883</v>
      </c>
      <c r="P526" s="34"/>
      <c r="Q526" s="34">
        <f t="shared" ref="Q526:Q557" si="187">SUM(O526:P526)</f>
        <v>1883</v>
      </c>
      <c r="R526" s="12"/>
      <c r="S526" s="12"/>
      <c r="T526" s="12">
        <v>-111</v>
      </c>
      <c r="U526" s="12">
        <f t="shared" ref="U526:U566" si="188">SUM(Q526:T526)</f>
        <v>1772</v>
      </c>
      <c r="W526" s="10">
        <v>2</v>
      </c>
      <c r="X526" s="32">
        <v>45670</v>
      </c>
      <c r="Y526" s="33">
        <f>Y525+1</f>
        <v>7110</v>
      </c>
      <c r="Z526" s="34">
        <f>3756+51</f>
        <v>3807</v>
      </c>
      <c r="AA526" s="34"/>
      <c r="AB526" s="34">
        <f t="shared" ref="AB526:AB528" si="189">SUM(Z526:AA526)</f>
        <v>3807</v>
      </c>
      <c r="AC526" s="12"/>
      <c r="AD526" s="12"/>
      <c r="AE526" s="12"/>
      <c r="AF526" s="12">
        <f t="shared" ref="AF526:AF566" si="190">SUM(AB526:AE526)</f>
        <v>3807</v>
      </c>
    </row>
    <row r="527" spans="1:32" x14ac:dyDescent="0.25">
      <c r="A527" s="10">
        <v>3</v>
      </c>
      <c r="B527" s="32">
        <v>45670</v>
      </c>
      <c r="C527" s="33">
        <f t="shared" ref="C527:C543" si="191">C526+1</f>
        <v>7454</v>
      </c>
      <c r="D527" s="35">
        <f>626*10+614+85</f>
        <v>6959</v>
      </c>
      <c r="E527" s="35"/>
      <c r="F527" s="35">
        <f t="shared" si="185"/>
        <v>6959</v>
      </c>
      <c r="G527" s="36"/>
      <c r="H527" s="36"/>
      <c r="I527" s="36"/>
      <c r="J527" s="36">
        <f t="shared" si="186"/>
        <v>6959</v>
      </c>
      <c r="L527" s="10">
        <v>3</v>
      </c>
      <c r="M527" s="32">
        <v>45670</v>
      </c>
      <c r="N527" s="33">
        <f t="shared" ref="N527:N548" si="192">N526+1</f>
        <v>7379</v>
      </c>
      <c r="O527" s="34">
        <f>2504+34</f>
        <v>2538</v>
      </c>
      <c r="P527" s="34"/>
      <c r="Q527" s="34">
        <f t="shared" si="187"/>
        <v>2538</v>
      </c>
      <c r="R527" s="12"/>
      <c r="S527" s="12"/>
      <c r="T527" s="12"/>
      <c r="U527" s="12">
        <f t="shared" si="188"/>
        <v>2538</v>
      </c>
      <c r="W527" s="10">
        <v>3</v>
      </c>
      <c r="X527" s="32">
        <v>45670</v>
      </c>
      <c r="Y527" s="33">
        <f t="shared" ref="Y527:Y532" si="193">Y526+1</f>
        <v>7111</v>
      </c>
      <c r="Z527" s="34">
        <f>626*20+614*2+596*10+205+674*5</f>
        <v>23283</v>
      </c>
      <c r="AA527" s="34"/>
      <c r="AB527" s="34">
        <f t="shared" si="189"/>
        <v>23283</v>
      </c>
      <c r="AC527" s="12"/>
      <c r="AD527" s="12"/>
      <c r="AE527" s="12"/>
      <c r="AF527" s="12">
        <f t="shared" si="190"/>
        <v>23283</v>
      </c>
    </row>
    <row r="528" spans="1:32" x14ac:dyDescent="0.25">
      <c r="A528" s="10">
        <v>4</v>
      </c>
      <c r="B528" s="32">
        <v>45670</v>
      </c>
      <c r="C528" s="33">
        <f t="shared" si="191"/>
        <v>7455</v>
      </c>
      <c r="D528" s="34">
        <f>626+8.5</f>
        <v>634.5</v>
      </c>
      <c r="E528" s="34"/>
      <c r="F528" s="34">
        <f t="shared" si="185"/>
        <v>634.5</v>
      </c>
      <c r="G528" s="12"/>
      <c r="H528" s="12"/>
      <c r="I528" s="12"/>
      <c r="J528" s="12">
        <f t="shared" si="186"/>
        <v>634.5</v>
      </c>
      <c r="L528" s="10">
        <v>4</v>
      </c>
      <c r="M528" s="32">
        <v>45670</v>
      </c>
      <c r="N528" s="33">
        <f t="shared" si="192"/>
        <v>7380</v>
      </c>
      <c r="O528" s="34">
        <f>7512+102+674</f>
        <v>8288</v>
      </c>
      <c r="P528" s="34"/>
      <c r="Q528" s="34">
        <f t="shared" si="187"/>
        <v>8288</v>
      </c>
      <c r="R528" s="12"/>
      <c r="S528" s="12">
        <v>18</v>
      </c>
      <c r="T528" s="12"/>
      <c r="U528" s="12">
        <f t="shared" si="188"/>
        <v>8306</v>
      </c>
      <c r="W528" s="10">
        <v>4</v>
      </c>
      <c r="X528" s="32">
        <v>45670</v>
      </c>
      <c r="Y528" s="33">
        <f t="shared" si="193"/>
        <v>7112</v>
      </c>
      <c r="Z528" s="34">
        <f>6260+5960+205</f>
        <v>12425</v>
      </c>
      <c r="AA528" s="34"/>
      <c r="AB528" s="34">
        <f t="shared" si="189"/>
        <v>12425</v>
      </c>
      <c r="AC528" s="12"/>
      <c r="AD528">
        <f>2220+58.5</f>
        <v>2278.5</v>
      </c>
      <c r="AE528" s="12"/>
      <c r="AF528" s="12">
        <f t="shared" si="190"/>
        <v>14703.5</v>
      </c>
    </row>
    <row r="529" spans="1:32" x14ac:dyDescent="0.25">
      <c r="A529" s="10">
        <v>5</v>
      </c>
      <c r="B529" s="32">
        <v>45670</v>
      </c>
      <c r="C529" s="33">
        <f t="shared" si="191"/>
        <v>7456</v>
      </c>
      <c r="D529" s="34">
        <f>626*60+1228</f>
        <v>38788</v>
      </c>
      <c r="E529" s="34"/>
      <c r="F529" s="34">
        <f t="shared" si="185"/>
        <v>38788</v>
      </c>
      <c r="G529" s="12"/>
      <c r="H529" s="12">
        <v>27</v>
      </c>
      <c r="I529" s="12"/>
      <c r="J529" s="12">
        <f t="shared" si="186"/>
        <v>38815</v>
      </c>
      <c r="L529" s="10">
        <v>5</v>
      </c>
      <c r="M529" s="32">
        <v>45670</v>
      </c>
      <c r="N529" s="33">
        <f t="shared" si="192"/>
        <v>7381</v>
      </c>
      <c r="O529" s="34">
        <f>626+8.5</f>
        <v>634.5</v>
      </c>
      <c r="P529" s="34"/>
      <c r="Q529" s="34">
        <f t="shared" si="187"/>
        <v>634.5</v>
      </c>
      <c r="R529" s="12"/>
      <c r="S529" s="12"/>
      <c r="T529" s="12"/>
      <c r="U529" s="12">
        <f t="shared" si="188"/>
        <v>634.5</v>
      </c>
      <c r="W529" s="10">
        <v>5</v>
      </c>
      <c r="X529" s="32">
        <v>45670</v>
      </c>
      <c r="Y529" s="33">
        <f t="shared" si="193"/>
        <v>7113</v>
      </c>
      <c r="Z529" s="34">
        <f>1878+25.5</f>
        <v>1903.5</v>
      </c>
      <c r="AA529" s="34"/>
      <c r="AB529" s="34">
        <f t="shared" ref="AB529:AB534" si="194">SUM(Z529:AA529)</f>
        <v>1903.5</v>
      </c>
      <c r="AC529" s="12"/>
      <c r="AD529" s="12">
        <v>3</v>
      </c>
      <c r="AE529" s="12"/>
      <c r="AF529" s="12">
        <f t="shared" si="190"/>
        <v>1906.5</v>
      </c>
    </row>
    <row r="530" spans="1:32" x14ac:dyDescent="0.25">
      <c r="A530" s="10">
        <v>6</v>
      </c>
      <c r="B530" s="32">
        <v>45670</v>
      </c>
      <c r="C530" s="33">
        <f t="shared" si="191"/>
        <v>7457</v>
      </c>
      <c r="D530" s="70">
        <f>18780+205+1348</f>
        <v>20333</v>
      </c>
      <c r="E530" s="34"/>
      <c r="F530" s="34">
        <f t="shared" si="185"/>
        <v>20333</v>
      </c>
      <c r="G530" s="12"/>
      <c r="I530" s="12"/>
      <c r="J530" s="12">
        <f t="shared" si="186"/>
        <v>20333</v>
      </c>
      <c r="L530" s="10">
        <v>6</v>
      </c>
      <c r="M530" s="32">
        <v>45670</v>
      </c>
      <c r="N530" s="33">
        <f t="shared" si="192"/>
        <v>7382</v>
      </c>
      <c r="O530" s="34">
        <f>3756+614*2+51+674</f>
        <v>5709</v>
      </c>
      <c r="P530" s="34"/>
      <c r="Q530" s="34">
        <f t="shared" si="187"/>
        <v>5709</v>
      </c>
      <c r="R530" s="12"/>
      <c r="S530" s="12">
        <v>39.75</v>
      </c>
      <c r="T530" s="10"/>
      <c r="U530" s="12">
        <f t="shared" si="188"/>
        <v>5748.75</v>
      </c>
      <c r="W530" s="10">
        <v>6</v>
      </c>
      <c r="X530" s="32">
        <v>45670</v>
      </c>
      <c r="Y530" s="33">
        <f t="shared" si="193"/>
        <v>7114</v>
      </c>
      <c r="Z530" s="34">
        <f>626*79+614*11+596*10+205*3</f>
        <v>62783</v>
      </c>
      <c r="AA530" s="34">
        <v>-800</v>
      </c>
      <c r="AB530" s="34">
        <f t="shared" si="194"/>
        <v>61983</v>
      </c>
      <c r="AC530" s="12"/>
      <c r="AD530" s="12"/>
      <c r="AE530" s="10"/>
      <c r="AF530" s="12">
        <f t="shared" si="190"/>
        <v>61983</v>
      </c>
    </row>
    <row r="531" spans="1:32" x14ac:dyDescent="0.25">
      <c r="A531" s="10">
        <v>7</v>
      </c>
      <c r="B531" s="32">
        <v>45670</v>
      </c>
      <c r="C531" s="33">
        <f t="shared" si="191"/>
        <v>7458</v>
      </c>
      <c r="D531" s="34">
        <f>626*9+614+832+76.5+674</f>
        <v>7830.5</v>
      </c>
      <c r="E531" s="34"/>
      <c r="F531" s="34">
        <f>SUM(D531:E531)</f>
        <v>7830.5</v>
      </c>
      <c r="G531" s="12"/>
      <c r="H531" s="12">
        <v>33.75</v>
      </c>
      <c r="I531" s="12"/>
      <c r="J531" s="12">
        <f t="shared" si="186"/>
        <v>7864.25</v>
      </c>
      <c r="L531" s="10">
        <v>7</v>
      </c>
      <c r="M531" s="32">
        <v>45670</v>
      </c>
      <c r="N531" s="33">
        <f t="shared" si="192"/>
        <v>7383</v>
      </c>
      <c r="O531" s="34">
        <f>626+614+596+832+17+674</f>
        <v>3359</v>
      </c>
      <c r="P531" s="34"/>
      <c r="Q531" s="34">
        <f t="shared" si="187"/>
        <v>3359</v>
      </c>
      <c r="R531" s="12"/>
      <c r="S531" s="12"/>
      <c r="T531" s="12"/>
      <c r="U531" s="12">
        <f t="shared" si="188"/>
        <v>3359</v>
      </c>
      <c r="W531" s="10">
        <v>7</v>
      </c>
      <c r="X531" s="32">
        <v>45670</v>
      </c>
      <c r="Y531" s="33">
        <f t="shared" si="193"/>
        <v>7115</v>
      </c>
      <c r="Z531" s="34">
        <f>122696+2384+1704+1640</f>
        <v>128424</v>
      </c>
      <c r="AA531" s="34">
        <v>-1818</v>
      </c>
      <c r="AB531" s="34">
        <f t="shared" si="194"/>
        <v>126606</v>
      </c>
      <c r="AC531" s="12"/>
      <c r="AD531" s="66"/>
      <c r="AE531" s="12"/>
      <c r="AF531" s="12">
        <f t="shared" si="190"/>
        <v>126606</v>
      </c>
    </row>
    <row r="532" spans="1:32" x14ac:dyDescent="0.25">
      <c r="A532" s="10">
        <v>8</v>
      </c>
      <c r="B532" s="32">
        <v>45670</v>
      </c>
      <c r="C532" s="33">
        <f t="shared" si="191"/>
        <v>7459</v>
      </c>
      <c r="D532" s="34">
        <f>1252+17</f>
        <v>1269</v>
      </c>
      <c r="E532" s="34"/>
      <c r="F532" s="34">
        <f t="shared" ref="F532:F564" si="195">SUM(D532:E532)</f>
        <v>1269</v>
      </c>
      <c r="G532" s="12"/>
      <c r="H532" s="12"/>
      <c r="I532" s="12"/>
      <c r="J532" s="12">
        <f t="shared" si="186"/>
        <v>1269</v>
      </c>
      <c r="L532" s="10">
        <v>8</v>
      </c>
      <c r="M532" s="32">
        <v>45670</v>
      </c>
      <c r="N532" s="33">
        <f t="shared" si="192"/>
        <v>7384</v>
      </c>
      <c r="O532" s="34">
        <f>3130+832+42.5</f>
        <v>4004.5</v>
      </c>
      <c r="P532" s="34"/>
      <c r="Q532" s="34">
        <f t="shared" si="187"/>
        <v>4004.5</v>
      </c>
      <c r="R532" s="12"/>
      <c r="S532" s="12"/>
      <c r="T532" s="12"/>
      <c r="U532" s="12">
        <f t="shared" si="188"/>
        <v>4004.5</v>
      </c>
      <c r="W532" s="10">
        <v>8</v>
      </c>
      <c r="X532" s="32">
        <v>45670</v>
      </c>
      <c r="Y532" s="33">
        <f t="shared" si="193"/>
        <v>7116</v>
      </c>
      <c r="Z532" s="34">
        <f>626*4+596*5+76.5</f>
        <v>5560.5</v>
      </c>
      <c r="AB532" s="34">
        <f t="shared" si="194"/>
        <v>5560.5</v>
      </c>
      <c r="AC532" s="12"/>
      <c r="AD532" s="12"/>
      <c r="AE532" s="12">
        <v>-777</v>
      </c>
      <c r="AF532" s="12">
        <f t="shared" si="190"/>
        <v>4783.5</v>
      </c>
    </row>
    <row r="533" spans="1:32" x14ac:dyDescent="0.25">
      <c r="A533" s="10">
        <v>9</v>
      </c>
      <c r="B533" s="32">
        <v>45670</v>
      </c>
      <c r="C533" s="33">
        <f t="shared" si="191"/>
        <v>7460</v>
      </c>
      <c r="D533" s="34">
        <f>626*6+614+51</f>
        <v>4421</v>
      </c>
      <c r="E533" s="34"/>
      <c r="F533" s="34">
        <f t="shared" si="195"/>
        <v>4421</v>
      </c>
      <c r="G533" s="12"/>
      <c r="H533" s="12"/>
      <c r="I533" s="12"/>
      <c r="J533" s="12">
        <f t="shared" si="186"/>
        <v>4421</v>
      </c>
      <c r="L533" s="10">
        <v>9</v>
      </c>
      <c r="M533" s="32">
        <v>45670</v>
      </c>
      <c r="N533" s="33">
        <f t="shared" si="192"/>
        <v>7385</v>
      </c>
      <c r="O533" s="34">
        <f>1252+17</f>
        <v>1269</v>
      </c>
      <c r="P533" s="34"/>
      <c r="Q533" s="34">
        <f t="shared" si="187"/>
        <v>1269</v>
      </c>
      <c r="R533" s="12"/>
      <c r="S533" s="12"/>
      <c r="T533" s="12"/>
      <c r="U533" s="12">
        <f t="shared" si="188"/>
        <v>1269</v>
      </c>
      <c r="W533" s="10">
        <v>9</v>
      </c>
      <c r="X533" s="32"/>
      <c r="Y533" s="11" t="s">
        <v>28</v>
      </c>
      <c r="AA533" s="34"/>
      <c r="AB533" s="34">
        <f t="shared" si="194"/>
        <v>0</v>
      </c>
      <c r="AC533" s="12"/>
      <c r="AE533" s="12"/>
      <c r="AF533" s="12">
        <f t="shared" si="190"/>
        <v>0</v>
      </c>
    </row>
    <row r="534" spans="1:32" x14ac:dyDescent="0.25">
      <c r="A534" s="10">
        <v>10</v>
      </c>
      <c r="B534" s="32">
        <v>45670</v>
      </c>
      <c r="C534" s="33">
        <f t="shared" si="191"/>
        <v>7461</v>
      </c>
      <c r="D534" s="34">
        <f>626*5+614+42.5</f>
        <v>3786.5</v>
      </c>
      <c r="E534" s="34"/>
      <c r="F534" s="34">
        <f t="shared" si="195"/>
        <v>3786.5</v>
      </c>
      <c r="G534" s="12"/>
      <c r="H534" s="12"/>
      <c r="I534" s="12"/>
      <c r="J534" s="12">
        <f t="shared" si="186"/>
        <v>3786.5</v>
      </c>
      <c r="L534" s="10">
        <v>10</v>
      </c>
      <c r="M534" s="32">
        <v>45670</v>
      </c>
      <c r="N534" s="33">
        <f t="shared" si="192"/>
        <v>7386</v>
      </c>
      <c r="O534" s="34">
        <f>1252+17</f>
        <v>1269</v>
      </c>
      <c r="P534" s="34"/>
      <c r="Q534" s="34">
        <f t="shared" si="187"/>
        <v>1269</v>
      </c>
      <c r="R534" s="12"/>
      <c r="S534" s="12"/>
      <c r="T534" s="12"/>
      <c r="U534" s="12">
        <f t="shared" si="188"/>
        <v>1269</v>
      </c>
      <c r="W534" s="10">
        <v>10</v>
      </c>
      <c r="X534" s="32"/>
      <c r="Y534" s="33"/>
      <c r="Z534" s="34"/>
      <c r="AA534" s="34"/>
      <c r="AB534" s="34">
        <f t="shared" si="194"/>
        <v>0</v>
      </c>
      <c r="AC534" s="12"/>
      <c r="AD534" s="12"/>
      <c r="AE534" s="12"/>
      <c r="AF534" s="12">
        <f t="shared" si="190"/>
        <v>0</v>
      </c>
    </row>
    <row r="535" spans="1:32" x14ac:dyDescent="0.25">
      <c r="A535" s="10">
        <v>11</v>
      </c>
      <c r="B535" s="32">
        <v>45670</v>
      </c>
      <c r="C535" s="33">
        <f t="shared" si="191"/>
        <v>7462</v>
      </c>
      <c r="D535" s="34">
        <f>3130+42.5</f>
        <v>3172.5</v>
      </c>
      <c r="E535" s="34"/>
      <c r="F535" s="34">
        <f t="shared" si="195"/>
        <v>3172.5</v>
      </c>
      <c r="G535" s="12"/>
      <c r="H535" s="12"/>
      <c r="I535" s="12">
        <v>-1.5</v>
      </c>
      <c r="J535" s="12">
        <f t="shared" si="186"/>
        <v>3171</v>
      </c>
      <c r="L535" s="10">
        <v>11</v>
      </c>
      <c r="M535" s="32">
        <v>45670</v>
      </c>
      <c r="N535" s="33">
        <f t="shared" si="192"/>
        <v>7387</v>
      </c>
      <c r="O535" s="34">
        <f>2504+1192+51</f>
        <v>3747</v>
      </c>
      <c r="P535" s="34"/>
      <c r="Q535" s="34">
        <f t="shared" si="187"/>
        <v>3747</v>
      </c>
      <c r="R535" s="12"/>
      <c r="S535" s="12"/>
      <c r="T535" s="12"/>
      <c r="U535" s="12">
        <f t="shared" si="188"/>
        <v>3747</v>
      </c>
      <c r="W535" s="10">
        <v>11</v>
      </c>
      <c r="X535" s="32"/>
      <c r="Z535" s="34"/>
      <c r="AA535" s="34"/>
      <c r="AB535" s="34">
        <f t="shared" ref="AB535:AB557" si="196">SUM(Z535:AA535)</f>
        <v>0</v>
      </c>
      <c r="AC535" s="12"/>
      <c r="AD535" s="12"/>
      <c r="AE535" s="12"/>
      <c r="AF535" s="12">
        <f t="shared" si="190"/>
        <v>0</v>
      </c>
    </row>
    <row r="536" spans="1:32" x14ac:dyDescent="0.25">
      <c r="A536" s="10">
        <v>12</v>
      </c>
      <c r="B536" s="32">
        <v>45670</v>
      </c>
      <c r="C536" s="33">
        <f t="shared" si="191"/>
        <v>7463</v>
      </c>
      <c r="D536" s="34">
        <f>614</f>
        <v>614</v>
      </c>
      <c r="E536" s="34"/>
      <c r="F536" s="34">
        <f t="shared" si="195"/>
        <v>614</v>
      </c>
      <c r="G536" s="12"/>
      <c r="H536" s="12"/>
      <c r="I536" s="10"/>
      <c r="J536" s="12">
        <f t="shared" si="186"/>
        <v>614</v>
      </c>
      <c r="L536" s="10">
        <v>12</v>
      </c>
      <c r="M536" s="32">
        <v>45670</v>
      </c>
      <c r="N536" s="33">
        <f t="shared" si="192"/>
        <v>7388</v>
      </c>
      <c r="O536" s="34">
        <f>6260+614+596+615+674</f>
        <v>8759</v>
      </c>
      <c r="P536" s="34"/>
      <c r="Q536" s="34">
        <f t="shared" si="187"/>
        <v>8759</v>
      </c>
      <c r="R536" s="12"/>
      <c r="S536" s="12"/>
      <c r="T536" s="12"/>
      <c r="U536" s="12">
        <f t="shared" si="188"/>
        <v>8759</v>
      </c>
      <c r="W536" s="10">
        <v>12</v>
      </c>
      <c r="X536" s="32"/>
      <c r="Y536" s="33"/>
      <c r="Z536" s="34"/>
      <c r="AA536" s="34"/>
      <c r="AB536" s="34">
        <f t="shared" si="196"/>
        <v>0</v>
      </c>
      <c r="AC536" s="12"/>
      <c r="AD536" s="12"/>
      <c r="AE536" s="12"/>
      <c r="AF536" s="12">
        <f t="shared" si="190"/>
        <v>0</v>
      </c>
    </row>
    <row r="537" spans="1:32" x14ac:dyDescent="0.25">
      <c r="A537" s="10">
        <v>13</v>
      </c>
      <c r="B537" s="32">
        <v>45670</v>
      </c>
      <c r="C537" s="33">
        <f t="shared" si="191"/>
        <v>7464</v>
      </c>
      <c r="D537" s="34">
        <f>2504+34</f>
        <v>2538</v>
      </c>
      <c r="E537" s="34"/>
      <c r="F537" s="34">
        <f t="shared" si="195"/>
        <v>2538</v>
      </c>
      <c r="G537" s="12"/>
      <c r="H537" s="12"/>
      <c r="I537" s="12"/>
      <c r="J537" s="12">
        <f t="shared" si="186"/>
        <v>2538</v>
      </c>
      <c r="L537" s="10">
        <v>13</v>
      </c>
      <c r="M537" s="32">
        <v>45670</v>
      </c>
      <c r="N537" s="33">
        <f t="shared" si="192"/>
        <v>7389</v>
      </c>
      <c r="O537" s="34">
        <f>2504+205</f>
        <v>2709</v>
      </c>
      <c r="P537" s="34"/>
      <c r="Q537" s="34">
        <f t="shared" si="187"/>
        <v>2709</v>
      </c>
      <c r="R537" s="12"/>
      <c r="S537" s="12"/>
      <c r="T537" s="12"/>
      <c r="U537" s="12">
        <f t="shared" si="188"/>
        <v>2709</v>
      </c>
      <c r="W537" s="10">
        <v>13</v>
      </c>
      <c r="X537" s="32"/>
      <c r="Y537" s="33"/>
      <c r="Z537" s="34"/>
      <c r="AA537" s="34"/>
      <c r="AB537" s="34">
        <f t="shared" si="196"/>
        <v>0</v>
      </c>
      <c r="AC537" s="12"/>
      <c r="AD537" s="12"/>
      <c r="AE537" s="12"/>
      <c r="AF537" s="12">
        <f t="shared" si="190"/>
        <v>0</v>
      </c>
    </row>
    <row r="538" spans="1:32" x14ac:dyDescent="0.25">
      <c r="A538" s="10">
        <v>14</v>
      </c>
      <c r="B538" s="32">
        <v>45670</v>
      </c>
      <c r="C538" s="33">
        <f t="shared" si="191"/>
        <v>7465</v>
      </c>
      <c r="D538" s="34">
        <f>1252+17</f>
        <v>1269</v>
      </c>
      <c r="E538" s="34"/>
      <c r="F538" s="34">
        <f t="shared" si="195"/>
        <v>1269</v>
      </c>
      <c r="G538" s="12"/>
      <c r="H538" s="12"/>
      <c r="I538" s="12"/>
      <c r="J538" s="12">
        <f t="shared" si="186"/>
        <v>1269</v>
      </c>
      <c r="L538" s="10">
        <v>14</v>
      </c>
      <c r="M538" s="32">
        <v>45670</v>
      </c>
      <c r="N538" s="33">
        <f t="shared" si="192"/>
        <v>7390</v>
      </c>
      <c r="O538" s="34">
        <f>1878+25.5</f>
        <v>1903.5</v>
      </c>
      <c r="P538" s="34"/>
      <c r="Q538" s="34">
        <f t="shared" si="187"/>
        <v>1903.5</v>
      </c>
      <c r="R538" s="12"/>
      <c r="S538" s="12"/>
      <c r="T538" s="12"/>
      <c r="U538" s="12">
        <f t="shared" si="188"/>
        <v>1903.5</v>
      </c>
      <c r="W538" s="10">
        <v>14</v>
      </c>
      <c r="X538" s="32"/>
      <c r="Y538" s="33"/>
      <c r="AA538" s="34"/>
      <c r="AB538" s="34">
        <f t="shared" si="196"/>
        <v>0</v>
      </c>
      <c r="AC538" s="12"/>
      <c r="AD538" s="12"/>
      <c r="AE538" s="12"/>
      <c r="AF538" s="12">
        <f t="shared" si="190"/>
        <v>0</v>
      </c>
    </row>
    <row r="539" spans="1:32" x14ac:dyDescent="0.25">
      <c r="A539" s="10">
        <v>15</v>
      </c>
      <c r="B539" s="32">
        <v>45670</v>
      </c>
      <c r="C539" s="33">
        <f t="shared" si="191"/>
        <v>7466</v>
      </c>
      <c r="D539" s="34">
        <f>626+8.5</f>
        <v>634.5</v>
      </c>
      <c r="E539" s="34"/>
      <c r="F539" s="34">
        <f t="shared" si="195"/>
        <v>634.5</v>
      </c>
      <c r="G539" s="12"/>
      <c r="H539" s="12"/>
      <c r="I539" s="12"/>
      <c r="J539" s="12">
        <f t="shared" si="186"/>
        <v>634.5</v>
      </c>
      <c r="L539" s="10">
        <v>15</v>
      </c>
      <c r="M539" s="32">
        <v>45670</v>
      </c>
      <c r="N539" s="33">
        <f t="shared" si="192"/>
        <v>7391</v>
      </c>
      <c r="O539" s="34">
        <f>3756+51</f>
        <v>3807</v>
      </c>
      <c r="P539" s="34"/>
      <c r="Q539" s="34">
        <f t="shared" si="187"/>
        <v>3807</v>
      </c>
      <c r="R539" s="12"/>
      <c r="S539" s="12"/>
      <c r="T539" s="12"/>
      <c r="U539" s="12">
        <f t="shared" si="188"/>
        <v>3807</v>
      </c>
      <c r="W539" s="10">
        <v>15</v>
      </c>
      <c r="X539" s="32"/>
      <c r="Y539" s="33"/>
      <c r="Z539" s="34"/>
      <c r="AA539" s="34"/>
      <c r="AB539" s="34">
        <f t="shared" si="196"/>
        <v>0</v>
      </c>
      <c r="AC539" s="12"/>
      <c r="AD539" s="12"/>
      <c r="AE539" s="12"/>
      <c r="AF539" s="12">
        <f t="shared" si="190"/>
        <v>0</v>
      </c>
    </row>
    <row r="540" spans="1:32" x14ac:dyDescent="0.25">
      <c r="A540" s="10">
        <v>16</v>
      </c>
      <c r="B540" s="32">
        <v>45670</v>
      </c>
      <c r="C540" s="33">
        <f t="shared" si="191"/>
        <v>7467</v>
      </c>
      <c r="D540" s="34">
        <f>14398+8344+205+1110.5</f>
        <v>24057.5</v>
      </c>
      <c r="E540" s="34"/>
      <c r="F540" s="34">
        <f t="shared" si="195"/>
        <v>24057.5</v>
      </c>
      <c r="G540" s="12"/>
      <c r="H540" s="12">
        <v>79.5</v>
      </c>
      <c r="I540" s="12"/>
      <c r="J540" s="12">
        <f t="shared" si="186"/>
        <v>24137</v>
      </c>
      <c r="L540" s="10">
        <v>16</v>
      </c>
      <c r="M540" s="32">
        <v>45670</v>
      </c>
      <c r="N540" s="33">
        <f t="shared" si="192"/>
        <v>7392</v>
      </c>
      <c r="O540" s="34">
        <f>1842</f>
        <v>1842</v>
      </c>
      <c r="P540" s="34"/>
      <c r="Q540" s="34">
        <f t="shared" si="187"/>
        <v>1842</v>
      </c>
      <c r="R540" s="12"/>
      <c r="S540" s="12"/>
      <c r="T540" s="12"/>
      <c r="U540" s="12">
        <f t="shared" si="188"/>
        <v>1842</v>
      </c>
      <c r="W540" s="10">
        <v>16</v>
      </c>
      <c r="X540" s="32"/>
      <c r="Y540" s="33"/>
      <c r="Z540" s="34"/>
      <c r="AA540" s="34"/>
      <c r="AB540" s="34">
        <f t="shared" si="196"/>
        <v>0</v>
      </c>
      <c r="AC540" s="12"/>
      <c r="AD540" s="12"/>
      <c r="AE540" s="12"/>
      <c r="AF540" s="12">
        <f t="shared" si="190"/>
        <v>0</v>
      </c>
    </row>
    <row r="541" spans="1:32" x14ac:dyDescent="0.25">
      <c r="A541" s="10">
        <v>17</v>
      </c>
      <c r="B541" s="32">
        <v>45670</v>
      </c>
      <c r="C541" s="33">
        <f t="shared" si="191"/>
        <v>7468</v>
      </c>
      <c r="D541" s="34">
        <f>2556+2496</f>
        <v>5052</v>
      </c>
      <c r="E541" s="34"/>
      <c r="F541" s="34">
        <f t="shared" si="195"/>
        <v>5052</v>
      </c>
      <c r="G541" s="12"/>
      <c r="H541" s="12"/>
      <c r="I541" s="12"/>
      <c r="J541" s="12">
        <f t="shared" si="186"/>
        <v>5052</v>
      </c>
      <c r="L541" s="10">
        <v>17</v>
      </c>
      <c r="M541" s="32">
        <v>45670</v>
      </c>
      <c r="N541" s="33">
        <f t="shared" si="192"/>
        <v>7393</v>
      </c>
      <c r="O541" s="37">
        <f>4382+59.5+674</f>
        <v>5115.5</v>
      </c>
      <c r="P541" s="34"/>
      <c r="Q541" s="34">
        <f t="shared" si="187"/>
        <v>5115.5</v>
      </c>
      <c r="R541" s="12"/>
      <c r="S541" s="12">
        <v>448.5</v>
      </c>
      <c r="T541" s="12"/>
      <c r="U541" s="12">
        <f t="shared" si="188"/>
        <v>5564</v>
      </c>
      <c r="W541" s="10">
        <v>17</v>
      </c>
      <c r="X541" s="32"/>
      <c r="Y541" s="33"/>
      <c r="Z541" s="37"/>
      <c r="AA541" s="34"/>
      <c r="AB541" s="34">
        <f t="shared" si="196"/>
        <v>0</v>
      </c>
      <c r="AC541" s="12"/>
      <c r="AD541" s="12"/>
      <c r="AE541" s="12"/>
      <c r="AF541" s="12">
        <f t="shared" si="190"/>
        <v>0</v>
      </c>
    </row>
    <row r="542" spans="1:32" x14ac:dyDescent="0.25">
      <c r="A542" s="10">
        <v>18</v>
      </c>
      <c r="B542" s="32">
        <v>45670</v>
      </c>
      <c r="C542" s="33">
        <f t="shared" si="191"/>
        <v>7469</v>
      </c>
      <c r="D542" s="34">
        <f>614</f>
        <v>614</v>
      </c>
      <c r="E542" s="34"/>
      <c r="F542" s="34">
        <f t="shared" si="195"/>
        <v>614</v>
      </c>
      <c r="G542" s="12"/>
      <c r="H542" s="12"/>
      <c r="I542" s="12"/>
      <c r="J542" s="12">
        <f t="shared" si="186"/>
        <v>614</v>
      </c>
      <c r="L542" s="10">
        <v>18</v>
      </c>
      <c r="M542" s="32">
        <v>45670</v>
      </c>
      <c r="N542" s="33">
        <f t="shared" si="192"/>
        <v>7394</v>
      </c>
      <c r="O542" s="34">
        <f>4382+59.5</f>
        <v>4441.5</v>
      </c>
      <c r="P542" s="34"/>
      <c r="Q542" s="34">
        <f t="shared" si="187"/>
        <v>4441.5</v>
      </c>
      <c r="R542" s="12"/>
      <c r="S542" s="12"/>
      <c r="T542" s="12"/>
      <c r="U542" s="12">
        <f t="shared" si="188"/>
        <v>4441.5</v>
      </c>
      <c r="W542" s="10">
        <v>18</v>
      </c>
      <c r="X542" s="32"/>
      <c r="Y542" s="33"/>
      <c r="Z542" s="34"/>
      <c r="AA542" s="34"/>
      <c r="AB542" s="34">
        <f t="shared" si="196"/>
        <v>0</v>
      </c>
      <c r="AC542" s="12"/>
      <c r="AD542" s="12"/>
      <c r="AE542" s="12"/>
      <c r="AF542" s="12">
        <f t="shared" si="190"/>
        <v>0</v>
      </c>
    </row>
    <row r="543" spans="1:32" x14ac:dyDescent="0.25">
      <c r="A543" s="10">
        <v>19</v>
      </c>
      <c r="B543" s="32">
        <v>45670</v>
      </c>
      <c r="C543" s="33">
        <f t="shared" si="191"/>
        <v>7470</v>
      </c>
      <c r="D543" s="34">
        <f>124574+1640+674</f>
        <v>126888</v>
      </c>
      <c r="E543" s="34">
        <v>-1872</v>
      </c>
      <c r="F543" s="34">
        <f t="shared" si="195"/>
        <v>125016</v>
      </c>
      <c r="G543" s="12"/>
      <c r="H543" s="12">
        <f>555+546</f>
        <v>1101</v>
      </c>
      <c r="I543" s="12">
        <f>-360+-1764+-336+-9</f>
        <v>-2469</v>
      </c>
      <c r="J543" s="12">
        <f t="shared" si="186"/>
        <v>123648</v>
      </c>
      <c r="L543" s="10">
        <v>19</v>
      </c>
      <c r="M543" s="32">
        <v>45670</v>
      </c>
      <c r="N543" s="33">
        <f t="shared" si="192"/>
        <v>7395</v>
      </c>
      <c r="O543" s="34">
        <f>4382+51+674</f>
        <v>5107</v>
      </c>
      <c r="P543" s="34"/>
      <c r="Q543" s="34">
        <f t="shared" si="187"/>
        <v>5107</v>
      </c>
      <c r="R543" s="12"/>
      <c r="S543" s="12"/>
      <c r="T543" s="12"/>
      <c r="U543" s="12">
        <f t="shared" si="188"/>
        <v>5107</v>
      </c>
      <c r="W543" s="10">
        <v>19</v>
      </c>
      <c r="X543" s="32"/>
      <c r="Y543" s="33"/>
      <c r="Z543" s="34"/>
      <c r="AA543" s="34"/>
      <c r="AB543" s="34">
        <f t="shared" si="196"/>
        <v>0</v>
      </c>
      <c r="AC543" s="12"/>
      <c r="AD543" s="12"/>
      <c r="AE543" s="12"/>
      <c r="AF543" s="12">
        <f t="shared" si="190"/>
        <v>0</v>
      </c>
    </row>
    <row r="544" spans="1:32" x14ac:dyDescent="0.25">
      <c r="A544" s="10">
        <v>20</v>
      </c>
      <c r="B544" s="32"/>
      <c r="C544" s="11" t="s">
        <v>28</v>
      </c>
      <c r="D544" s="34"/>
      <c r="E544" s="34"/>
      <c r="F544" s="34">
        <f t="shared" si="195"/>
        <v>0</v>
      </c>
      <c r="G544" s="12"/>
      <c r="H544" s="12"/>
      <c r="I544" s="12"/>
      <c r="J544" s="12">
        <f t="shared" si="186"/>
        <v>0</v>
      </c>
      <c r="L544" s="10">
        <v>20</v>
      </c>
      <c r="M544" s="32">
        <v>45670</v>
      </c>
      <c r="N544" s="33">
        <f t="shared" si="192"/>
        <v>7396</v>
      </c>
      <c r="O544" s="34">
        <f>3756+614+51</f>
        <v>4421</v>
      </c>
      <c r="P544" s="34"/>
      <c r="Q544" s="34">
        <f t="shared" si="187"/>
        <v>4421</v>
      </c>
      <c r="R544" s="12"/>
      <c r="S544" s="12"/>
      <c r="T544" s="12"/>
      <c r="U544" s="12">
        <f t="shared" si="188"/>
        <v>4421</v>
      </c>
      <c r="W544" s="10">
        <v>20</v>
      </c>
      <c r="X544" s="32"/>
      <c r="Y544" s="33"/>
      <c r="Z544" s="34"/>
      <c r="AA544" s="34"/>
      <c r="AB544" s="34">
        <f t="shared" si="196"/>
        <v>0</v>
      </c>
      <c r="AC544" s="12"/>
      <c r="AD544" s="12"/>
      <c r="AE544" s="12"/>
      <c r="AF544" s="12">
        <f t="shared" si="190"/>
        <v>0</v>
      </c>
    </row>
    <row r="545" spans="1:32" x14ac:dyDescent="0.25">
      <c r="A545" s="10">
        <v>21</v>
      </c>
      <c r="B545" s="32"/>
      <c r="C545" s="33"/>
      <c r="D545" s="34"/>
      <c r="E545" s="34"/>
      <c r="F545" s="34">
        <f t="shared" si="195"/>
        <v>0</v>
      </c>
      <c r="G545" s="10"/>
      <c r="H545" s="10"/>
      <c r="I545" s="10"/>
      <c r="J545" s="12">
        <f t="shared" si="186"/>
        <v>0</v>
      </c>
      <c r="L545" s="10">
        <v>21</v>
      </c>
      <c r="M545" s="32">
        <v>45670</v>
      </c>
      <c r="N545" s="33">
        <f t="shared" si="192"/>
        <v>7397</v>
      </c>
      <c r="O545" s="50">
        <f>6886+614+2384+127.5+1348</f>
        <v>11359.5</v>
      </c>
      <c r="P545" s="33"/>
      <c r="Q545" s="34">
        <f t="shared" si="187"/>
        <v>11359.5</v>
      </c>
      <c r="R545" s="10"/>
      <c r="S545" s="10"/>
      <c r="T545" s="10"/>
      <c r="U545" s="12">
        <f t="shared" si="188"/>
        <v>11359.5</v>
      </c>
      <c r="W545" s="10">
        <v>21</v>
      </c>
      <c r="X545" s="32"/>
      <c r="Y545" s="33"/>
      <c r="Z545" s="50"/>
      <c r="AA545" s="33"/>
      <c r="AB545" s="34">
        <f t="shared" si="196"/>
        <v>0</v>
      </c>
      <c r="AC545" s="10"/>
      <c r="AD545" s="10"/>
      <c r="AE545" s="10"/>
      <c r="AF545" s="12">
        <f t="shared" si="190"/>
        <v>0</v>
      </c>
    </row>
    <row r="546" spans="1:32" x14ac:dyDescent="0.25">
      <c r="A546" s="10">
        <v>22</v>
      </c>
      <c r="B546" s="32"/>
      <c r="C546" s="33"/>
      <c r="D546" s="34"/>
      <c r="E546" s="34"/>
      <c r="F546" s="34">
        <f t="shared" si="195"/>
        <v>0</v>
      </c>
      <c r="G546" s="10"/>
      <c r="H546" s="10"/>
      <c r="I546" s="10"/>
      <c r="J546" s="12">
        <f t="shared" si="186"/>
        <v>0</v>
      </c>
      <c r="L546" s="10">
        <v>22</v>
      </c>
      <c r="M546" s="32">
        <v>45670</v>
      </c>
      <c r="N546" s="33">
        <f t="shared" si="192"/>
        <v>7398</v>
      </c>
      <c r="O546" s="49">
        <f>2504+596+42.5</f>
        <v>3142.5</v>
      </c>
      <c r="P546" s="33"/>
      <c r="Q546" s="34">
        <f t="shared" si="187"/>
        <v>3142.5</v>
      </c>
      <c r="R546" s="10"/>
      <c r="S546" s="10"/>
      <c r="T546" s="10"/>
      <c r="U546" s="12">
        <f t="shared" si="188"/>
        <v>3142.5</v>
      </c>
      <c r="W546" s="10">
        <v>22</v>
      </c>
      <c r="X546" s="32"/>
      <c r="Y546" s="33"/>
      <c r="Z546" s="49"/>
      <c r="AA546" s="33"/>
      <c r="AB546" s="34">
        <f t="shared" si="196"/>
        <v>0</v>
      </c>
      <c r="AC546" s="10"/>
      <c r="AD546" s="10"/>
      <c r="AE546" s="10"/>
      <c r="AF546" s="12">
        <f t="shared" si="190"/>
        <v>0</v>
      </c>
    </row>
    <row r="547" spans="1:32" x14ac:dyDescent="0.25">
      <c r="A547" s="10">
        <v>23</v>
      </c>
      <c r="B547" s="32"/>
      <c r="C547" s="33"/>
      <c r="D547" s="34"/>
      <c r="E547" s="34"/>
      <c r="F547" s="34">
        <f t="shared" si="195"/>
        <v>0</v>
      </c>
      <c r="G547" s="10"/>
      <c r="H547" s="10"/>
      <c r="I547" s="12"/>
      <c r="J547" s="12">
        <f t="shared" si="186"/>
        <v>0</v>
      </c>
      <c r="L547" s="10">
        <v>23</v>
      </c>
      <c r="M547" s="32">
        <v>45670</v>
      </c>
      <c r="N547" s="33">
        <f t="shared" si="192"/>
        <v>7399</v>
      </c>
      <c r="O547" s="51">
        <f>6886+1788+115+674</f>
        <v>9463</v>
      </c>
      <c r="Q547" s="34">
        <f t="shared" si="187"/>
        <v>9463</v>
      </c>
      <c r="R547" s="10"/>
      <c r="S547" s="10"/>
      <c r="T547" s="10"/>
      <c r="U547" s="12">
        <f t="shared" si="188"/>
        <v>9463</v>
      </c>
      <c r="W547" s="10">
        <v>23</v>
      </c>
      <c r="X547" s="32"/>
      <c r="Y547" s="33"/>
      <c r="Z547" s="51"/>
      <c r="AB547" s="34">
        <f t="shared" si="196"/>
        <v>0</v>
      </c>
      <c r="AC547" s="10"/>
      <c r="AD547" s="10"/>
      <c r="AE547" s="10"/>
      <c r="AF547" s="12">
        <f t="shared" si="190"/>
        <v>0</v>
      </c>
    </row>
    <row r="548" spans="1:32" x14ac:dyDescent="0.25">
      <c r="A548" s="10">
        <v>24</v>
      </c>
      <c r="B548" s="32"/>
      <c r="C548" s="33"/>
      <c r="D548" s="34"/>
      <c r="E548" s="34"/>
      <c r="F548" s="34">
        <f t="shared" si="195"/>
        <v>0</v>
      </c>
      <c r="G548" s="10"/>
      <c r="H548" s="10"/>
      <c r="I548" s="10"/>
      <c r="J548" s="12">
        <f t="shared" si="186"/>
        <v>0</v>
      </c>
      <c r="L548" s="10">
        <v>24</v>
      </c>
      <c r="M548" s="32">
        <v>45670</v>
      </c>
      <c r="N548" s="33">
        <f t="shared" si="192"/>
        <v>7400</v>
      </c>
      <c r="O548" s="51">
        <f>8764+119+1348</f>
        <v>10231</v>
      </c>
      <c r="P548" s="33"/>
      <c r="Q548" s="34">
        <f t="shared" si="187"/>
        <v>10231</v>
      </c>
      <c r="R548" s="10"/>
      <c r="S548" s="10">
        <v>27</v>
      </c>
      <c r="T548" s="10"/>
      <c r="U548" s="12">
        <f t="shared" si="188"/>
        <v>10258</v>
      </c>
      <c r="W548" s="10">
        <v>24</v>
      </c>
      <c r="X548" s="32"/>
      <c r="Y548" s="33"/>
      <c r="Z548" s="51"/>
      <c r="AA548" s="33"/>
      <c r="AB548" s="34">
        <f t="shared" si="196"/>
        <v>0</v>
      </c>
      <c r="AC548" s="10"/>
      <c r="AD548" s="10"/>
      <c r="AE548" s="10"/>
      <c r="AF548" s="12">
        <f t="shared" si="190"/>
        <v>0</v>
      </c>
    </row>
    <row r="549" spans="1:32" x14ac:dyDescent="0.25">
      <c r="A549" s="10">
        <v>25</v>
      </c>
      <c r="B549" s="32"/>
      <c r="C549" s="33"/>
      <c r="D549" s="34"/>
      <c r="E549" s="34"/>
      <c r="F549" s="34">
        <f t="shared" si="195"/>
        <v>0</v>
      </c>
      <c r="G549" s="10"/>
      <c r="H549" s="10"/>
      <c r="I549" s="10"/>
      <c r="J549" s="12">
        <f t="shared" si="186"/>
        <v>0</v>
      </c>
      <c r="L549" s="10">
        <v>25</v>
      </c>
      <c r="M549" s="32"/>
      <c r="N549" s="11" t="s">
        <v>28</v>
      </c>
      <c r="O549" s="51"/>
      <c r="P549" s="33"/>
      <c r="Q549" s="34">
        <f t="shared" si="187"/>
        <v>0</v>
      </c>
      <c r="R549" s="10"/>
      <c r="S549" s="10"/>
      <c r="T549" s="10"/>
      <c r="U549" s="12">
        <f t="shared" si="188"/>
        <v>0</v>
      </c>
      <c r="W549" s="10">
        <v>25</v>
      </c>
      <c r="X549" s="32"/>
      <c r="Y549" s="33"/>
      <c r="Z549" s="51"/>
      <c r="AA549" s="33"/>
      <c r="AB549" s="34">
        <f t="shared" si="196"/>
        <v>0</v>
      </c>
      <c r="AC549" s="10"/>
      <c r="AD549" s="10"/>
      <c r="AE549" s="10"/>
      <c r="AF549" s="12">
        <f t="shared" si="190"/>
        <v>0</v>
      </c>
    </row>
    <row r="550" spans="1:32" x14ac:dyDescent="0.25">
      <c r="A550" s="10">
        <v>26</v>
      </c>
      <c r="B550" s="32"/>
      <c r="C550" s="33"/>
      <c r="D550" s="34"/>
      <c r="E550" s="34"/>
      <c r="F550" s="34">
        <f t="shared" si="195"/>
        <v>0</v>
      </c>
      <c r="G550" s="10"/>
      <c r="H550" s="10"/>
      <c r="I550" s="10"/>
      <c r="J550" s="12">
        <f t="shared" si="186"/>
        <v>0</v>
      </c>
      <c r="L550" s="10">
        <v>26</v>
      </c>
      <c r="M550" s="32"/>
      <c r="N550" s="33"/>
      <c r="O550" s="51"/>
      <c r="P550" s="33"/>
      <c r="Q550" s="34">
        <f t="shared" si="187"/>
        <v>0</v>
      </c>
      <c r="R550" s="10"/>
      <c r="S550" s="10"/>
      <c r="T550" s="10"/>
      <c r="U550" s="12">
        <f t="shared" si="188"/>
        <v>0</v>
      </c>
      <c r="W550" s="10">
        <v>26</v>
      </c>
      <c r="X550" s="32"/>
      <c r="Y550" s="33"/>
      <c r="Z550" s="51"/>
      <c r="AA550" s="33"/>
      <c r="AB550" s="34">
        <f t="shared" si="196"/>
        <v>0</v>
      </c>
      <c r="AC550" s="10"/>
      <c r="AD550" s="10"/>
      <c r="AE550" s="10"/>
      <c r="AF550" s="12">
        <f t="shared" si="190"/>
        <v>0</v>
      </c>
    </row>
    <row r="551" spans="1:32" x14ac:dyDescent="0.25">
      <c r="A551" s="10">
        <v>27</v>
      </c>
      <c r="B551" s="32"/>
      <c r="C551" s="33"/>
      <c r="D551" s="34"/>
      <c r="E551" s="34"/>
      <c r="F551" s="34">
        <f t="shared" si="195"/>
        <v>0</v>
      </c>
      <c r="G551" s="10"/>
      <c r="H551" s="10"/>
      <c r="I551" s="10"/>
      <c r="J551" s="12">
        <f t="shared" si="186"/>
        <v>0</v>
      </c>
      <c r="L551" s="10">
        <v>27</v>
      </c>
      <c r="M551" s="32"/>
      <c r="N551" s="33"/>
      <c r="O551" s="51"/>
      <c r="P551" s="33"/>
      <c r="Q551" s="34">
        <f t="shared" si="187"/>
        <v>0</v>
      </c>
      <c r="R551" s="10"/>
      <c r="S551" s="10"/>
      <c r="T551" s="10"/>
      <c r="U551" s="12">
        <f t="shared" si="188"/>
        <v>0</v>
      </c>
      <c r="W551" s="10">
        <v>27</v>
      </c>
      <c r="X551" s="32"/>
      <c r="Y551" s="33"/>
      <c r="Z551" s="51"/>
      <c r="AA551" s="33"/>
      <c r="AB551" s="34">
        <f t="shared" si="196"/>
        <v>0</v>
      </c>
      <c r="AC551" s="10"/>
      <c r="AD551" s="10"/>
      <c r="AE551" s="10"/>
      <c r="AF551" s="12">
        <f t="shared" si="190"/>
        <v>0</v>
      </c>
    </row>
    <row r="552" spans="1:32" x14ac:dyDescent="0.25">
      <c r="A552" s="10">
        <v>28</v>
      </c>
      <c r="B552" s="32"/>
      <c r="C552" s="33"/>
      <c r="D552" s="34"/>
      <c r="E552" s="34"/>
      <c r="F552" s="34">
        <f t="shared" si="195"/>
        <v>0</v>
      </c>
      <c r="G552" s="10"/>
      <c r="H552" s="10"/>
      <c r="I552" s="10"/>
      <c r="J552" s="12">
        <f t="shared" si="186"/>
        <v>0</v>
      </c>
      <c r="L552" s="10">
        <v>28</v>
      </c>
      <c r="M552" s="32"/>
      <c r="O552" s="51"/>
      <c r="P552" s="33"/>
      <c r="Q552" s="34">
        <f t="shared" si="187"/>
        <v>0</v>
      </c>
      <c r="R552" s="10"/>
      <c r="S552" s="10"/>
      <c r="T552" s="10"/>
      <c r="U552" s="12">
        <f t="shared" si="188"/>
        <v>0</v>
      </c>
      <c r="W552" s="10">
        <v>28</v>
      </c>
      <c r="X552" s="32"/>
      <c r="Z552" s="51"/>
      <c r="AA552" s="33"/>
      <c r="AB552" s="34">
        <f t="shared" si="196"/>
        <v>0</v>
      </c>
      <c r="AC552" s="10"/>
      <c r="AD552" s="10"/>
      <c r="AE552" s="10"/>
      <c r="AF552" s="12">
        <f t="shared" si="190"/>
        <v>0</v>
      </c>
    </row>
    <row r="553" spans="1:32" x14ac:dyDescent="0.25">
      <c r="A553" s="10">
        <v>29</v>
      </c>
      <c r="B553" s="32"/>
      <c r="C553" s="33"/>
      <c r="D553" s="34"/>
      <c r="E553" s="34"/>
      <c r="F553" s="34">
        <f t="shared" si="195"/>
        <v>0</v>
      </c>
      <c r="G553" s="10"/>
      <c r="H553" s="10"/>
      <c r="I553" s="10"/>
      <c r="J553" s="12">
        <f t="shared" si="186"/>
        <v>0</v>
      </c>
      <c r="L553" s="10">
        <v>29</v>
      </c>
      <c r="M553" s="32"/>
      <c r="O553" s="51"/>
      <c r="P553" s="33"/>
      <c r="Q553" s="34">
        <f t="shared" si="187"/>
        <v>0</v>
      </c>
      <c r="R553" s="10"/>
      <c r="S553" s="10"/>
      <c r="T553" s="10"/>
      <c r="U553" s="12">
        <f t="shared" si="188"/>
        <v>0</v>
      </c>
      <c r="W553" s="10">
        <v>29</v>
      </c>
      <c r="X553" s="32"/>
      <c r="Y553" s="33"/>
      <c r="Z553" s="51"/>
      <c r="AA553" s="33"/>
      <c r="AB553" s="34">
        <f t="shared" si="196"/>
        <v>0</v>
      </c>
      <c r="AC553" s="10"/>
      <c r="AD553" s="10"/>
      <c r="AE553" s="10"/>
      <c r="AF553" s="12">
        <f t="shared" si="190"/>
        <v>0</v>
      </c>
    </row>
    <row r="554" spans="1:32" x14ac:dyDescent="0.25">
      <c r="A554" s="10">
        <v>30</v>
      </c>
      <c r="B554" s="32"/>
      <c r="C554" s="33"/>
      <c r="D554" s="34"/>
      <c r="E554" s="34"/>
      <c r="F554" s="34">
        <f t="shared" si="195"/>
        <v>0</v>
      </c>
      <c r="G554" s="10"/>
      <c r="H554" s="10"/>
      <c r="I554" s="10"/>
      <c r="J554" s="12">
        <f t="shared" si="186"/>
        <v>0</v>
      </c>
      <c r="L554" s="10">
        <v>30</v>
      </c>
      <c r="M554" s="32"/>
      <c r="N554" s="33"/>
      <c r="O554" s="51"/>
      <c r="P554" s="33"/>
      <c r="Q554" s="34">
        <f t="shared" si="187"/>
        <v>0</v>
      </c>
      <c r="R554" s="10"/>
      <c r="S554" s="10"/>
      <c r="T554" s="10"/>
      <c r="U554" s="12">
        <f t="shared" si="188"/>
        <v>0</v>
      </c>
      <c r="W554" s="10">
        <v>30</v>
      </c>
      <c r="X554" s="32"/>
      <c r="Y554" s="33"/>
      <c r="Z554" s="51"/>
      <c r="AA554" s="33"/>
      <c r="AB554" s="34">
        <f t="shared" si="196"/>
        <v>0</v>
      </c>
      <c r="AC554" s="10"/>
      <c r="AD554" s="10"/>
      <c r="AE554" s="10"/>
      <c r="AF554" s="12">
        <f t="shared" si="190"/>
        <v>0</v>
      </c>
    </row>
    <row r="555" spans="1:32" x14ac:dyDescent="0.25">
      <c r="A555" s="10">
        <v>31</v>
      </c>
      <c r="B555" s="32"/>
      <c r="C555" s="33"/>
      <c r="D555" s="34"/>
      <c r="E555" s="34"/>
      <c r="F555" s="34">
        <f t="shared" si="195"/>
        <v>0</v>
      </c>
      <c r="G555" s="10"/>
      <c r="H555" s="10"/>
      <c r="I555" s="10"/>
      <c r="J555" s="12">
        <f t="shared" si="186"/>
        <v>0</v>
      </c>
      <c r="L555" s="10">
        <v>31</v>
      </c>
      <c r="M555" s="32"/>
      <c r="N555" s="33"/>
      <c r="O555" s="51"/>
      <c r="P555" s="33"/>
      <c r="Q555" s="34">
        <f t="shared" si="187"/>
        <v>0</v>
      </c>
      <c r="R555" s="10"/>
      <c r="S555" s="10"/>
      <c r="T555" s="10"/>
      <c r="U555" s="12">
        <f t="shared" si="188"/>
        <v>0</v>
      </c>
      <c r="W555" s="10">
        <v>31</v>
      </c>
      <c r="X555" s="32"/>
      <c r="Z555" s="51"/>
      <c r="AA555" s="33"/>
      <c r="AB555" s="34">
        <f t="shared" si="196"/>
        <v>0</v>
      </c>
      <c r="AC555" s="10"/>
      <c r="AD555" s="10"/>
      <c r="AE555" s="10"/>
      <c r="AF555" s="12">
        <f t="shared" si="190"/>
        <v>0</v>
      </c>
    </row>
    <row r="556" spans="1:32" x14ac:dyDescent="0.25">
      <c r="A556" s="10">
        <v>32</v>
      </c>
      <c r="B556" s="32"/>
      <c r="C556" s="33"/>
      <c r="D556" s="34"/>
      <c r="E556" s="34"/>
      <c r="F556" s="34">
        <f t="shared" si="195"/>
        <v>0</v>
      </c>
      <c r="G556" s="10"/>
      <c r="H556" s="10"/>
      <c r="I556" s="10"/>
      <c r="J556" s="12">
        <f t="shared" si="186"/>
        <v>0</v>
      </c>
      <c r="L556" s="10">
        <v>32</v>
      </c>
      <c r="M556" s="32"/>
      <c r="N556" s="33"/>
      <c r="O556" s="51"/>
      <c r="P556" s="33"/>
      <c r="Q556" s="34">
        <f t="shared" si="187"/>
        <v>0</v>
      </c>
      <c r="R556" s="10"/>
      <c r="S556" s="10"/>
      <c r="T556" s="10"/>
      <c r="U556" s="12">
        <f t="shared" si="188"/>
        <v>0</v>
      </c>
      <c r="W556" s="10">
        <v>32</v>
      </c>
      <c r="X556" s="32"/>
      <c r="Y556" s="33"/>
      <c r="Z556" s="51"/>
      <c r="AA556" s="33"/>
      <c r="AB556" s="34">
        <f t="shared" si="196"/>
        <v>0</v>
      </c>
      <c r="AC556" s="10"/>
      <c r="AD556" s="10"/>
      <c r="AE556" s="10"/>
      <c r="AF556" s="12">
        <f t="shared" si="190"/>
        <v>0</v>
      </c>
    </row>
    <row r="557" spans="1:32" x14ac:dyDescent="0.25">
      <c r="A557" s="10">
        <v>33</v>
      </c>
      <c r="B557" s="32"/>
      <c r="C557" s="33"/>
      <c r="D557" s="34"/>
      <c r="E557" s="34"/>
      <c r="F557" s="34">
        <f t="shared" si="195"/>
        <v>0</v>
      </c>
      <c r="G557" s="10"/>
      <c r="H557" s="10"/>
      <c r="I557" s="10"/>
      <c r="J557" s="12">
        <f t="shared" si="186"/>
        <v>0</v>
      </c>
      <c r="L557" s="10">
        <v>33</v>
      </c>
      <c r="M557" s="32"/>
      <c r="N557" s="33"/>
      <c r="O557" s="51"/>
      <c r="P557" s="33"/>
      <c r="Q557" s="34">
        <f t="shared" si="187"/>
        <v>0</v>
      </c>
      <c r="R557" s="10"/>
      <c r="S557" s="10"/>
      <c r="T557" s="10"/>
      <c r="U557" s="12">
        <f t="shared" si="188"/>
        <v>0</v>
      </c>
      <c r="W557" s="10">
        <v>33</v>
      </c>
      <c r="X557" s="32"/>
      <c r="Y557" s="33"/>
      <c r="Z557" s="51"/>
      <c r="AA557" s="33"/>
      <c r="AB557" s="34">
        <f t="shared" si="196"/>
        <v>0</v>
      </c>
      <c r="AC557" s="10"/>
      <c r="AD557" s="10"/>
      <c r="AE557" s="10"/>
      <c r="AF557" s="12">
        <f t="shared" si="190"/>
        <v>0</v>
      </c>
    </row>
    <row r="558" spans="1:32" x14ac:dyDescent="0.25">
      <c r="A558" s="10"/>
      <c r="B558" s="32"/>
      <c r="C558" s="33"/>
      <c r="D558" s="34"/>
      <c r="E558" s="34"/>
      <c r="F558" s="34">
        <f t="shared" si="195"/>
        <v>0</v>
      </c>
      <c r="G558" s="10"/>
      <c r="H558" s="10"/>
      <c r="I558" s="10"/>
      <c r="J558" s="12">
        <f t="shared" si="186"/>
        <v>0</v>
      </c>
      <c r="L558" s="10">
        <v>34</v>
      </c>
      <c r="M558" s="32"/>
      <c r="N558" s="33"/>
      <c r="O558" s="51"/>
      <c r="P558" s="33"/>
      <c r="Q558" s="34">
        <f t="shared" ref="Q558:Q563" si="197">SUM(O558:P558)</f>
        <v>0</v>
      </c>
      <c r="R558" s="10"/>
      <c r="S558" s="10"/>
      <c r="T558" s="10"/>
      <c r="U558" s="12">
        <f t="shared" si="188"/>
        <v>0</v>
      </c>
      <c r="W558" s="10">
        <v>34</v>
      </c>
      <c r="X558" s="32"/>
      <c r="Y558" s="33"/>
      <c r="Z558" s="51"/>
      <c r="AA558" s="33"/>
      <c r="AB558" s="34">
        <f t="shared" ref="AB558:AB563" si="198">SUM(Z558:AA558)</f>
        <v>0</v>
      </c>
      <c r="AC558" s="10"/>
      <c r="AD558" s="10"/>
      <c r="AE558" s="10"/>
      <c r="AF558" s="12">
        <f t="shared" si="190"/>
        <v>0</v>
      </c>
    </row>
    <row r="559" spans="1:32" x14ac:dyDescent="0.25">
      <c r="A559" s="10"/>
      <c r="B559" s="32"/>
      <c r="C559" s="33"/>
      <c r="D559" s="34"/>
      <c r="E559" s="34"/>
      <c r="F559" s="34">
        <f t="shared" si="195"/>
        <v>0</v>
      </c>
      <c r="G559" s="10"/>
      <c r="H559" s="10"/>
      <c r="I559" s="10"/>
      <c r="J559" s="12">
        <f t="shared" si="186"/>
        <v>0</v>
      </c>
      <c r="L559" s="10">
        <v>35</v>
      </c>
      <c r="M559" s="32"/>
      <c r="O559" s="51"/>
      <c r="P559" s="33"/>
      <c r="Q559" s="34">
        <f t="shared" si="197"/>
        <v>0</v>
      </c>
      <c r="R559" s="10"/>
      <c r="S559" s="10"/>
      <c r="T559" s="10"/>
      <c r="U559" s="12">
        <f t="shared" si="188"/>
        <v>0</v>
      </c>
      <c r="W559" s="10">
        <v>35</v>
      </c>
      <c r="X559" s="32"/>
      <c r="Y559" s="33"/>
      <c r="Z559" s="51"/>
      <c r="AA559" s="33"/>
      <c r="AB559" s="34">
        <f t="shared" si="198"/>
        <v>0</v>
      </c>
      <c r="AC559" s="10"/>
      <c r="AD559" s="10"/>
      <c r="AE559" s="10"/>
      <c r="AF559" s="12">
        <f t="shared" si="190"/>
        <v>0</v>
      </c>
    </row>
    <row r="560" spans="1:32" x14ac:dyDescent="0.25">
      <c r="A560" s="10"/>
      <c r="B560" s="32"/>
      <c r="C560" s="33"/>
      <c r="D560" s="34"/>
      <c r="E560" s="34"/>
      <c r="F560" s="34">
        <f t="shared" si="195"/>
        <v>0</v>
      </c>
      <c r="G560" s="10"/>
      <c r="H560" s="10"/>
      <c r="I560" s="10"/>
      <c r="J560" s="12">
        <f t="shared" si="186"/>
        <v>0</v>
      </c>
      <c r="L560" s="10">
        <v>36</v>
      </c>
      <c r="M560" s="32"/>
      <c r="N560" s="33"/>
      <c r="O560" s="51"/>
      <c r="P560" s="33"/>
      <c r="Q560" s="34">
        <f t="shared" si="197"/>
        <v>0</v>
      </c>
      <c r="R560" s="10"/>
      <c r="S560" s="10"/>
      <c r="T560" s="10"/>
      <c r="U560" s="12">
        <f t="shared" si="188"/>
        <v>0</v>
      </c>
      <c r="W560" s="10">
        <v>36</v>
      </c>
      <c r="X560" s="32"/>
      <c r="Y560" s="33"/>
      <c r="Z560" s="51"/>
      <c r="AA560" s="33"/>
      <c r="AB560" s="34">
        <f t="shared" si="198"/>
        <v>0</v>
      </c>
      <c r="AC560" s="10"/>
      <c r="AD560" s="10"/>
      <c r="AE560" s="10"/>
      <c r="AF560" s="12">
        <f t="shared" si="190"/>
        <v>0</v>
      </c>
    </row>
    <row r="561" spans="1:32" x14ac:dyDescent="0.25">
      <c r="A561" s="10"/>
      <c r="B561" s="32"/>
      <c r="C561" s="33"/>
      <c r="D561" s="34"/>
      <c r="E561" s="34"/>
      <c r="F561" s="34">
        <f t="shared" si="195"/>
        <v>0</v>
      </c>
      <c r="G561" s="10"/>
      <c r="H561" s="10"/>
      <c r="I561" s="10"/>
      <c r="J561" s="12">
        <f t="shared" si="186"/>
        <v>0</v>
      </c>
      <c r="L561" s="10">
        <v>37</v>
      </c>
      <c r="M561" s="32"/>
      <c r="N561" s="33"/>
      <c r="O561" s="51"/>
      <c r="P561" s="33"/>
      <c r="Q561" s="34">
        <f t="shared" si="197"/>
        <v>0</v>
      </c>
      <c r="R561" s="10"/>
      <c r="S561" s="10"/>
      <c r="T561" s="10"/>
      <c r="U561" s="12">
        <f t="shared" si="188"/>
        <v>0</v>
      </c>
      <c r="W561" s="10">
        <v>37</v>
      </c>
      <c r="X561" s="32"/>
      <c r="Y561" s="33"/>
      <c r="Z561" s="51"/>
      <c r="AA561" s="33"/>
      <c r="AB561" s="34">
        <f t="shared" si="198"/>
        <v>0</v>
      </c>
      <c r="AC561" s="10"/>
      <c r="AD561" s="10"/>
      <c r="AE561" s="10"/>
      <c r="AF561" s="12">
        <f t="shared" si="190"/>
        <v>0</v>
      </c>
    </row>
    <row r="562" spans="1:32" x14ac:dyDescent="0.25">
      <c r="A562" s="10"/>
      <c r="B562" s="32"/>
      <c r="D562" s="34"/>
      <c r="E562" s="34"/>
      <c r="F562" s="34">
        <f t="shared" si="195"/>
        <v>0</v>
      </c>
      <c r="G562" s="10"/>
      <c r="H562" s="10"/>
      <c r="I562" s="10"/>
      <c r="J562" s="12">
        <f t="shared" si="186"/>
        <v>0</v>
      </c>
      <c r="L562" s="10">
        <v>38</v>
      </c>
      <c r="M562" s="32"/>
      <c r="N562" s="33"/>
      <c r="O562" s="51"/>
      <c r="P562" s="33"/>
      <c r="Q562" s="34">
        <f t="shared" si="197"/>
        <v>0</v>
      </c>
      <c r="R562" s="10"/>
      <c r="S562" s="10"/>
      <c r="T562" s="10"/>
      <c r="U562" s="12">
        <f t="shared" si="188"/>
        <v>0</v>
      </c>
      <c r="W562" s="10">
        <v>38</v>
      </c>
      <c r="X562" s="32"/>
      <c r="Y562" s="33"/>
      <c r="Z562" s="51"/>
      <c r="AA562" s="33"/>
      <c r="AB562" s="34">
        <f t="shared" si="198"/>
        <v>0</v>
      </c>
      <c r="AC562" s="10"/>
      <c r="AD562" s="10"/>
      <c r="AE562" s="10"/>
      <c r="AF562" s="12">
        <f t="shared" si="190"/>
        <v>0</v>
      </c>
    </row>
    <row r="563" spans="1:32" x14ac:dyDescent="0.25">
      <c r="A563" s="10"/>
      <c r="B563" s="32"/>
      <c r="C563" s="33"/>
      <c r="D563" s="34"/>
      <c r="E563" s="34"/>
      <c r="F563" s="34">
        <f t="shared" si="195"/>
        <v>0</v>
      </c>
      <c r="G563" s="10"/>
      <c r="H563" s="10"/>
      <c r="I563" s="10"/>
      <c r="J563" s="12">
        <f t="shared" si="186"/>
        <v>0</v>
      </c>
      <c r="L563" s="10">
        <v>39</v>
      </c>
      <c r="M563" s="32"/>
      <c r="N563" s="33"/>
      <c r="O563" s="51"/>
      <c r="P563" s="33"/>
      <c r="Q563" s="34">
        <f t="shared" si="197"/>
        <v>0</v>
      </c>
      <c r="R563" s="10"/>
      <c r="S563" s="10"/>
      <c r="T563" s="10"/>
      <c r="U563" s="12">
        <f t="shared" si="188"/>
        <v>0</v>
      </c>
      <c r="W563" s="10">
        <v>39</v>
      </c>
      <c r="X563" s="32"/>
      <c r="Y563" s="33"/>
      <c r="Z563" s="51"/>
      <c r="AA563" s="33"/>
      <c r="AB563" s="34">
        <f t="shared" si="198"/>
        <v>0</v>
      </c>
      <c r="AC563" s="10"/>
      <c r="AD563" s="10"/>
      <c r="AE563" s="10"/>
      <c r="AF563" s="12">
        <f t="shared" si="190"/>
        <v>0</v>
      </c>
    </row>
    <row r="564" spans="1:32" x14ac:dyDescent="0.25">
      <c r="A564" s="10"/>
      <c r="B564" s="32"/>
      <c r="C564" s="33"/>
      <c r="D564" s="34"/>
      <c r="E564" s="34"/>
      <c r="F564" s="34">
        <f t="shared" si="195"/>
        <v>0</v>
      </c>
      <c r="G564" s="10"/>
      <c r="H564" s="10"/>
      <c r="I564" s="10"/>
      <c r="J564" s="12">
        <f t="shared" si="186"/>
        <v>0</v>
      </c>
      <c r="L564" s="10"/>
      <c r="M564" s="32"/>
      <c r="O564" s="51"/>
      <c r="P564" s="33"/>
      <c r="Q564" s="34"/>
      <c r="R564" s="10"/>
      <c r="S564" s="10"/>
      <c r="T564" s="10"/>
      <c r="U564" s="12">
        <f t="shared" si="188"/>
        <v>0</v>
      </c>
      <c r="W564" s="10"/>
      <c r="X564" s="32"/>
      <c r="Z564" s="51"/>
      <c r="AA564" s="33"/>
      <c r="AB564" s="34"/>
      <c r="AC564" s="10"/>
      <c r="AD564" s="10"/>
      <c r="AE564" s="10"/>
      <c r="AF564" s="12">
        <f t="shared" si="190"/>
        <v>0</v>
      </c>
    </row>
    <row r="565" spans="1:32" x14ac:dyDescent="0.25">
      <c r="A565" s="10"/>
      <c r="B565" s="32"/>
      <c r="C565" s="70"/>
      <c r="D565" s="34"/>
      <c r="E565" s="34"/>
      <c r="F565" s="34">
        <f t="shared" ref="F565" si="199">SUM(D565:E565)</f>
        <v>0</v>
      </c>
      <c r="G565" s="10"/>
      <c r="H565" s="10"/>
      <c r="I565" s="10"/>
      <c r="J565" s="12">
        <f t="shared" ref="J565" si="200">SUM(F565:I565)</f>
        <v>0</v>
      </c>
      <c r="L565" s="10"/>
      <c r="M565" s="32"/>
      <c r="N565" s="33"/>
      <c r="O565" s="51"/>
      <c r="P565" s="33"/>
      <c r="Q565" s="34">
        <f t="shared" ref="Q565" si="201">SUM(O565:P565)</f>
        <v>0</v>
      </c>
      <c r="R565" s="10"/>
      <c r="S565" s="10"/>
      <c r="T565" s="10"/>
      <c r="U565" s="12">
        <f t="shared" si="188"/>
        <v>0</v>
      </c>
      <c r="W565" s="10"/>
      <c r="X565" s="32"/>
      <c r="Y565" s="33"/>
      <c r="Z565" s="51"/>
      <c r="AA565" s="33"/>
      <c r="AB565" s="34">
        <f t="shared" ref="AB565" si="202">SUM(Z565:AA565)</f>
        <v>0</v>
      </c>
      <c r="AC565" s="10"/>
      <c r="AD565" s="10"/>
      <c r="AE565" s="10"/>
      <c r="AF565" s="12">
        <f t="shared" si="190"/>
        <v>0</v>
      </c>
    </row>
    <row r="566" spans="1:32" x14ac:dyDescent="0.25">
      <c r="A566" s="10"/>
      <c r="B566" s="32"/>
      <c r="C566" s="32"/>
      <c r="D566" s="34"/>
      <c r="E566" s="34"/>
      <c r="F566" s="34"/>
      <c r="G566" s="10"/>
      <c r="H566" s="10"/>
      <c r="I566" s="10"/>
      <c r="J566" s="12"/>
      <c r="L566" s="10"/>
      <c r="M566" s="33"/>
      <c r="N566" s="33"/>
      <c r="O566" s="33"/>
      <c r="P566" s="33"/>
      <c r="Q566" s="33"/>
      <c r="R566" s="10"/>
      <c r="S566" s="10"/>
      <c r="T566" s="10"/>
      <c r="U566" s="12">
        <f t="shared" si="188"/>
        <v>0</v>
      </c>
      <c r="W566" s="10"/>
      <c r="X566" s="33"/>
      <c r="Y566" s="33"/>
      <c r="Z566" s="33"/>
      <c r="AA566" s="33"/>
      <c r="AB566" s="33"/>
      <c r="AC566" s="10"/>
      <c r="AD566" s="10"/>
      <c r="AE566" s="10"/>
      <c r="AF566" s="12">
        <f t="shared" si="190"/>
        <v>0</v>
      </c>
    </row>
    <row r="567" spans="1:32" x14ac:dyDescent="0.25">
      <c r="B567" s="70"/>
      <c r="C567" s="70"/>
      <c r="D567" s="38"/>
      <c r="E567" s="38"/>
      <c r="F567" s="38"/>
      <c r="G567" s="39"/>
      <c r="H567" s="39"/>
      <c r="I567" s="39"/>
      <c r="J567" s="39"/>
      <c r="M567" s="70"/>
      <c r="N567" s="70"/>
      <c r="O567" s="38"/>
      <c r="P567" s="38"/>
      <c r="Q567" s="38"/>
      <c r="R567" s="39"/>
      <c r="S567" s="39"/>
      <c r="T567" s="39"/>
      <c r="U567" s="39"/>
      <c r="X567" s="70"/>
      <c r="Y567" s="70"/>
      <c r="Z567" s="38"/>
      <c r="AA567" s="38"/>
      <c r="AB567" s="38"/>
      <c r="AC567" s="39"/>
      <c r="AD567" s="39"/>
      <c r="AE567" s="39"/>
      <c r="AF567" s="39"/>
    </row>
    <row r="568" spans="1:32" x14ac:dyDescent="0.25">
      <c r="B568" s="70"/>
      <c r="C568" s="70"/>
      <c r="D568" s="40">
        <f>SUM(D525:D567)</f>
        <v>253567.5</v>
      </c>
      <c r="E568" s="40">
        <f t="shared" ref="E568" si="203">SUM(E525:E565)</f>
        <v>-1872</v>
      </c>
      <c r="F568" s="40">
        <f>SUM(F525:F567)</f>
        <v>251695.5</v>
      </c>
      <c r="G568" s="4"/>
      <c r="H568" s="41">
        <f>SUM(H525:H567)</f>
        <v>1282.75</v>
      </c>
      <c r="I568" s="41">
        <f>SUM(I525:I567)</f>
        <v>-2470.5</v>
      </c>
      <c r="J568" s="42">
        <f>SUM(J525:J567)</f>
        <v>250507.75</v>
      </c>
      <c r="M568" s="70"/>
      <c r="N568" s="70"/>
      <c r="O568" s="40">
        <f>SUM(O525:O567)</f>
        <v>242063.5</v>
      </c>
      <c r="P568" s="40">
        <f>SUM(P525:P549)</f>
        <v>-2025</v>
      </c>
      <c r="Q568" s="40">
        <f>SUM(Q525:Q567)</f>
        <v>240038.5</v>
      </c>
      <c r="R568" s="4"/>
      <c r="S568" s="43">
        <f>SUM(S525:S567)</f>
        <v>749.25</v>
      </c>
      <c r="T568" s="43">
        <f>SUM(T525:T549)</f>
        <v>-111</v>
      </c>
      <c r="U568" s="44">
        <f>SUM(U525:U567)</f>
        <v>240676.75</v>
      </c>
      <c r="X568" s="70"/>
      <c r="Y568" s="70"/>
      <c r="Z568" s="40">
        <f>SUM(Z525:Z567)</f>
        <v>240724</v>
      </c>
      <c r="AA568" s="40">
        <f>SUM(AA525:AA549)</f>
        <v>-2618</v>
      </c>
      <c r="AB568" s="40">
        <f>SUM(AB525:AB567)</f>
        <v>238106</v>
      </c>
      <c r="AC568" s="4"/>
      <c r="AD568" s="43">
        <f>SUM(AD525:AD567)</f>
        <v>2281.5</v>
      </c>
      <c r="AE568" s="43">
        <f>SUM(AE525:AE549)</f>
        <v>-777</v>
      </c>
      <c r="AF568" s="44">
        <f>SUM(AF525:AF567)</f>
        <v>239610.5</v>
      </c>
    </row>
    <row r="569" spans="1:32" x14ac:dyDescent="0.25">
      <c r="B569" s="70"/>
      <c r="C569" s="70"/>
      <c r="D569" s="70"/>
      <c r="E569" s="70"/>
      <c r="F569" s="70"/>
      <c r="M569" s="70"/>
      <c r="N569" s="70"/>
      <c r="O569" s="45"/>
      <c r="P569" s="70"/>
      <c r="Q569" s="70"/>
      <c r="X569" s="70"/>
      <c r="Y569" s="70"/>
      <c r="Z569" s="45"/>
      <c r="AA569" s="70"/>
      <c r="AB569" s="70"/>
    </row>
    <row r="570" spans="1:32" x14ac:dyDescent="0.25">
      <c r="B570" s="70"/>
      <c r="C570" s="70"/>
      <c r="D570" s="70"/>
      <c r="E570" s="70"/>
      <c r="F570" s="70"/>
      <c r="M570" s="70"/>
      <c r="N570" s="70"/>
      <c r="O570" s="70"/>
      <c r="P570" s="70"/>
      <c r="Q570" s="70"/>
      <c r="X570" s="70"/>
      <c r="Y570" s="70"/>
      <c r="Z570" s="70"/>
      <c r="AA570" s="70"/>
      <c r="AB570" s="70"/>
    </row>
    <row r="571" spans="1:32" x14ac:dyDescent="0.25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</row>
    <row r="572" spans="1:32" x14ac:dyDescent="0.25">
      <c r="A572" t="s">
        <v>0</v>
      </c>
      <c r="B572" s="70"/>
      <c r="C572" s="70"/>
      <c r="D572" s="70"/>
      <c r="E572" s="70"/>
      <c r="F572" s="70"/>
      <c r="L572" t="s">
        <v>0</v>
      </c>
      <c r="M572" s="70"/>
      <c r="N572" s="70"/>
      <c r="O572" s="70"/>
      <c r="P572" s="70"/>
      <c r="Q572" s="70"/>
      <c r="W572" t="s">
        <v>0</v>
      </c>
      <c r="X572" s="70"/>
      <c r="Y572" s="70"/>
      <c r="Z572" s="70"/>
      <c r="AA572" s="70"/>
      <c r="AB572" s="70"/>
    </row>
    <row r="573" spans="1:32" x14ac:dyDescent="0.25">
      <c r="A573" t="s">
        <v>30</v>
      </c>
      <c r="B573" s="70"/>
      <c r="C573" s="70"/>
      <c r="D573" s="70"/>
      <c r="E573" s="70"/>
      <c r="F573" s="70"/>
      <c r="L573" t="s">
        <v>30</v>
      </c>
      <c r="M573" s="70"/>
      <c r="N573" s="70"/>
      <c r="O573" s="70"/>
      <c r="P573" s="70"/>
      <c r="Q573" s="70"/>
      <c r="W573" t="s">
        <v>30</v>
      </c>
      <c r="X573" s="70"/>
      <c r="Y573" s="70"/>
      <c r="Z573" s="70"/>
      <c r="AA573" s="70"/>
      <c r="AB573" s="70"/>
    </row>
    <row r="574" spans="1:32" x14ac:dyDescent="0.25">
      <c r="B574" s="70"/>
      <c r="C574" s="70"/>
      <c r="D574" s="70"/>
      <c r="E574" s="70"/>
      <c r="F574" s="70"/>
      <c r="M574" s="70"/>
      <c r="N574" s="70"/>
      <c r="O574" s="70"/>
      <c r="P574" s="70"/>
      <c r="Q574" s="70"/>
      <c r="X574" s="70"/>
      <c r="Y574" s="70"/>
      <c r="Z574" s="70"/>
      <c r="AA574" s="70"/>
      <c r="AB574" s="70"/>
    </row>
    <row r="575" spans="1:32" x14ac:dyDescent="0.25">
      <c r="A575" s="4" t="s">
        <v>15</v>
      </c>
      <c r="B575" s="70"/>
      <c r="C575" s="70"/>
      <c r="D575" s="70"/>
      <c r="E575" s="70"/>
      <c r="F575" s="70"/>
      <c r="L575" s="4" t="s">
        <v>15</v>
      </c>
      <c r="M575" s="70"/>
      <c r="N575" s="70"/>
      <c r="O575" s="70"/>
      <c r="P575" s="70"/>
      <c r="Q575" s="70"/>
      <c r="W575" s="4" t="s">
        <v>15</v>
      </c>
      <c r="X575" s="70"/>
      <c r="Y575" s="70"/>
      <c r="Z575" s="70"/>
      <c r="AA575" s="70"/>
      <c r="AB575" s="70"/>
    </row>
    <row r="576" spans="1:32" x14ac:dyDescent="0.25">
      <c r="B576" s="70"/>
      <c r="C576" s="70"/>
      <c r="D576" s="70"/>
      <c r="E576" s="70"/>
      <c r="F576" s="70"/>
      <c r="M576" s="70"/>
      <c r="N576" s="70"/>
      <c r="O576" s="70"/>
      <c r="P576" s="70"/>
      <c r="Q576" s="70"/>
      <c r="X576" s="70"/>
      <c r="Y576" s="70"/>
      <c r="Z576" s="70"/>
      <c r="AA576" s="70"/>
      <c r="AB576" s="70"/>
    </row>
    <row r="577" spans="1:32" ht="15.75" x14ac:dyDescent="0.25">
      <c r="A577" t="s">
        <v>35</v>
      </c>
      <c r="B577" s="70"/>
      <c r="C577" s="70"/>
      <c r="D577" s="70"/>
      <c r="E577" s="70"/>
      <c r="F577" s="70"/>
      <c r="H577" s="70" t="s">
        <v>16</v>
      </c>
      <c r="I577" s="19">
        <v>1</v>
      </c>
      <c r="L577" t="s">
        <v>35</v>
      </c>
      <c r="M577" s="70"/>
      <c r="N577" s="70"/>
      <c r="O577" s="70"/>
      <c r="P577" s="70"/>
      <c r="Q577" s="70"/>
      <c r="S577" s="70" t="s">
        <v>16</v>
      </c>
      <c r="T577" s="19">
        <v>2</v>
      </c>
      <c r="W577" t="s">
        <v>35</v>
      </c>
      <c r="X577" s="70"/>
      <c r="Y577" s="70"/>
      <c r="Z577" s="70"/>
      <c r="AA577" s="70"/>
      <c r="AB577" s="70"/>
      <c r="AD577" s="70" t="s">
        <v>16</v>
      </c>
      <c r="AE577" s="20">
        <v>3</v>
      </c>
    </row>
    <row r="578" spans="1:32" x14ac:dyDescent="0.25">
      <c r="A578" s="21" t="s">
        <v>67</v>
      </c>
      <c r="B578" s="20"/>
      <c r="C578" s="70"/>
      <c r="D578" s="70"/>
      <c r="E578" s="70"/>
      <c r="F578" s="70"/>
      <c r="H578" s="22" t="s">
        <v>17</v>
      </c>
      <c r="I578" s="23" t="s">
        <v>46</v>
      </c>
      <c r="J578" s="24"/>
      <c r="L578" s="21" t="s">
        <v>67</v>
      </c>
      <c r="M578" s="20"/>
      <c r="N578" s="70"/>
      <c r="O578" s="70"/>
      <c r="P578" s="70"/>
      <c r="Q578" s="70"/>
      <c r="S578" s="22" t="s">
        <v>17</v>
      </c>
      <c r="T578" s="23" t="s">
        <v>34</v>
      </c>
      <c r="U578" s="24"/>
      <c r="W578" s="21" t="s">
        <v>67</v>
      </c>
      <c r="X578" s="20"/>
      <c r="Y578" s="70"/>
      <c r="Z578" s="70"/>
      <c r="AA578" s="70"/>
      <c r="AB578" s="70"/>
      <c r="AD578" s="22" t="s">
        <v>17</v>
      </c>
      <c r="AE578" s="23" t="s">
        <v>68</v>
      </c>
      <c r="AF578" s="24"/>
    </row>
    <row r="579" spans="1:32" x14ac:dyDescent="0.25">
      <c r="B579" s="70"/>
      <c r="C579" s="70"/>
      <c r="D579" s="70"/>
      <c r="E579" s="70"/>
      <c r="F579" s="70"/>
      <c r="M579" s="70"/>
      <c r="N579" s="70"/>
      <c r="O579" s="70"/>
      <c r="P579" s="70"/>
      <c r="Q579" s="70"/>
      <c r="X579" s="70"/>
      <c r="Y579" s="70"/>
      <c r="Z579" s="70"/>
      <c r="AA579" s="70"/>
      <c r="AB579" s="70"/>
    </row>
    <row r="580" spans="1:32" x14ac:dyDescent="0.25">
      <c r="B580" s="25"/>
      <c r="C580" s="26"/>
      <c r="D580" s="79" t="s">
        <v>18</v>
      </c>
      <c r="E580" s="79"/>
      <c r="F580" s="27"/>
      <c r="H580" s="77" t="s">
        <v>19</v>
      </c>
      <c r="I580" s="78"/>
      <c r="J580" s="75" t="s">
        <v>20</v>
      </c>
      <c r="M580" s="25"/>
      <c r="N580" s="26"/>
      <c r="O580" s="79" t="s">
        <v>18</v>
      </c>
      <c r="P580" s="79"/>
      <c r="Q580" s="27"/>
      <c r="S580" s="77" t="s">
        <v>19</v>
      </c>
      <c r="T580" s="78"/>
      <c r="U580" s="75" t="s">
        <v>20</v>
      </c>
      <c r="X580" s="25"/>
      <c r="Y580" s="26"/>
      <c r="Z580" s="79" t="s">
        <v>18</v>
      </c>
      <c r="AA580" s="79"/>
      <c r="AB580" s="27"/>
      <c r="AD580" s="77" t="s">
        <v>19</v>
      </c>
      <c r="AE580" s="78"/>
      <c r="AF580" s="75" t="s">
        <v>20</v>
      </c>
    </row>
    <row r="581" spans="1:32" ht="30" x14ac:dyDescent="0.25">
      <c r="B581" s="28" t="s">
        <v>21</v>
      </c>
      <c r="C581" s="28" t="s">
        <v>22</v>
      </c>
      <c r="D581" s="29" t="s">
        <v>23</v>
      </c>
      <c r="E581" s="30" t="s">
        <v>24</v>
      </c>
      <c r="F581" s="30" t="s">
        <v>25</v>
      </c>
      <c r="H581" s="31" t="s">
        <v>26</v>
      </c>
      <c r="I581" s="31" t="s">
        <v>27</v>
      </c>
      <c r="J581" s="76"/>
      <c r="M581" s="28" t="s">
        <v>21</v>
      </c>
      <c r="N581" s="28" t="s">
        <v>22</v>
      </c>
      <c r="O581" s="29" t="s">
        <v>23</v>
      </c>
      <c r="P581" s="30" t="s">
        <v>24</v>
      </c>
      <c r="Q581" s="30" t="s">
        <v>25</v>
      </c>
      <c r="S581" s="31" t="s">
        <v>26</v>
      </c>
      <c r="T581" s="31" t="s">
        <v>27</v>
      </c>
      <c r="U581" s="76"/>
      <c r="X581" s="28" t="s">
        <v>21</v>
      </c>
      <c r="Y581" s="28" t="s">
        <v>22</v>
      </c>
      <c r="Z581" s="29" t="s">
        <v>23</v>
      </c>
      <c r="AA581" s="30" t="s">
        <v>24</v>
      </c>
      <c r="AB581" s="30" t="s">
        <v>25</v>
      </c>
      <c r="AD581" s="31" t="s">
        <v>26</v>
      </c>
      <c r="AE581" s="31" t="s">
        <v>27</v>
      </c>
      <c r="AF581" s="76"/>
    </row>
    <row r="582" spans="1:32" x14ac:dyDescent="0.25">
      <c r="A582" s="10">
        <v>1</v>
      </c>
      <c r="B582" s="32">
        <v>45671</v>
      </c>
      <c r="C582" s="33">
        <v>7471</v>
      </c>
      <c r="D582" s="34">
        <f>12520+1228+170+2022</f>
        <v>15940</v>
      </c>
      <c r="E582" s="34"/>
      <c r="F582" s="34">
        <f t="shared" ref="F582:F587" si="204">SUM(D582:E582)</f>
        <v>15940</v>
      </c>
      <c r="G582" s="12"/>
      <c r="H582" s="12"/>
      <c r="I582" s="12">
        <v>-195</v>
      </c>
      <c r="J582" s="12">
        <f t="shared" ref="J582:J621" si="205">SUM(F582:I582)</f>
        <v>15745</v>
      </c>
      <c r="L582" s="10">
        <v>1</v>
      </c>
      <c r="M582" s="32">
        <v>45671</v>
      </c>
      <c r="N582" s="33">
        <v>7201</v>
      </c>
      <c r="O582" s="34">
        <f>1252+614+17</f>
        <v>1883</v>
      </c>
      <c r="P582" s="34"/>
      <c r="Q582" s="34">
        <f>SUM(O582:P582)</f>
        <v>1883</v>
      </c>
      <c r="R582" s="12"/>
      <c r="S582" s="12"/>
      <c r="T582" s="12"/>
      <c r="U582" s="12">
        <f>SUM(Q582:T582)</f>
        <v>1883</v>
      </c>
      <c r="W582" s="10">
        <v>1</v>
      </c>
      <c r="X582" s="32">
        <v>45671</v>
      </c>
      <c r="Y582" s="33">
        <v>7501</v>
      </c>
      <c r="Z582" s="34">
        <f>7512+1228+102</f>
        <v>8842</v>
      </c>
      <c r="AA582" s="34"/>
      <c r="AB582" s="34">
        <f>SUM(Z582:AA582)</f>
        <v>8842</v>
      </c>
      <c r="AC582" s="12"/>
      <c r="AD582" s="12"/>
      <c r="AE582" s="12"/>
      <c r="AF582" s="12">
        <f>SUM(AB582:AE582)</f>
        <v>8842</v>
      </c>
    </row>
    <row r="583" spans="1:32" x14ac:dyDescent="0.25">
      <c r="A583" s="10">
        <v>2</v>
      </c>
      <c r="B583" s="32">
        <v>45671</v>
      </c>
      <c r="C583" s="33">
        <f>C582+1</f>
        <v>7472</v>
      </c>
      <c r="D583" s="34">
        <f>626*10+614*2+85+674</f>
        <v>8247</v>
      </c>
      <c r="E583" s="34"/>
      <c r="F583" s="34">
        <f t="shared" si="204"/>
        <v>8247</v>
      </c>
      <c r="G583" s="12"/>
      <c r="H583" s="12">
        <v>21</v>
      </c>
      <c r="I583" s="12"/>
      <c r="J583" s="12">
        <f t="shared" si="205"/>
        <v>8268</v>
      </c>
      <c r="L583" s="10">
        <v>2</v>
      </c>
      <c r="M583" s="32">
        <v>45671</v>
      </c>
      <c r="N583" s="33">
        <f>N582+1</f>
        <v>7202</v>
      </c>
      <c r="O583" s="34">
        <f>1252+596+25.5</f>
        <v>1873.5</v>
      </c>
      <c r="P583" s="34"/>
      <c r="Q583" s="34">
        <f t="shared" ref="Q583:Q614" si="206">SUM(O583:P583)</f>
        <v>1873.5</v>
      </c>
      <c r="R583" s="12"/>
      <c r="S583" s="12"/>
      <c r="T583" s="12"/>
      <c r="U583" s="12">
        <f t="shared" ref="U583:U623" si="207">SUM(Q583:T583)</f>
        <v>1873.5</v>
      </c>
      <c r="W583" s="10">
        <v>2</v>
      </c>
      <c r="X583" s="32">
        <v>45671</v>
      </c>
      <c r="Y583" s="33">
        <f>Y582+1</f>
        <v>7502</v>
      </c>
      <c r="Z583" s="34">
        <f>13772+614+205</f>
        <v>14591</v>
      </c>
      <c r="AA583" s="34"/>
      <c r="AB583" s="34">
        <f t="shared" ref="AB583:AB585" si="208">SUM(Z583:AA583)</f>
        <v>14591</v>
      </c>
      <c r="AC583" s="12"/>
      <c r="AD583" s="12"/>
      <c r="AE583" s="12"/>
      <c r="AF583" s="12">
        <f t="shared" ref="AF583:AF623" si="209">SUM(AB583:AE583)</f>
        <v>14591</v>
      </c>
    </row>
    <row r="584" spans="1:32" x14ac:dyDescent="0.25">
      <c r="A584" s="10">
        <v>3</v>
      </c>
      <c r="B584" s="32">
        <v>45671</v>
      </c>
      <c r="C584" s="33">
        <f t="shared" ref="C584:C605" si="210">C583+1</f>
        <v>7473</v>
      </c>
      <c r="D584" s="35">
        <f>626*150+614*50+205*7</f>
        <v>126035</v>
      </c>
      <c r="E584" s="35">
        <v>-1863</v>
      </c>
      <c r="F584" s="35">
        <f t="shared" si="204"/>
        <v>124172</v>
      </c>
      <c r="G584" s="36"/>
      <c r="H584" s="36">
        <v>78</v>
      </c>
      <c r="I584" s="36">
        <f>-360+-10767+-84+-84+-10.5+-4.5</f>
        <v>-11310</v>
      </c>
      <c r="J584" s="36">
        <f t="shared" si="205"/>
        <v>112940</v>
      </c>
      <c r="L584" s="10">
        <v>3</v>
      </c>
      <c r="M584" s="32">
        <v>45671</v>
      </c>
      <c r="N584" s="33">
        <f t="shared" ref="N584:N595" si="211">N583+1</f>
        <v>7203</v>
      </c>
      <c r="O584" s="34">
        <f>3756+51</f>
        <v>3807</v>
      </c>
      <c r="P584" s="34"/>
      <c r="Q584" s="34">
        <f t="shared" si="206"/>
        <v>3807</v>
      </c>
      <c r="R584" s="12"/>
      <c r="S584" s="12"/>
      <c r="T584" s="12">
        <v>-1110</v>
      </c>
      <c r="U584" s="12">
        <f t="shared" si="207"/>
        <v>2697</v>
      </c>
      <c r="W584" s="10">
        <v>3</v>
      </c>
      <c r="X584" s="32">
        <v>45671</v>
      </c>
      <c r="Y584" s="33">
        <f t="shared" ref="Y584:Y586" si="212">Y583+1</f>
        <v>7503</v>
      </c>
      <c r="Z584" s="34">
        <f>37560+3070+5960+410</f>
        <v>47000</v>
      </c>
      <c r="AA584" s="34">
        <v>-600</v>
      </c>
      <c r="AB584" s="34">
        <f t="shared" si="208"/>
        <v>46400</v>
      </c>
      <c r="AC584" s="12"/>
      <c r="AD584" s="12"/>
      <c r="AE584" s="12"/>
      <c r="AF584" s="12">
        <f t="shared" si="209"/>
        <v>46400</v>
      </c>
    </row>
    <row r="585" spans="1:32" x14ac:dyDescent="0.25">
      <c r="A585" s="10">
        <v>4</v>
      </c>
      <c r="B585" s="32">
        <v>45671</v>
      </c>
      <c r="C585" s="33">
        <f t="shared" si="210"/>
        <v>7474</v>
      </c>
      <c r="D585" s="34">
        <f>10642+614+1192+161.5</f>
        <v>12609.5</v>
      </c>
      <c r="E585" s="34"/>
      <c r="F585" s="34">
        <f t="shared" si="204"/>
        <v>12609.5</v>
      </c>
      <c r="G585" s="12"/>
      <c r="H585" s="12"/>
      <c r="I585" s="12">
        <v>-1.5</v>
      </c>
      <c r="J585" s="12">
        <f t="shared" si="205"/>
        <v>12608</v>
      </c>
      <c r="L585" s="10">
        <v>4</v>
      </c>
      <c r="M585" s="32">
        <v>45671</v>
      </c>
      <c r="N585" s="33">
        <f t="shared" si="211"/>
        <v>7204</v>
      </c>
      <c r="O585" s="34">
        <f>626*7+596*4+93.5+1348</f>
        <v>8207.5</v>
      </c>
      <c r="P585" s="34"/>
      <c r="Q585" s="34">
        <f t="shared" si="206"/>
        <v>8207.5</v>
      </c>
      <c r="R585" s="12"/>
      <c r="S585" s="12"/>
      <c r="T585" s="12"/>
      <c r="U585" s="12">
        <f t="shared" si="207"/>
        <v>8207.5</v>
      </c>
      <c r="W585" s="10">
        <v>4</v>
      </c>
      <c r="X585" s="32">
        <v>45671</v>
      </c>
      <c r="Y585" s="33">
        <f t="shared" si="212"/>
        <v>7504</v>
      </c>
      <c r="Z585" s="34">
        <f>596*50+205*2</f>
        <v>30210</v>
      </c>
      <c r="AA585" s="34">
        <v>-416</v>
      </c>
      <c r="AB585" s="34">
        <f t="shared" si="208"/>
        <v>29794</v>
      </c>
      <c r="AC585" s="12"/>
      <c r="AE585" s="12"/>
      <c r="AF585" s="12">
        <f t="shared" si="209"/>
        <v>29794</v>
      </c>
    </row>
    <row r="586" spans="1:32" x14ac:dyDescent="0.25">
      <c r="A586" s="10">
        <v>5</v>
      </c>
      <c r="B586" s="32">
        <v>45671</v>
      </c>
      <c r="C586" s="33">
        <f t="shared" si="210"/>
        <v>7475</v>
      </c>
      <c r="D586" s="34">
        <f>12520+2980+205</f>
        <v>15705</v>
      </c>
      <c r="E586" s="34"/>
      <c r="F586" s="34">
        <f t="shared" si="204"/>
        <v>15705</v>
      </c>
      <c r="G586" s="12"/>
      <c r="H586" s="12">
        <v>103.5</v>
      </c>
      <c r="I586" s="12"/>
      <c r="J586" s="12">
        <f t="shared" si="205"/>
        <v>15808.5</v>
      </c>
      <c r="L586" s="10">
        <v>5</v>
      </c>
      <c r="M586" s="32">
        <v>45671</v>
      </c>
      <c r="N586" s="33">
        <f t="shared" si="211"/>
        <v>7205</v>
      </c>
      <c r="O586" s="34">
        <f>1252+17+674</f>
        <v>1943</v>
      </c>
      <c r="P586" s="34"/>
      <c r="Q586" s="34">
        <f t="shared" si="206"/>
        <v>1943</v>
      </c>
      <c r="R586" s="12"/>
      <c r="S586" s="12"/>
      <c r="T586" s="12"/>
      <c r="U586" s="12">
        <f t="shared" si="207"/>
        <v>1943</v>
      </c>
      <c r="W586" s="10">
        <v>5</v>
      </c>
      <c r="X586" s="32">
        <v>45671</v>
      </c>
      <c r="Y586" s="33">
        <f t="shared" si="212"/>
        <v>7505</v>
      </c>
      <c r="Z586" s="34">
        <f>275440+3684+28608+3485</f>
        <v>311217</v>
      </c>
      <c r="AA586" s="34">
        <v>-4599</v>
      </c>
      <c r="AB586" s="34">
        <f t="shared" ref="AB586:AB591" si="213">SUM(Z586:AA586)</f>
        <v>306618</v>
      </c>
      <c r="AC586" s="12"/>
      <c r="AD586" s="12">
        <f>7104+858</f>
        <v>7962</v>
      </c>
      <c r="AE586" s="12"/>
      <c r="AF586" s="12">
        <f t="shared" si="209"/>
        <v>314580</v>
      </c>
    </row>
    <row r="587" spans="1:32" x14ac:dyDescent="0.25">
      <c r="A587" s="10">
        <v>6</v>
      </c>
      <c r="B587" s="32">
        <v>45671</v>
      </c>
      <c r="C587" s="33">
        <f t="shared" si="210"/>
        <v>7476</v>
      </c>
      <c r="D587" s="70">
        <f>1252+17</f>
        <v>1269</v>
      </c>
      <c r="E587" s="34"/>
      <c r="F587" s="34">
        <f t="shared" si="204"/>
        <v>1269</v>
      </c>
      <c r="G587" s="12"/>
      <c r="I587" s="12"/>
      <c r="J587" s="12">
        <f t="shared" si="205"/>
        <v>1269</v>
      </c>
      <c r="L587" s="10">
        <v>6</v>
      </c>
      <c r="M587" s="32">
        <v>45671</v>
      </c>
      <c r="N587" s="33">
        <f t="shared" si="211"/>
        <v>7206</v>
      </c>
      <c r="O587" s="34">
        <f>626+8.5+674</f>
        <v>1308.5</v>
      </c>
      <c r="P587" s="34"/>
      <c r="Q587" s="34">
        <f t="shared" si="206"/>
        <v>1308.5</v>
      </c>
      <c r="R587" s="12"/>
      <c r="S587" s="12"/>
      <c r="T587" s="10"/>
      <c r="U587" s="12">
        <f t="shared" si="207"/>
        <v>1308.5</v>
      </c>
      <c r="W587" s="10">
        <v>6</v>
      </c>
      <c r="X587" s="32"/>
      <c r="Y587" s="11" t="s">
        <v>28</v>
      </c>
      <c r="Z587" s="34"/>
      <c r="AA587" s="34"/>
      <c r="AB587" s="34">
        <f t="shared" si="213"/>
        <v>0</v>
      </c>
      <c r="AC587" s="12"/>
      <c r="AD587" s="12"/>
      <c r="AE587" s="10"/>
      <c r="AF587" s="12">
        <f t="shared" si="209"/>
        <v>0</v>
      </c>
    </row>
    <row r="588" spans="1:32" x14ac:dyDescent="0.25">
      <c r="A588" s="10">
        <v>7</v>
      </c>
      <c r="B588" s="32">
        <v>45671</v>
      </c>
      <c r="C588" s="33">
        <f t="shared" si="210"/>
        <v>7477</v>
      </c>
      <c r="D588" s="34">
        <f>1252+17</f>
        <v>1269</v>
      </c>
      <c r="E588" s="34"/>
      <c r="F588" s="34">
        <f>SUM(D588:E588)</f>
        <v>1269</v>
      </c>
      <c r="G588" s="12"/>
      <c r="H588" s="12"/>
      <c r="I588" s="12"/>
      <c r="J588" s="12">
        <f t="shared" si="205"/>
        <v>1269</v>
      </c>
      <c r="L588" s="10">
        <v>7</v>
      </c>
      <c r="M588" s="32">
        <v>45671</v>
      </c>
      <c r="N588" s="33">
        <f t="shared" si="211"/>
        <v>7207</v>
      </c>
      <c r="O588" s="34">
        <f>6260+1788+110.5+674</f>
        <v>8832.5</v>
      </c>
      <c r="P588" s="34"/>
      <c r="Q588" s="34">
        <f t="shared" si="206"/>
        <v>8832.5</v>
      </c>
      <c r="R588" s="12"/>
      <c r="S588" s="12">
        <f>1221+13.5</f>
        <v>1234.5</v>
      </c>
      <c r="T588" s="12"/>
      <c r="U588" s="12">
        <f t="shared" si="207"/>
        <v>10067</v>
      </c>
      <c r="W588" s="10">
        <v>7</v>
      </c>
      <c r="X588" s="32"/>
      <c r="Y588" s="33"/>
      <c r="Z588" s="34"/>
      <c r="AA588" s="34"/>
      <c r="AB588" s="34">
        <f t="shared" si="213"/>
        <v>0</v>
      </c>
      <c r="AC588" s="12"/>
      <c r="AD588" s="66"/>
      <c r="AE588" s="12"/>
      <c r="AF588" s="12">
        <f t="shared" si="209"/>
        <v>0</v>
      </c>
    </row>
    <row r="589" spans="1:32" x14ac:dyDescent="0.25">
      <c r="A589" s="10">
        <v>8</v>
      </c>
      <c r="B589" s="32">
        <v>45671</v>
      </c>
      <c r="C589" s="33">
        <f t="shared" si="210"/>
        <v>7478</v>
      </c>
      <c r="D589" s="34">
        <f>3130+596+51</f>
        <v>3777</v>
      </c>
      <c r="E589" s="34"/>
      <c r="F589" s="34">
        <f t="shared" ref="F589:F621" si="214">SUM(D589:E589)</f>
        <v>3777</v>
      </c>
      <c r="G589" s="12"/>
      <c r="H589" s="12"/>
      <c r="I589" s="12"/>
      <c r="J589" s="12">
        <f t="shared" si="205"/>
        <v>3777</v>
      </c>
      <c r="L589" s="10">
        <v>8</v>
      </c>
      <c r="M589" s="32">
        <v>45671</v>
      </c>
      <c r="N589" s="33">
        <f t="shared" si="211"/>
        <v>7208</v>
      </c>
      <c r="O589" s="34">
        <f>7512+34</f>
        <v>7546</v>
      </c>
      <c r="P589" s="34"/>
      <c r="Q589" s="34">
        <f t="shared" si="206"/>
        <v>7546</v>
      </c>
      <c r="R589" s="12"/>
      <c r="S589" s="12"/>
      <c r="T589" s="12"/>
      <c r="U589" s="12">
        <f t="shared" si="207"/>
        <v>7546</v>
      </c>
      <c r="W589" s="10">
        <v>8</v>
      </c>
      <c r="X589" s="32"/>
      <c r="Y589" s="33"/>
      <c r="Z589" s="34"/>
      <c r="AB589" s="34">
        <f t="shared" si="213"/>
        <v>0</v>
      </c>
      <c r="AC589" s="12"/>
      <c r="AD589" s="12"/>
      <c r="AE589" s="12"/>
      <c r="AF589" s="12">
        <f t="shared" si="209"/>
        <v>0</v>
      </c>
    </row>
    <row r="590" spans="1:32" x14ac:dyDescent="0.25">
      <c r="A590" s="10">
        <v>9</v>
      </c>
      <c r="B590" s="32">
        <v>45671</v>
      </c>
      <c r="C590" s="33">
        <f t="shared" si="210"/>
        <v>7479</v>
      </c>
      <c r="D590" s="34">
        <f>626</f>
        <v>626</v>
      </c>
      <c r="E590" s="34"/>
      <c r="F590" s="34">
        <f t="shared" si="214"/>
        <v>626</v>
      </c>
      <c r="G590" s="12"/>
      <c r="H590" s="12"/>
      <c r="I590" s="12"/>
      <c r="J590" s="12">
        <f t="shared" si="205"/>
        <v>626</v>
      </c>
      <c r="L590" s="10">
        <v>9</v>
      </c>
      <c r="M590" s="32">
        <v>45671</v>
      </c>
      <c r="N590" s="33">
        <f t="shared" si="211"/>
        <v>7209</v>
      </c>
      <c r="O590" s="34">
        <f>1878+596+34+674</f>
        <v>3182</v>
      </c>
      <c r="P590" s="34"/>
      <c r="Q590" s="34">
        <f t="shared" si="206"/>
        <v>3182</v>
      </c>
      <c r="R590" s="12"/>
      <c r="S590" s="12"/>
      <c r="T590" s="12"/>
      <c r="U590" s="12">
        <f t="shared" si="207"/>
        <v>3182</v>
      </c>
      <c r="W590" s="10">
        <v>9</v>
      </c>
      <c r="X590" s="32"/>
      <c r="AA590" s="34"/>
      <c r="AB590" s="34">
        <f t="shared" si="213"/>
        <v>0</v>
      </c>
      <c r="AC590" s="12"/>
      <c r="AE590" s="12"/>
      <c r="AF590" s="12">
        <f t="shared" si="209"/>
        <v>0</v>
      </c>
    </row>
    <row r="591" spans="1:32" x14ac:dyDescent="0.25">
      <c r="A591" s="10">
        <v>10</v>
      </c>
      <c r="B591" s="32">
        <v>45671</v>
      </c>
      <c r="C591" s="33">
        <f t="shared" si="210"/>
        <v>7480</v>
      </c>
      <c r="D591" s="34">
        <f>2504+34</f>
        <v>2538</v>
      </c>
      <c r="E591" s="34"/>
      <c r="F591" s="34">
        <f t="shared" si="214"/>
        <v>2538</v>
      </c>
      <c r="G591" s="12"/>
      <c r="H591" s="12"/>
      <c r="I591" s="12"/>
      <c r="J591" s="12">
        <f t="shared" si="205"/>
        <v>2538</v>
      </c>
      <c r="L591" s="10">
        <v>10</v>
      </c>
      <c r="M591" s="32">
        <v>45671</v>
      </c>
      <c r="N591" s="33">
        <f t="shared" si="211"/>
        <v>7210</v>
      </c>
      <c r="O591" s="34">
        <f>1252+17</f>
        <v>1269</v>
      </c>
      <c r="P591" s="34"/>
      <c r="Q591" s="34">
        <f t="shared" si="206"/>
        <v>1269</v>
      </c>
      <c r="R591" s="12"/>
      <c r="S591" s="12"/>
      <c r="T591" s="12"/>
      <c r="U591" s="12">
        <f t="shared" si="207"/>
        <v>1269</v>
      </c>
      <c r="W591" s="10">
        <v>10</v>
      </c>
      <c r="X591" s="32"/>
      <c r="Y591" s="33"/>
      <c r="Z591" s="34"/>
      <c r="AA591" s="34"/>
      <c r="AB591" s="34">
        <f t="shared" si="213"/>
        <v>0</v>
      </c>
      <c r="AC591" s="12"/>
      <c r="AD591" s="12"/>
      <c r="AE591" s="12"/>
      <c r="AF591" s="12">
        <f t="shared" si="209"/>
        <v>0</v>
      </c>
    </row>
    <row r="592" spans="1:32" x14ac:dyDescent="0.25">
      <c r="A592" s="10">
        <v>11</v>
      </c>
      <c r="B592" s="32">
        <v>45671</v>
      </c>
      <c r="C592" s="33">
        <f t="shared" si="210"/>
        <v>7481</v>
      </c>
      <c r="D592" s="34">
        <f>3130+614+1788+205</f>
        <v>5737</v>
      </c>
      <c r="E592" s="34"/>
      <c r="F592" s="34">
        <f t="shared" si="214"/>
        <v>5737</v>
      </c>
      <c r="G592" s="12"/>
      <c r="H592" s="12"/>
      <c r="I592" s="12"/>
      <c r="J592" s="12">
        <f t="shared" si="205"/>
        <v>5737</v>
      </c>
      <c r="L592" s="10">
        <v>11</v>
      </c>
      <c r="M592" s="32">
        <v>45671</v>
      </c>
      <c r="N592" s="33">
        <f t="shared" si="211"/>
        <v>7211</v>
      </c>
      <c r="O592" s="34">
        <f>3756+614+1192+68+1348</f>
        <v>6978</v>
      </c>
      <c r="P592" s="34"/>
      <c r="Q592" s="34">
        <f t="shared" si="206"/>
        <v>6978</v>
      </c>
      <c r="R592" s="12"/>
      <c r="S592" s="12"/>
      <c r="T592" s="12"/>
      <c r="U592" s="12">
        <f t="shared" si="207"/>
        <v>6978</v>
      </c>
      <c r="W592" s="10">
        <v>11</v>
      </c>
      <c r="X592" s="32"/>
      <c r="Z592" s="34"/>
      <c r="AA592" s="34"/>
      <c r="AB592" s="34">
        <f t="shared" ref="AB592:AB614" si="215">SUM(Z592:AA592)</f>
        <v>0</v>
      </c>
      <c r="AC592" s="12"/>
      <c r="AD592" s="12"/>
      <c r="AE592" s="12"/>
      <c r="AF592" s="12">
        <f t="shared" si="209"/>
        <v>0</v>
      </c>
    </row>
    <row r="593" spans="1:32" x14ac:dyDescent="0.25">
      <c r="A593" s="10">
        <v>12</v>
      </c>
      <c r="B593" s="32">
        <v>45671</v>
      </c>
      <c r="C593" s="33">
        <f t="shared" si="210"/>
        <v>7482</v>
      </c>
      <c r="D593" s="34">
        <f>626+614+8.5</f>
        <v>1248.5</v>
      </c>
      <c r="E593" s="34"/>
      <c r="F593" s="34">
        <f t="shared" si="214"/>
        <v>1248.5</v>
      </c>
      <c r="G593" s="12"/>
      <c r="H593" s="12"/>
      <c r="I593" s="10"/>
      <c r="J593" s="12">
        <f t="shared" si="205"/>
        <v>1248.5</v>
      </c>
      <c r="L593" s="10">
        <v>12</v>
      </c>
      <c r="M593" s="32">
        <v>45671</v>
      </c>
      <c r="N593" s="33">
        <f t="shared" si="211"/>
        <v>7212</v>
      </c>
      <c r="O593" s="34">
        <f>2504+614+34</f>
        <v>3152</v>
      </c>
      <c r="P593" s="34"/>
      <c r="Q593" s="34">
        <f t="shared" si="206"/>
        <v>3152</v>
      </c>
      <c r="R593" s="12"/>
      <c r="S593" s="12"/>
      <c r="T593" s="12"/>
      <c r="U593" s="12">
        <f t="shared" si="207"/>
        <v>3152</v>
      </c>
      <c r="W593" s="10">
        <v>12</v>
      </c>
      <c r="X593" s="32"/>
      <c r="Y593" s="33"/>
      <c r="Z593" s="34"/>
      <c r="AA593" s="34"/>
      <c r="AB593" s="34">
        <f t="shared" si="215"/>
        <v>0</v>
      </c>
      <c r="AC593" s="12"/>
      <c r="AD593" s="12"/>
      <c r="AE593" s="12"/>
      <c r="AF593" s="12">
        <f t="shared" si="209"/>
        <v>0</v>
      </c>
    </row>
    <row r="594" spans="1:32" x14ac:dyDescent="0.25">
      <c r="A594" s="10">
        <v>13</v>
      </c>
      <c r="B594" s="32">
        <v>45671</v>
      </c>
      <c r="C594" s="33">
        <f t="shared" si="210"/>
        <v>7483</v>
      </c>
      <c r="D594" s="34">
        <f>5008</f>
        <v>5008</v>
      </c>
      <c r="E594" s="34"/>
      <c r="F594" s="34">
        <f t="shared" si="214"/>
        <v>5008</v>
      </c>
      <c r="G594" s="12"/>
      <c r="H594" s="12">
        <v>888</v>
      </c>
      <c r="I594" s="12"/>
      <c r="J594" s="12">
        <f t="shared" si="205"/>
        <v>5896</v>
      </c>
      <c r="L594" s="10">
        <v>13</v>
      </c>
      <c r="M594" s="32">
        <v>45671</v>
      </c>
      <c r="N594" s="33">
        <f t="shared" si="211"/>
        <v>7213</v>
      </c>
      <c r="O594" s="34">
        <f>1252+596+25.5+674</f>
        <v>2547.5</v>
      </c>
      <c r="P594" s="34"/>
      <c r="Q594" s="34">
        <f t="shared" si="206"/>
        <v>2547.5</v>
      </c>
      <c r="R594" s="12"/>
      <c r="S594" s="12"/>
      <c r="T594" s="12"/>
      <c r="U594" s="12">
        <f t="shared" si="207"/>
        <v>2547.5</v>
      </c>
      <c r="W594" s="10">
        <v>13</v>
      </c>
      <c r="X594" s="32"/>
      <c r="Y594" s="33"/>
      <c r="Z594" s="34"/>
      <c r="AA594" s="34"/>
      <c r="AB594" s="34">
        <f t="shared" si="215"/>
        <v>0</v>
      </c>
      <c r="AC594" s="12"/>
      <c r="AD594" s="12"/>
      <c r="AE594" s="12"/>
      <c r="AF594" s="12">
        <f t="shared" si="209"/>
        <v>0</v>
      </c>
    </row>
    <row r="595" spans="1:32" x14ac:dyDescent="0.25">
      <c r="A595" s="10">
        <v>14</v>
      </c>
      <c r="B595" s="32">
        <v>45671</v>
      </c>
      <c r="C595" s="33">
        <f t="shared" si="210"/>
        <v>7484</v>
      </c>
      <c r="D595" s="34">
        <f>2504+34</f>
        <v>2538</v>
      </c>
      <c r="E595" s="34"/>
      <c r="F595" s="34">
        <f t="shared" si="214"/>
        <v>2538</v>
      </c>
      <c r="G595" s="12"/>
      <c r="H595" s="12"/>
      <c r="I595" s="12"/>
      <c r="J595" s="12">
        <f t="shared" si="205"/>
        <v>2538</v>
      </c>
      <c r="L595" s="10">
        <v>14</v>
      </c>
      <c r="M595" s="32">
        <v>45671</v>
      </c>
      <c r="N595" s="33">
        <f t="shared" si="211"/>
        <v>7214</v>
      </c>
      <c r="O595" s="34">
        <f>626*324+596*108+205*18</f>
        <v>270882</v>
      </c>
      <c r="P595" s="34">
        <v>-4050</v>
      </c>
      <c r="Q595" s="34">
        <f t="shared" si="206"/>
        <v>266832</v>
      </c>
      <c r="R595" s="12"/>
      <c r="S595" s="12"/>
      <c r="T595" s="12">
        <v>-9078</v>
      </c>
      <c r="U595" s="12">
        <f t="shared" si="207"/>
        <v>257754</v>
      </c>
      <c r="W595" s="10">
        <v>14</v>
      </c>
      <c r="X595" s="32"/>
      <c r="Y595" s="33"/>
      <c r="AA595" s="34"/>
      <c r="AB595" s="34">
        <f t="shared" si="215"/>
        <v>0</v>
      </c>
      <c r="AC595" s="12"/>
      <c r="AD595" s="12"/>
      <c r="AE595" s="12"/>
      <c r="AF595" s="12">
        <f t="shared" si="209"/>
        <v>0</v>
      </c>
    </row>
    <row r="596" spans="1:32" x14ac:dyDescent="0.25">
      <c r="A596" s="10">
        <v>15</v>
      </c>
      <c r="B596" s="32">
        <v>45671</v>
      </c>
      <c r="C596" s="33">
        <f t="shared" si="210"/>
        <v>7485</v>
      </c>
      <c r="D596" s="34">
        <f>626+8.5</f>
        <v>634.5</v>
      </c>
      <c r="E596" s="34"/>
      <c r="F596" s="34">
        <f t="shared" si="214"/>
        <v>634.5</v>
      </c>
      <c r="G596" s="12"/>
      <c r="H596" s="12">
        <v>1.1000000000000001</v>
      </c>
      <c r="I596" s="12"/>
      <c r="J596" s="12">
        <f t="shared" si="205"/>
        <v>635.6</v>
      </c>
      <c r="L596" s="10">
        <v>15</v>
      </c>
      <c r="M596" s="32"/>
      <c r="N596" s="11" t="s">
        <v>28</v>
      </c>
      <c r="O596" s="34"/>
      <c r="P596" s="34"/>
      <c r="Q596" s="34">
        <f t="shared" si="206"/>
        <v>0</v>
      </c>
      <c r="R596" s="12"/>
      <c r="S596" s="12"/>
      <c r="T596" s="12"/>
      <c r="U596" s="12">
        <f t="shared" si="207"/>
        <v>0</v>
      </c>
      <c r="W596" s="10">
        <v>15</v>
      </c>
      <c r="X596" s="32"/>
      <c r="Y596" s="33"/>
      <c r="Z596" s="34"/>
      <c r="AA596" s="34"/>
      <c r="AB596" s="34">
        <f t="shared" si="215"/>
        <v>0</v>
      </c>
      <c r="AC596" s="12"/>
      <c r="AD596" s="12"/>
      <c r="AE596" s="12"/>
      <c r="AF596" s="12">
        <f t="shared" si="209"/>
        <v>0</v>
      </c>
    </row>
    <row r="597" spans="1:32" x14ac:dyDescent="0.25">
      <c r="A597" s="10">
        <v>16</v>
      </c>
      <c r="B597" s="32">
        <v>45671</v>
      </c>
      <c r="C597" s="33">
        <f t="shared" si="210"/>
        <v>7486</v>
      </c>
      <c r="D597" s="34">
        <f>626*4+596+42.5</f>
        <v>3142.5</v>
      </c>
      <c r="E597" s="34"/>
      <c r="F597" s="34">
        <f t="shared" si="214"/>
        <v>3142.5</v>
      </c>
      <c r="G597" s="12"/>
      <c r="H597" s="12"/>
      <c r="I597" s="12"/>
      <c r="J597" s="12">
        <f t="shared" si="205"/>
        <v>3142.5</v>
      </c>
      <c r="L597" s="10">
        <v>16</v>
      </c>
      <c r="M597" s="32"/>
      <c r="N597" s="33"/>
      <c r="O597" s="34"/>
      <c r="P597" s="34"/>
      <c r="Q597" s="34">
        <f t="shared" si="206"/>
        <v>0</v>
      </c>
      <c r="R597" s="12"/>
      <c r="S597" s="12"/>
      <c r="T597" s="12"/>
      <c r="U597" s="12">
        <f t="shared" si="207"/>
        <v>0</v>
      </c>
      <c r="W597" s="10">
        <v>16</v>
      </c>
      <c r="X597" s="32"/>
      <c r="Y597" s="33"/>
      <c r="Z597" s="34"/>
      <c r="AA597" s="34"/>
      <c r="AB597" s="34">
        <f t="shared" si="215"/>
        <v>0</v>
      </c>
      <c r="AC597" s="12"/>
      <c r="AD597" s="12"/>
      <c r="AE597" s="12"/>
      <c r="AF597" s="12">
        <f t="shared" si="209"/>
        <v>0</v>
      </c>
    </row>
    <row r="598" spans="1:32" x14ac:dyDescent="0.25">
      <c r="A598" s="10">
        <v>17</v>
      </c>
      <c r="B598" s="32">
        <v>45671</v>
      </c>
      <c r="C598" s="33">
        <f t="shared" si="210"/>
        <v>7487</v>
      </c>
      <c r="D598" s="34">
        <f>1878+596+34</f>
        <v>2508</v>
      </c>
      <c r="E598" s="34"/>
      <c r="F598" s="34">
        <f t="shared" si="214"/>
        <v>2508</v>
      </c>
      <c r="G598" s="12"/>
      <c r="H598" s="12">
        <v>6</v>
      </c>
      <c r="I598" s="12"/>
      <c r="J598" s="12">
        <f t="shared" si="205"/>
        <v>2514</v>
      </c>
      <c r="L598" s="10">
        <v>17</v>
      </c>
      <c r="M598" s="32"/>
      <c r="N598" s="33"/>
      <c r="O598" s="37"/>
      <c r="P598" s="34"/>
      <c r="Q598" s="34">
        <f t="shared" si="206"/>
        <v>0</v>
      </c>
      <c r="R598" s="12"/>
      <c r="S598" s="12"/>
      <c r="T598" s="12"/>
      <c r="U598" s="12">
        <f t="shared" si="207"/>
        <v>0</v>
      </c>
      <c r="W598" s="10">
        <v>17</v>
      </c>
      <c r="X598" s="32"/>
      <c r="Y598" s="33"/>
      <c r="Z598" s="37"/>
      <c r="AA598" s="34"/>
      <c r="AB598" s="34">
        <f t="shared" si="215"/>
        <v>0</v>
      </c>
      <c r="AC598" s="12"/>
      <c r="AD598" s="12"/>
      <c r="AE598" s="12"/>
      <c r="AF598" s="12">
        <f t="shared" si="209"/>
        <v>0</v>
      </c>
    </row>
    <row r="599" spans="1:32" x14ac:dyDescent="0.25">
      <c r="A599" s="10">
        <v>18</v>
      </c>
      <c r="B599" s="32">
        <v>45671</v>
      </c>
      <c r="C599" s="33">
        <f t="shared" si="210"/>
        <v>7488</v>
      </c>
      <c r="D599" s="34">
        <f>1252+17</f>
        <v>1269</v>
      </c>
      <c r="E599" s="34"/>
      <c r="F599" s="34">
        <f t="shared" si="214"/>
        <v>1269</v>
      </c>
      <c r="G599" s="12"/>
      <c r="H599" s="12"/>
      <c r="I599" s="12"/>
      <c r="J599" s="12">
        <f t="shared" si="205"/>
        <v>1269</v>
      </c>
      <c r="L599" s="10">
        <v>18</v>
      </c>
      <c r="M599" s="32"/>
      <c r="N599" s="33"/>
      <c r="O599" s="34"/>
      <c r="P599" s="34"/>
      <c r="Q599" s="34">
        <f t="shared" si="206"/>
        <v>0</v>
      </c>
      <c r="R599" s="12"/>
      <c r="S599" s="12"/>
      <c r="T599" s="12"/>
      <c r="U599" s="12">
        <f t="shared" si="207"/>
        <v>0</v>
      </c>
      <c r="W599" s="10">
        <v>18</v>
      </c>
      <c r="X599" s="32"/>
      <c r="Y599" s="33"/>
      <c r="Z599" s="34"/>
      <c r="AA599" s="34"/>
      <c r="AB599" s="34">
        <f t="shared" si="215"/>
        <v>0</v>
      </c>
      <c r="AC599" s="12"/>
      <c r="AD599" s="12"/>
      <c r="AE599" s="12"/>
      <c r="AF599" s="12">
        <f t="shared" si="209"/>
        <v>0</v>
      </c>
    </row>
    <row r="600" spans="1:32" x14ac:dyDescent="0.25">
      <c r="A600" s="10">
        <v>19</v>
      </c>
      <c r="B600" s="32">
        <v>45671</v>
      </c>
      <c r="C600" s="33">
        <f t="shared" si="210"/>
        <v>7489</v>
      </c>
      <c r="D600" s="34">
        <f>1252+17</f>
        <v>1269</v>
      </c>
      <c r="E600" s="34"/>
      <c r="F600" s="34">
        <f t="shared" si="214"/>
        <v>1269</v>
      </c>
      <c r="G600" s="12"/>
      <c r="H600" s="12"/>
      <c r="I600" s="12"/>
      <c r="J600" s="12">
        <f t="shared" si="205"/>
        <v>1269</v>
      </c>
      <c r="L600" s="10">
        <v>19</v>
      </c>
      <c r="M600" s="32"/>
      <c r="N600" s="33"/>
      <c r="O600" s="34"/>
      <c r="P600" s="34"/>
      <c r="Q600" s="34">
        <f t="shared" si="206"/>
        <v>0</v>
      </c>
      <c r="R600" s="12"/>
      <c r="S600" s="12"/>
      <c r="T600" s="12"/>
      <c r="U600" s="12">
        <f t="shared" si="207"/>
        <v>0</v>
      </c>
      <c r="W600" s="10">
        <v>19</v>
      </c>
      <c r="X600" s="32"/>
      <c r="Y600" s="33"/>
      <c r="Z600" s="34"/>
      <c r="AA600" s="34"/>
      <c r="AB600" s="34">
        <f t="shared" si="215"/>
        <v>0</v>
      </c>
      <c r="AC600" s="12"/>
      <c r="AD600" s="12"/>
      <c r="AE600" s="12"/>
      <c r="AF600" s="12">
        <f t="shared" si="209"/>
        <v>0</v>
      </c>
    </row>
    <row r="601" spans="1:32" x14ac:dyDescent="0.25">
      <c r="A601" s="10">
        <v>20</v>
      </c>
      <c r="B601" s="32">
        <v>45671</v>
      </c>
      <c r="C601" s="33">
        <f t="shared" si="210"/>
        <v>7490</v>
      </c>
      <c r="D601" s="34">
        <f>3130+42.5</f>
        <v>3172.5</v>
      </c>
      <c r="E601" s="34"/>
      <c r="F601" s="34">
        <f t="shared" si="214"/>
        <v>3172.5</v>
      </c>
      <c r="G601" s="12"/>
      <c r="H601" s="12"/>
      <c r="I601" s="12">
        <v>-1</v>
      </c>
      <c r="J601" s="12">
        <f t="shared" si="205"/>
        <v>3171.5</v>
      </c>
      <c r="L601" s="10">
        <v>20</v>
      </c>
      <c r="M601" s="32"/>
      <c r="N601" s="33"/>
      <c r="O601" s="34"/>
      <c r="P601" s="34"/>
      <c r="Q601" s="34">
        <f t="shared" si="206"/>
        <v>0</v>
      </c>
      <c r="R601" s="12"/>
      <c r="S601" s="12"/>
      <c r="T601" s="12"/>
      <c r="U601" s="12">
        <f t="shared" si="207"/>
        <v>0</v>
      </c>
      <c r="W601" s="10">
        <v>20</v>
      </c>
      <c r="X601" s="32"/>
      <c r="Y601" s="33"/>
      <c r="Z601" s="34"/>
      <c r="AA601" s="34"/>
      <c r="AB601" s="34">
        <f t="shared" si="215"/>
        <v>0</v>
      </c>
      <c r="AC601" s="12"/>
      <c r="AD601" s="12"/>
      <c r="AE601" s="12"/>
      <c r="AF601" s="12">
        <f t="shared" si="209"/>
        <v>0</v>
      </c>
    </row>
    <row r="602" spans="1:32" x14ac:dyDescent="0.25">
      <c r="A602" s="10">
        <v>21</v>
      </c>
      <c r="B602" s="32">
        <v>45671</v>
      </c>
      <c r="C602" s="33">
        <f t="shared" si="210"/>
        <v>7491</v>
      </c>
      <c r="D602" s="34">
        <f>1252+17</f>
        <v>1269</v>
      </c>
      <c r="E602" s="34"/>
      <c r="F602" s="34">
        <f t="shared" si="214"/>
        <v>1269</v>
      </c>
      <c r="G602" s="10"/>
      <c r="H602" s="10"/>
      <c r="I602" s="10"/>
      <c r="J602" s="12">
        <f t="shared" si="205"/>
        <v>1269</v>
      </c>
      <c r="L602" s="10">
        <v>21</v>
      </c>
      <c r="M602" s="32"/>
      <c r="N602" s="33"/>
      <c r="O602" s="50"/>
      <c r="P602" s="33"/>
      <c r="Q602" s="34">
        <f t="shared" si="206"/>
        <v>0</v>
      </c>
      <c r="R602" s="10"/>
      <c r="S602" s="10"/>
      <c r="T602" s="10"/>
      <c r="U602" s="12">
        <f t="shared" si="207"/>
        <v>0</v>
      </c>
      <c r="W602" s="10">
        <v>21</v>
      </c>
      <c r="X602" s="32"/>
      <c r="Y602" s="33"/>
      <c r="Z602" s="50"/>
      <c r="AA602" s="33"/>
      <c r="AB602" s="34">
        <f t="shared" si="215"/>
        <v>0</v>
      </c>
      <c r="AC602" s="10"/>
      <c r="AD602" s="10"/>
      <c r="AE602" s="10"/>
      <c r="AF602" s="12">
        <f t="shared" si="209"/>
        <v>0</v>
      </c>
    </row>
    <row r="603" spans="1:32" x14ac:dyDescent="0.25">
      <c r="A603" s="10">
        <v>22</v>
      </c>
      <c r="B603" s="32">
        <v>45671</v>
      </c>
      <c r="C603" s="33">
        <f t="shared" si="210"/>
        <v>7492</v>
      </c>
      <c r="D603" s="34">
        <f>1878+26</f>
        <v>1904</v>
      </c>
      <c r="E603" s="34"/>
      <c r="F603" s="34">
        <f t="shared" si="214"/>
        <v>1904</v>
      </c>
      <c r="G603" s="10"/>
      <c r="H603" s="10"/>
      <c r="I603" s="10"/>
      <c r="J603" s="12">
        <f t="shared" si="205"/>
        <v>1904</v>
      </c>
      <c r="L603" s="10">
        <v>22</v>
      </c>
      <c r="M603" s="32"/>
      <c r="N603" s="33"/>
      <c r="O603" s="49"/>
      <c r="P603" s="33"/>
      <c r="Q603" s="34">
        <f t="shared" si="206"/>
        <v>0</v>
      </c>
      <c r="R603" s="10"/>
      <c r="S603" s="10"/>
      <c r="T603" s="10"/>
      <c r="U603" s="12">
        <f t="shared" si="207"/>
        <v>0</v>
      </c>
      <c r="W603" s="10">
        <v>22</v>
      </c>
      <c r="X603" s="32"/>
      <c r="Y603" s="33"/>
      <c r="Z603" s="49"/>
      <c r="AA603" s="33"/>
      <c r="AB603" s="34">
        <f t="shared" si="215"/>
        <v>0</v>
      </c>
      <c r="AC603" s="10"/>
      <c r="AD603" s="10"/>
      <c r="AE603" s="10"/>
      <c r="AF603" s="12">
        <f t="shared" si="209"/>
        <v>0</v>
      </c>
    </row>
    <row r="604" spans="1:32" x14ac:dyDescent="0.25">
      <c r="A604" s="10">
        <v>23</v>
      </c>
      <c r="B604" s="32">
        <v>45671</v>
      </c>
      <c r="C604" s="33">
        <f t="shared" si="210"/>
        <v>7493</v>
      </c>
      <c r="D604" s="34">
        <f>3756+51</f>
        <v>3807</v>
      </c>
      <c r="E604" s="34"/>
      <c r="F604" s="34">
        <f t="shared" si="214"/>
        <v>3807</v>
      </c>
      <c r="G604" s="10"/>
      <c r="H604" s="10"/>
      <c r="I604" s="12"/>
      <c r="J604" s="12">
        <f t="shared" si="205"/>
        <v>3807</v>
      </c>
      <c r="L604" s="10">
        <v>23</v>
      </c>
      <c r="M604" s="32"/>
      <c r="N604" s="33"/>
      <c r="O604" s="51"/>
      <c r="Q604" s="34">
        <f t="shared" si="206"/>
        <v>0</v>
      </c>
      <c r="R604" s="10"/>
      <c r="S604" s="10"/>
      <c r="T604" s="10"/>
      <c r="U604" s="12">
        <f t="shared" si="207"/>
        <v>0</v>
      </c>
      <c r="W604" s="10">
        <v>23</v>
      </c>
      <c r="X604" s="32"/>
      <c r="Y604" s="33"/>
      <c r="Z604" s="51"/>
      <c r="AB604" s="34">
        <f t="shared" si="215"/>
        <v>0</v>
      </c>
      <c r="AC604" s="10"/>
      <c r="AD604" s="10"/>
      <c r="AE604" s="10"/>
      <c r="AF604" s="12">
        <f t="shared" si="209"/>
        <v>0</v>
      </c>
    </row>
    <row r="605" spans="1:32" x14ac:dyDescent="0.25">
      <c r="A605" s="10">
        <v>24</v>
      </c>
      <c r="B605" s="32">
        <v>45671</v>
      </c>
      <c r="C605" s="33">
        <f t="shared" si="210"/>
        <v>7494</v>
      </c>
      <c r="D605" s="34">
        <f>1878+25.5</f>
        <v>1903.5</v>
      </c>
      <c r="E605" s="34"/>
      <c r="F605" s="34">
        <f t="shared" si="214"/>
        <v>1903.5</v>
      </c>
      <c r="G605" s="10"/>
      <c r="H605" s="10"/>
      <c r="I605" s="10"/>
      <c r="J605" s="12">
        <f t="shared" si="205"/>
        <v>1903.5</v>
      </c>
      <c r="L605" s="10">
        <v>24</v>
      </c>
      <c r="M605" s="32"/>
      <c r="N605" s="33"/>
      <c r="O605" s="51"/>
      <c r="P605" s="33"/>
      <c r="Q605" s="34">
        <f t="shared" si="206"/>
        <v>0</v>
      </c>
      <c r="R605" s="10"/>
      <c r="S605" s="10"/>
      <c r="T605" s="10"/>
      <c r="U605" s="12">
        <f t="shared" si="207"/>
        <v>0</v>
      </c>
      <c r="W605" s="10">
        <v>24</v>
      </c>
      <c r="X605" s="32"/>
      <c r="Y605" s="33"/>
      <c r="Z605" s="51"/>
      <c r="AA605" s="33"/>
      <c r="AB605" s="34">
        <f t="shared" si="215"/>
        <v>0</v>
      </c>
      <c r="AC605" s="10"/>
      <c r="AD605" s="10"/>
      <c r="AE605" s="10"/>
      <c r="AF605" s="12">
        <f t="shared" si="209"/>
        <v>0</v>
      </c>
    </row>
    <row r="606" spans="1:32" x14ac:dyDescent="0.25">
      <c r="A606" s="10">
        <v>25</v>
      </c>
      <c r="B606" s="32"/>
      <c r="C606" s="11" t="s">
        <v>28</v>
      </c>
      <c r="D606" s="34"/>
      <c r="E606" s="34"/>
      <c r="F606" s="34">
        <f t="shared" si="214"/>
        <v>0</v>
      </c>
      <c r="G606" s="10"/>
      <c r="H606" s="10"/>
      <c r="I606" s="10"/>
      <c r="J606" s="12">
        <f t="shared" si="205"/>
        <v>0</v>
      </c>
      <c r="L606" s="10">
        <v>25</v>
      </c>
      <c r="M606" s="32"/>
      <c r="O606" s="51"/>
      <c r="P606" s="33"/>
      <c r="Q606" s="34">
        <f t="shared" si="206"/>
        <v>0</v>
      </c>
      <c r="R606" s="10"/>
      <c r="S606" s="10"/>
      <c r="T606" s="10"/>
      <c r="U606" s="12">
        <f t="shared" si="207"/>
        <v>0</v>
      </c>
      <c r="W606" s="10">
        <v>25</v>
      </c>
      <c r="X606" s="32"/>
      <c r="Y606" s="33"/>
      <c r="Z606" s="51"/>
      <c r="AA606" s="33"/>
      <c r="AB606" s="34">
        <f t="shared" si="215"/>
        <v>0</v>
      </c>
      <c r="AC606" s="10"/>
      <c r="AD606" s="10"/>
      <c r="AE606" s="10"/>
      <c r="AF606" s="12">
        <f t="shared" si="209"/>
        <v>0</v>
      </c>
    </row>
    <row r="607" spans="1:32" x14ac:dyDescent="0.25">
      <c r="A607" s="10">
        <v>26</v>
      </c>
      <c r="B607" s="32"/>
      <c r="C607" s="33"/>
      <c r="D607" s="34"/>
      <c r="E607" s="34"/>
      <c r="F607" s="34">
        <f t="shared" si="214"/>
        <v>0</v>
      </c>
      <c r="G607" s="10"/>
      <c r="H607" s="10"/>
      <c r="I607" s="10"/>
      <c r="J607" s="12">
        <f t="shared" si="205"/>
        <v>0</v>
      </c>
      <c r="L607" s="10">
        <v>26</v>
      </c>
      <c r="M607" s="32"/>
      <c r="N607" s="33"/>
      <c r="O607" s="51"/>
      <c r="P607" s="33"/>
      <c r="Q607" s="34">
        <f t="shared" si="206"/>
        <v>0</v>
      </c>
      <c r="R607" s="10"/>
      <c r="S607" s="10"/>
      <c r="T607" s="10"/>
      <c r="U607" s="12">
        <f t="shared" si="207"/>
        <v>0</v>
      </c>
      <c r="W607" s="10">
        <v>26</v>
      </c>
      <c r="X607" s="32"/>
      <c r="Y607" s="33"/>
      <c r="Z607" s="51"/>
      <c r="AA607" s="33"/>
      <c r="AB607" s="34">
        <f t="shared" si="215"/>
        <v>0</v>
      </c>
      <c r="AC607" s="10"/>
      <c r="AD607" s="10"/>
      <c r="AE607" s="10"/>
      <c r="AF607" s="12">
        <f t="shared" si="209"/>
        <v>0</v>
      </c>
    </row>
    <row r="608" spans="1:32" x14ac:dyDescent="0.25">
      <c r="A608" s="10">
        <v>27</v>
      </c>
      <c r="B608" s="32"/>
      <c r="C608" s="33"/>
      <c r="D608" s="34"/>
      <c r="E608" s="34"/>
      <c r="F608" s="34">
        <f t="shared" si="214"/>
        <v>0</v>
      </c>
      <c r="G608" s="10"/>
      <c r="H608" s="10"/>
      <c r="I608" s="10"/>
      <c r="J608" s="12">
        <f t="shared" si="205"/>
        <v>0</v>
      </c>
      <c r="L608" s="10">
        <v>27</v>
      </c>
      <c r="M608" s="32"/>
      <c r="N608" s="33"/>
      <c r="O608" s="51"/>
      <c r="P608" s="33"/>
      <c r="Q608" s="34">
        <f t="shared" si="206"/>
        <v>0</v>
      </c>
      <c r="R608" s="10"/>
      <c r="S608" s="10"/>
      <c r="T608" s="10"/>
      <c r="U608" s="12">
        <f t="shared" si="207"/>
        <v>0</v>
      </c>
      <c r="W608" s="10">
        <v>27</v>
      </c>
      <c r="X608" s="32"/>
      <c r="Y608" s="33"/>
      <c r="Z608" s="51"/>
      <c r="AA608" s="33"/>
      <c r="AB608" s="34">
        <f t="shared" si="215"/>
        <v>0</v>
      </c>
      <c r="AC608" s="10"/>
      <c r="AD608" s="10"/>
      <c r="AE608" s="10"/>
      <c r="AF608" s="12">
        <f t="shared" si="209"/>
        <v>0</v>
      </c>
    </row>
    <row r="609" spans="1:32" x14ac:dyDescent="0.25">
      <c r="A609" s="10">
        <v>28</v>
      </c>
      <c r="B609" s="32"/>
      <c r="C609" s="33"/>
      <c r="D609" s="34"/>
      <c r="E609" s="34"/>
      <c r="F609" s="34">
        <f t="shared" si="214"/>
        <v>0</v>
      </c>
      <c r="G609" s="10"/>
      <c r="H609" s="10"/>
      <c r="I609" s="10"/>
      <c r="J609" s="12">
        <f t="shared" si="205"/>
        <v>0</v>
      </c>
      <c r="L609" s="10">
        <v>28</v>
      </c>
      <c r="M609" s="32"/>
      <c r="O609" s="51"/>
      <c r="P609" s="33"/>
      <c r="Q609" s="34">
        <f t="shared" si="206"/>
        <v>0</v>
      </c>
      <c r="R609" s="10"/>
      <c r="S609" s="10"/>
      <c r="T609" s="10"/>
      <c r="U609" s="12">
        <f t="shared" si="207"/>
        <v>0</v>
      </c>
      <c r="W609" s="10">
        <v>28</v>
      </c>
      <c r="X609" s="32"/>
      <c r="Z609" s="51"/>
      <c r="AA609" s="33"/>
      <c r="AB609" s="34">
        <f t="shared" si="215"/>
        <v>0</v>
      </c>
      <c r="AC609" s="10"/>
      <c r="AD609" s="10"/>
      <c r="AE609" s="10"/>
      <c r="AF609" s="12">
        <f t="shared" si="209"/>
        <v>0</v>
      </c>
    </row>
    <row r="610" spans="1:32" x14ac:dyDescent="0.25">
      <c r="A610" s="10">
        <v>29</v>
      </c>
      <c r="B610" s="32"/>
      <c r="C610" s="33"/>
      <c r="D610" s="34"/>
      <c r="E610" s="34"/>
      <c r="F610" s="34">
        <f t="shared" si="214"/>
        <v>0</v>
      </c>
      <c r="G610" s="10"/>
      <c r="H610" s="10"/>
      <c r="I610" s="10"/>
      <c r="J610" s="12">
        <f t="shared" si="205"/>
        <v>0</v>
      </c>
      <c r="L610" s="10">
        <v>29</v>
      </c>
      <c r="M610" s="32"/>
      <c r="O610" s="51"/>
      <c r="P610" s="33"/>
      <c r="Q610" s="34">
        <f t="shared" si="206"/>
        <v>0</v>
      </c>
      <c r="R610" s="10"/>
      <c r="S610" s="10"/>
      <c r="T610" s="10"/>
      <c r="U610" s="12">
        <f t="shared" si="207"/>
        <v>0</v>
      </c>
      <c r="W610" s="10">
        <v>29</v>
      </c>
      <c r="X610" s="32"/>
      <c r="Y610" s="33"/>
      <c r="Z610" s="51"/>
      <c r="AA610" s="33"/>
      <c r="AB610" s="34">
        <f t="shared" si="215"/>
        <v>0</v>
      </c>
      <c r="AC610" s="10"/>
      <c r="AD610" s="10"/>
      <c r="AE610" s="10"/>
      <c r="AF610" s="12">
        <f t="shared" si="209"/>
        <v>0</v>
      </c>
    </row>
    <row r="611" spans="1:32" x14ac:dyDescent="0.25">
      <c r="A611" s="10">
        <v>30</v>
      </c>
      <c r="B611" s="32"/>
      <c r="C611" s="33"/>
      <c r="D611" s="34"/>
      <c r="E611" s="34"/>
      <c r="F611" s="34">
        <f t="shared" si="214"/>
        <v>0</v>
      </c>
      <c r="G611" s="10"/>
      <c r="H611" s="10"/>
      <c r="I611" s="10"/>
      <c r="J611" s="12">
        <f t="shared" si="205"/>
        <v>0</v>
      </c>
      <c r="L611" s="10">
        <v>30</v>
      </c>
      <c r="M611" s="32"/>
      <c r="N611" s="33"/>
      <c r="O611" s="51"/>
      <c r="P611" s="33"/>
      <c r="Q611" s="34">
        <f t="shared" si="206"/>
        <v>0</v>
      </c>
      <c r="R611" s="10"/>
      <c r="S611" s="10"/>
      <c r="T611" s="10"/>
      <c r="U611" s="12">
        <f t="shared" si="207"/>
        <v>0</v>
      </c>
      <c r="W611" s="10">
        <v>30</v>
      </c>
      <c r="X611" s="32"/>
      <c r="Y611" s="33"/>
      <c r="Z611" s="51"/>
      <c r="AA611" s="33"/>
      <c r="AB611" s="34">
        <f t="shared" si="215"/>
        <v>0</v>
      </c>
      <c r="AC611" s="10"/>
      <c r="AD611" s="10"/>
      <c r="AE611" s="10"/>
      <c r="AF611" s="12">
        <f t="shared" si="209"/>
        <v>0</v>
      </c>
    </row>
    <row r="612" spans="1:32" x14ac:dyDescent="0.25">
      <c r="A612" s="10">
        <v>31</v>
      </c>
      <c r="B612" s="32"/>
      <c r="C612" s="33"/>
      <c r="D612" s="34"/>
      <c r="E612" s="34"/>
      <c r="F612" s="34">
        <f t="shared" si="214"/>
        <v>0</v>
      </c>
      <c r="G612" s="10"/>
      <c r="H612" s="10"/>
      <c r="I612" s="10"/>
      <c r="J612" s="12">
        <f t="shared" si="205"/>
        <v>0</v>
      </c>
      <c r="L612" s="10">
        <v>31</v>
      </c>
      <c r="M612" s="32"/>
      <c r="N612" s="33"/>
      <c r="O612" s="51"/>
      <c r="P612" s="33"/>
      <c r="Q612" s="34">
        <f t="shared" si="206"/>
        <v>0</v>
      </c>
      <c r="R612" s="10"/>
      <c r="S612" s="10"/>
      <c r="T612" s="10"/>
      <c r="U612" s="12">
        <f t="shared" si="207"/>
        <v>0</v>
      </c>
      <c r="W612" s="10">
        <v>31</v>
      </c>
      <c r="X612" s="32"/>
      <c r="Z612" s="51"/>
      <c r="AA612" s="33"/>
      <c r="AB612" s="34">
        <f t="shared" si="215"/>
        <v>0</v>
      </c>
      <c r="AC612" s="10"/>
      <c r="AD612" s="10"/>
      <c r="AE612" s="10"/>
      <c r="AF612" s="12">
        <f t="shared" si="209"/>
        <v>0</v>
      </c>
    </row>
    <row r="613" spans="1:32" x14ac:dyDescent="0.25">
      <c r="A613" s="10">
        <v>32</v>
      </c>
      <c r="B613" s="32"/>
      <c r="C613" s="33"/>
      <c r="D613" s="34"/>
      <c r="E613" s="34"/>
      <c r="F613" s="34">
        <f t="shared" si="214"/>
        <v>0</v>
      </c>
      <c r="G613" s="10"/>
      <c r="H613" s="10"/>
      <c r="I613" s="10"/>
      <c r="J613" s="12">
        <f t="shared" si="205"/>
        <v>0</v>
      </c>
      <c r="L613" s="10">
        <v>32</v>
      </c>
      <c r="M613" s="32"/>
      <c r="N613" s="33"/>
      <c r="O613" s="51"/>
      <c r="P613" s="33"/>
      <c r="Q613" s="34">
        <f t="shared" si="206"/>
        <v>0</v>
      </c>
      <c r="R613" s="10"/>
      <c r="S613" s="10"/>
      <c r="T613" s="10"/>
      <c r="U613" s="12">
        <f t="shared" si="207"/>
        <v>0</v>
      </c>
      <c r="W613" s="10">
        <v>32</v>
      </c>
      <c r="X613" s="32"/>
      <c r="Y613" s="33"/>
      <c r="Z613" s="51"/>
      <c r="AA613" s="33"/>
      <c r="AB613" s="34">
        <f t="shared" si="215"/>
        <v>0</v>
      </c>
      <c r="AC613" s="10"/>
      <c r="AD613" s="10"/>
      <c r="AE613" s="10"/>
      <c r="AF613" s="12">
        <f t="shared" si="209"/>
        <v>0</v>
      </c>
    </row>
    <row r="614" spans="1:32" x14ac:dyDescent="0.25">
      <c r="A614" s="10">
        <v>33</v>
      </c>
      <c r="B614" s="32"/>
      <c r="C614" s="33"/>
      <c r="D614" s="34"/>
      <c r="E614" s="34"/>
      <c r="F614" s="34">
        <f t="shared" si="214"/>
        <v>0</v>
      </c>
      <c r="G614" s="10"/>
      <c r="H614" s="10"/>
      <c r="I614" s="10"/>
      <c r="J614" s="12">
        <f t="shared" si="205"/>
        <v>0</v>
      </c>
      <c r="L614" s="10">
        <v>33</v>
      </c>
      <c r="M614" s="32"/>
      <c r="N614" s="33"/>
      <c r="O614" s="51"/>
      <c r="P614" s="33"/>
      <c r="Q614" s="34">
        <f t="shared" si="206"/>
        <v>0</v>
      </c>
      <c r="R614" s="10"/>
      <c r="S614" s="10"/>
      <c r="T614" s="10"/>
      <c r="U614" s="12">
        <f t="shared" si="207"/>
        <v>0</v>
      </c>
      <c r="W614" s="10">
        <v>33</v>
      </c>
      <c r="X614" s="32"/>
      <c r="Y614" s="33"/>
      <c r="Z614" s="51"/>
      <c r="AA614" s="33"/>
      <c r="AB614" s="34">
        <f t="shared" si="215"/>
        <v>0</v>
      </c>
      <c r="AC614" s="10"/>
      <c r="AD614" s="10"/>
      <c r="AE614" s="10"/>
      <c r="AF614" s="12">
        <f t="shared" si="209"/>
        <v>0</v>
      </c>
    </row>
    <row r="615" spans="1:32" x14ac:dyDescent="0.25">
      <c r="A615" s="10"/>
      <c r="B615" s="32"/>
      <c r="C615" s="33"/>
      <c r="D615" s="34"/>
      <c r="E615" s="34"/>
      <c r="F615" s="34">
        <f t="shared" si="214"/>
        <v>0</v>
      </c>
      <c r="G615" s="10"/>
      <c r="H615" s="10"/>
      <c r="I615" s="10"/>
      <c r="J615" s="12">
        <f t="shared" si="205"/>
        <v>0</v>
      </c>
      <c r="L615" s="10">
        <v>34</v>
      </c>
      <c r="M615" s="32"/>
      <c r="N615" s="33"/>
      <c r="O615" s="51"/>
      <c r="P615" s="33"/>
      <c r="Q615" s="34">
        <f t="shared" ref="Q615:Q620" si="216">SUM(O615:P615)</f>
        <v>0</v>
      </c>
      <c r="R615" s="10"/>
      <c r="S615" s="10"/>
      <c r="T615" s="10"/>
      <c r="U615" s="12">
        <f t="shared" si="207"/>
        <v>0</v>
      </c>
      <c r="W615" s="10">
        <v>34</v>
      </c>
      <c r="X615" s="32"/>
      <c r="Y615" s="33"/>
      <c r="Z615" s="51"/>
      <c r="AA615" s="33"/>
      <c r="AB615" s="34">
        <f t="shared" ref="AB615:AB620" si="217">SUM(Z615:AA615)</f>
        <v>0</v>
      </c>
      <c r="AC615" s="10"/>
      <c r="AD615" s="10"/>
      <c r="AE615" s="10"/>
      <c r="AF615" s="12">
        <f t="shared" si="209"/>
        <v>0</v>
      </c>
    </row>
    <row r="616" spans="1:32" x14ac:dyDescent="0.25">
      <c r="A616" s="10"/>
      <c r="B616" s="32"/>
      <c r="C616" s="33"/>
      <c r="D616" s="34"/>
      <c r="E616" s="34"/>
      <c r="F616" s="34">
        <f t="shared" si="214"/>
        <v>0</v>
      </c>
      <c r="G616" s="10"/>
      <c r="H616" s="10"/>
      <c r="I616" s="10"/>
      <c r="J616" s="12">
        <f t="shared" si="205"/>
        <v>0</v>
      </c>
      <c r="L616" s="10">
        <v>35</v>
      </c>
      <c r="M616" s="32"/>
      <c r="O616" s="51"/>
      <c r="P616" s="33"/>
      <c r="Q616" s="34">
        <f t="shared" si="216"/>
        <v>0</v>
      </c>
      <c r="R616" s="10"/>
      <c r="S616" s="10"/>
      <c r="T616" s="10"/>
      <c r="U616" s="12">
        <f t="shared" si="207"/>
        <v>0</v>
      </c>
      <c r="W616" s="10">
        <v>35</v>
      </c>
      <c r="X616" s="32"/>
      <c r="Y616" s="33"/>
      <c r="Z616" s="51"/>
      <c r="AA616" s="33"/>
      <c r="AB616" s="34">
        <f t="shared" si="217"/>
        <v>0</v>
      </c>
      <c r="AC616" s="10"/>
      <c r="AD616" s="10"/>
      <c r="AE616" s="10"/>
      <c r="AF616" s="12">
        <f t="shared" si="209"/>
        <v>0</v>
      </c>
    </row>
    <row r="617" spans="1:32" x14ac:dyDescent="0.25">
      <c r="A617" s="10"/>
      <c r="B617" s="32"/>
      <c r="D617" s="34"/>
      <c r="E617" s="34"/>
      <c r="F617" s="34">
        <f t="shared" si="214"/>
        <v>0</v>
      </c>
      <c r="G617" s="10"/>
      <c r="H617" s="10"/>
      <c r="I617" s="10"/>
      <c r="J617" s="12">
        <f t="shared" si="205"/>
        <v>0</v>
      </c>
      <c r="L617" s="10">
        <v>36</v>
      </c>
      <c r="M617" s="32"/>
      <c r="N617" s="33"/>
      <c r="O617" s="51"/>
      <c r="P617" s="33"/>
      <c r="Q617" s="34">
        <f t="shared" si="216"/>
        <v>0</v>
      </c>
      <c r="R617" s="10"/>
      <c r="S617" s="10"/>
      <c r="T617" s="10"/>
      <c r="U617" s="12">
        <f t="shared" si="207"/>
        <v>0</v>
      </c>
      <c r="W617" s="10">
        <v>36</v>
      </c>
      <c r="X617" s="32"/>
      <c r="Y617" s="33"/>
      <c r="Z617" s="51"/>
      <c r="AA617" s="33"/>
      <c r="AB617" s="34">
        <f t="shared" si="217"/>
        <v>0</v>
      </c>
      <c r="AC617" s="10"/>
      <c r="AD617" s="10"/>
      <c r="AE617" s="10"/>
      <c r="AF617" s="12">
        <f t="shared" si="209"/>
        <v>0</v>
      </c>
    </row>
    <row r="618" spans="1:32" x14ac:dyDescent="0.25">
      <c r="A618" s="10"/>
      <c r="B618" s="32"/>
      <c r="C618" s="33"/>
      <c r="D618" s="34"/>
      <c r="E618" s="34"/>
      <c r="F618" s="34">
        <f t="shared" si="214"/>
        <v>0</v>
      </c>
      <c r="G618" s="10"/>
      <c r="H618" s="10"/>
      <c r="I618" s="10"/>
      <c r="J618" s="12">
        <f t="shared" si="205"/>
        <v>0</v>
      </c>
      <c r="L618" s="10">
        <v>37</v>
      </c>
      <c r="M618" s="32"/>
      <c r="N618" s="33"/>
      <c r="O618" s="51"/>
      <c r="P618" s="33"/>
      <c r="Q618" s="34">
        <f t="shared" si="216"/>
        <v>0</v>
      </c>
      <c r="R618" s="10"/>
      <c r="S618" s="10"/>
      <c r="T618" s="10"/>
      <c r="U618" s="12">
        <f t="shared" si="207"/>
        <v>0</v>
      </c>
      <c r="W618" s="10">
        <v>37</v>
      </c>
      <c r="X618" s="32"/>
      <c r="Y618" s="33"/>
      <c r="Z618" s="51"/>
      <c r="AA618" s="33"/>
      <c r="AB618" s="34">
        <f t="shared" si="217"/>
        <v>0</v>
      </c>
      <c r="AC618" s="10"/>
      <c r="AD618" s="10"/>
      <c r="AE618" s="10"/>
      <c r="AF618" s="12">
        <f t="shared" si="209"/>
        <v>0</v>
      </c>
    </row>
    <row r="619" spans="1:32" x14ac:dyDescent="0.25">
      <c r="A619" s="10"/>
      <c r="B619" s="32"/>
      <c r="C619" s="70"/>
      <c r="D619" s="34"/>
      <c r="E619" s="34"/>
      <c r="F619" s="34">
        <f t="shared" si="214"/>
        <v>0</v>
      </c>
      <c r="G619" s="10"/>
      <c r="H619" s="10"/>
      <c r="I619" s="10"/>
      <c r="J619" s="12">
        <f t="shared" si="205"/>
        <v>0</v>
      </c>
      <c r="L619" s="10">
        <v>38</v>
      </c>
      <c r="M619" s="32"/>
      <c r="N619" s="33"/>
      <c r="O619" s="51"/>
      <c r="P619" s="33"/>
      <c r="Q619" s="34">
        <f t="shared" si="216"/>
        <v>0</v>
      </c>
      <c r="R619" s="10"/>
      <c r="S619" s="10"/>
      <c r="T619" s="10"/>
      <c r="U619" s="12">
        <f t="shared" si="207"/>
        <v>0</v>
      </c>
      <c r="W619" s="10">
        <v>38</v>
      </c>
      <c r="X619" s="32"/>
      <c r="Y619" s="33"/>
      <c r="Z619" s="51"/>
      <c r="AA619" s="33"/>
      <c r="AB619" s="34">
        <f t="shared" si="217"/>
        <v>0</v>
      </c>
      <c r="AC619" s="10"/>
      <c r="AD619" s="10"/>
      <c r="AE619" s="10"/>
      <c r="AF619" s="12">
        <f t="shared" si="209"/>
        <v>0</v>
      </c>
    </row>
    <row r="620" spans="1:32" x14ac:dyDescent="0.25">
      <c r="A620" s="10"/>
      <c r="B620" s="32"/>
      <c r="C620" s="33"/>
      <c r="D620" s="34"/>
      <c r="E620" s="34"/>
      <c r="F620" s="34">
        <f t="shared" si="214"/>
        <v>0</v>
      </c>
      <c r="G620" s="10"/>
      <c r="H620" s="10"/>
      <c r="I620" s="10"/>
      <c r="J620" s="12">
        <f t="shared" si="205"/>
        <v>0</v>
      </c>
      <c r="L620" s="10">
        <v>39</v>
      </c>
      <c r="M620" s="32"/>
      <c r="N620" s="33"/>
      <c r="O620" s="51"/>
      <c r="P620" s="33"/>
      <c r="Q620" s="34">
        <f t="shared" si="216"/>
        <v>0</v>
      </c>
      <c r="R620" s="10"/>
      <c r="S620" s="10"/>
      <c r="T620" s="10"/>
      <c r="U620" s="12">
        <f t="shared" si="207"/>
        <v>0</v>
      </c>
      <c r="W620" s="10">
        <v>39</v>
      </c>
      <c r="X620" s="32"/>
      <c r="Y620" s="33"/>
      <c r="Z620" s="51"/>
      <c r="AA620" s="33"/>
      <c r="AB620" s="34">
        <f t="shared" si="217"/>
        <v>0</v>
      </c>
      <c r="AC620" s="10"/>
      <c r="AD620" s="10"/>
      <c r="AE620" s="10"/>
      <c r="AF620" s="12">
        <f t="shared" si="209"/>
        <v>0</v>
      </c>
    </row>
    <row r="621" spans="1:32" x14ac:dyDescent="0.25">
      <c r="A621" s="10"/>
      <c r="B621" s="32"/>
      <c r="C621" s="33"/>
      <c r="D621" s="34"/>
      <c r="E621" s="34"/>
      <c r="F621" s="34">
        <f t="shared" si="214"/>
        <v>0</v>
      </c>
      <c r="G621" s="10"/>
      <c r="H621" s="10"/>
      <c r="I621" s="10"/>
      <c r="J621" s="12">
        <f t="shared" si="205"/>
        <v>0</v>
      </c>
      <c r="L621" s="10"/>
      <c r="M621" s="32"/>
      <c r="O621" s="51"/>
      <c r="P621" s="33"/>
      <c r="Q621" s="34"/>
      <c r="R621" s="10"/>
      <c r="S621" s="10"/>
      <c r="T621" s="10"/>
      <c r="U621" s="12">
        <f t="shared" si="207"/>
        <v>0</v>
      </c>
      <c r="W621" s="10"/>
      <c r="X621" s="32"/>
      <c r="Z621" s="51"/>
      <c r="AA621" s="33"/>
      <c r="AB621" s="34"/>
      <c r="AC621" s="10"/>
      <c r="AD621" s="10"/>
      <c r="AE621" s="10"/>
      <c r="AF621" s="12">
        <f t="shared" si="209"/>
        <v>0</v>
      </c>
    </row>
    <row r="622" spans="1:32" x14ac:dyDescent="0.25">
      <c r="A622" s="10"/>
      <c r="B622" s="32"/>
      <c r="C622" s="70"/>
      <c r="D622" s="34"/>
      <c r="E622" s="34"/>
      <c r="F622" s="34">
        <f t="shared" ref="F622" si="218">SUM(D622:E622)</f>
        <v>0</v>
      </c>
      <c r="G622" s="10"/>
      <c r="H622" s="10"/>
      <c r="I622" s="10"/>
      <c r="J622" s="12">
        <f t="shared" ref="J622" si="219">SUM(F622:I622)</f>
        <v>0</v>
      </c>
      <c r="L622" s="10"/>
      <c r="M622" s="32"/>
      <c r="N622" s="33"/>
      <c r="O622" s="51"/>
      <c r="P622" s="33"/>
      <c r="Q622" s="34">
        <f t="shared" ref="Q622" si="220">SUM(O622:P622)</f>
        <v>0</v>
      </c>
      <c r="R622" s="10"/>
      <c r="S622" s="10"/>
      <c r="T622" s="10"/>
      <c r="U622" s="12">
        <f t="shared" si="207"/>
        <v>0</v>
      </c>
      <c r="W622" s="10"/>
      <c r="X622" s="32"/>
      <c r="Y622" s="33"/>
      <c r="Z622" s="51"/>
      <c r="AA622" s="33"/>
      <c r="AB622" s="34">
        <f t="shared" ref="AB622" si="221">SUM(Z622:AA622)</f>
        <v>0</v>
      </c>
      <c r="AC622" s="10"/>
      <c r="AD622" s="10"/>
      <c r="AE622" s="10"/>
      <c r="AF622" s="12">
        <f t="shared" si="209"/>
        <v>0</v>
      </c>
    </row>
    <row r="623" spans="1:32" x14ac:dyDescent="0.25">
      <c r="A623" s="10"/>
      <c r="B623" s="32"/>
      <c r="C623" s="32"/>
      <c r="D623" s="34"/>
      <c r="E623" s="34"/>
      <c r="F623" s="34"/>
      <c r="G623" s="10"/>
      <c r="H623" s="10"/>
      <c r="I623" s="10"/>
      <c r="J623" s="12"/>
      <c r="L623" s="10"/>
      <c r="M623" s="33"/>
      <c r="N623" s="33"/>
      <c r="O623" s="33"/>
      <c r="P623" s="33"/>
      <c r="Q623" s="33"/>
      <c r="R623" s="10"/>
      <c r="S623" s="10"/>
      <c r="T623" s="10"/>
      <c r="U623" s="12">
        <f t="shared" si="207"/>
        <v>0</v>
      </c>
      <c r="W623" s="10"/>
      <c r="X623" s="33"/>
      <c r="Y623" s="33"/>
      <c r="Z623" s="33"/>
      <c r="AA623" s="33"/>
      <c r="AB623" s="33"/>
      <c r="AC623" s="10"/>
      <c r="AD623" s="10"/>
      <c r="AE623" s="10"/>
      <c r="AF623" s="12">
        <f t="shared" si="209"/>
        <v>0</v>
      </c>
    </row>
    <row r="624" spans="1:32" x14ac:dyDescent="0.25">
      <c r="B624" s="70"/>
      <c r="C624" s="70"/>
      <c r="D624" s="38"/>
      <c r="E624" s="38"/>
      <c r="F624" s="38"/>
      <c r="G624" s="39"/>
      <c r="H624" s="39"/>
      <c r="I624" s="39"/>
      <c r="J624" s="39"/>
      <c r="M624" s="70"/>
      <c r="N624" s="70"/>
      <c r="O624" s="38"/>
      <c r="P624" s="38"/>
      <c r="Q624" s="38"/>
      <c r="R624" s="39"/>
      <c r="S624" s="39"/>
      <c r="T624" s="39"/>
      <c r="U624" s="39"/>
      <c r="X624" s="70"/>
      <c r="Y624" s="70"/>
      <c r="Z624" s="38"/>
      <c r="AA624" s="38"/>
      <c r="AB624" s="38"/>
      <c r="AC624" s="39"/>
      <c r="AD624" s="39"/>
      <c r="AE624" s="39"/>
      <c r="AF624" s="39"/>
    </row>
    <row r="625" spans="1:32" x14ac:dyDescent="0.25">
      <c r="B625" s="70"/>
      <c r="C625" s="70"/>
      <c r="D625" s="40">
        <f>SUM(D582:D624)</f>
        <v>223426</v>
      </c>
      <c r="E625" s="40">
        <f t="shared" ref="E625" si="222">SUM(E582:E622)</f>
        <v>-1863</v>
      </c>
      <c r="F625" s="40">
        <f>SUM(F582:F624)</f>
        <v>221563</v>
      </c>
      <c r="G625" s="4"/>
      <c r="H625" s="41">
        <f>SUM(H582:H624)</f>
        <v>1097.5999999999999</v>
      </c>
      <c r="I625" s="41">
        <f>SUM(I582:I624)</f>
        <v>-11507.5</v>
      </c>
      <c r="J625" s="42">
        <f>SUM(J582:J624)</f>
        <v>211153.1</v>
      </c>
      <c r="M625" s="70"/>
      <c r="N625" s="70"/>
      <c r="O625" s="40">
        <f>SUM(O582:O624)</f>
        <v>323411.5</v>
      </c>
      <c r="P625" s="40">
        <f>SUM(P582:P606)</f>
        <v>-4050</v>
      </c>
      <c r="Q625" s="40">
        <f>SUM(Q582:Q624)</f>
        <v>319361.5</v>
      </c>
      <c r="R625" s="4"/>
      <c r="S625" s="43">
        <f>SUM(S582:S624)</f>
        <v>1234.5</v>
      </c>
      <c r="T625" s="43">
        <f>SUM(T582:T606)</f>
        <v>-10188</v>
      </c>
      <c r="U625" s="44">
        <f>SUM(U582:U624)</f>
        <v>310408</v>
      </c>
      <c r="X625" s="70"/>
      <c r="Y625" s="70"/>
      <c r="Z625" s="40">
        <f>SUM(Z582:Z624)</f>
        <v>411860</v>
      </c>
      <c r="AA625" s="40">
        <f>SUM(AA582:AA606)</f>
        <v>-5615</v>
      </c>
      <c r="AB625" s="40">
        <f>SUM(AB582:AB624)</f>
        <v>406245</v>
      </c>
      <c r="AC625" s="4"/>
      <c r="AD625" s="43">
        <f>SUM(AD582:AD624)</f>
        <v>7962</v>
      </c>
      <c r="AE625" s="43">
        <f>SUM(AE582:AE606)</f>
        <v>0</v>
      </c>
      <c r="AF625" s="44">
        <f>SUM(AF582:AF624)</f>
        <v>414207</v>
      </c>
    </row>
    <row r="626" spans="1:32" x14ac:dyDescent="0.25">
      <c r="B626" s="70"/>
      <c r="C626" s="70"/>
      <c r="D626" s="70"/>
      <c r="E626" s="70"/>
      <c r="F626" s="70"/>
      <c r="M626" s="70"/>
      <c r="N626" s="70"/>
      <c r="O626" s="45"/>
      <c r="P626" s="70"/>
      <c r="Q626" s="70"/>
      <c r="X626" s="70"/>
      <c r="Y626" s="70"/>
      <c r="Z626" s="45"/>
      <c r="AA626" s="70"/>
      <c r="AB626" s="70"/>
    </row>
    <row r="627" spans="1:32" x14ac:dyDescent="0.25">
      <c r="B627" s="70"/>
      <c r="C627" s="70"/>
      <c r="D627" s="70"/>
      <c r="E627" s="70"/>
      <c r="F627" s="70"/>
      <c r="M627" s="70"/>
      <c r="N627" s="70"/>
      <c r="O627" s="70"/>
      <c r="P627" s="70"/>
      <c r="Q627" s="70"/>
      <c r="X627" s="70"/>
      <c r="Y627" s="70"/>
      <c r="Z627" s="70"/>
      <c r="AA627" s="70"/>
      <c r="AB627" s="70"/>
    </row>
    <row r="628" spans="1:32" x14ac:dyDescent="0.25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</row>
    <row r="629" spans="1:32" x14ac:dyDescent="0.25">
      <c r="A629" t="s">
        <v>0</v>
      </c>
      <c r="B629" s="70"/>
      <c r="C629" s="70"/>
      <c r="D629" s="70"/>
      <c r="E629" s="70"/>
      <c r="F629" s="70"/>
      <c r="L629" t="s">
        <v>0</v>
      </c>
      <c r="M629" s="70"/>
      <c r="N629" s="70"/>
      <c r="O629" s="70"/>
      <c r="P629" s="70"/>
      <c r="Q629" s="70"/>
      <c r="W629" t="s">
        <v>0</v>
      </c>
      <c r="X629" s="70"/>
      <c r="Y629" s="70"/>
      <c r="Z629" s="70"/>
      <c r="AA629" s="70"/>
      <c r="AB629" s="70"/>
    </row>
    <row r="630" spans="1:32" x14ac:dyDescent="0.25">
      <c r="A630" t="s">
        <v>30</v>
      </c>
      <c r="B630" s="70"/>
      <c r="C630" s="70"/>
      <c r="D630" s="70"/>
      <c r="E630" s="70"/>
      <c r="F630" s="70"/>
      <c r="L630" t="s">
        <v>30</v>
      </c>
      <c r="M630" s="70"/>
      <c r="N630" s="70"/>
      <c r="O630" s="70"/>
      <c r="P630" s="70"/>
      <c r="Q630" s="70"/>
      <c r="W630" t="s">
        <v>30</v>
      </c>
      <c r="X630" s="70"/>
      <c r="Y630" s="70"/>
      <c r="Z630" s="70"/>
      <c r="AA630" s="70"/>
      <c r="AB630" s="70"/>
    </row>
    <row r="631" spans="1:32" x14ac:dyDescent="0.25">
      <c r="B631" s="70"/>
      <c r="C631" s="70"/>
      <c r="D631" s="70"/>
      <c r="E631" s="70"/>
      <c r="F631" s="70"/>
      <c r="M631" s="70"/>
      <c r="N631" s="70"/>
      <c r="O631" s="70"/>
      <c r="P631" s="70"/>
      <c r="Q631" s="70"/>
      <c r="X631" s="70"/>
      <c r="Y631" s="70"/>
      <c r="Z631" s="70"/>
      <c r="AA631" s="70"/>
      <c r="AB631" s="70"/>
    </row>
    <row r="632" spans="1:32" x14ac:dyDescent="0.25">
      <c r="A632" s="4" t="s">
        <v>15</v>
      </c>
      <c r="B632" s="70"/>
      <c r="C632" s="70"/>
      <c r="D632" s="70"/>
      <c r="E632" s="70"/>
      <c r="F632" s="70"/>
      <c r="L632" s="4" t="s">
        <v>15</v>
      </c>
      <c r="M632" s="70"/>
      <c r="N632" s="70"/>
      <c r="O632" s="70"/>
      <c r="P632" s="70"/>
      <c r="Q632" s="70"/>
      <c r="W632" s="4" t="s">
        <v>15</v>
      </c>
      <c r="X632" s="70"/>
      <c r="Y632" s="70"/>
      <c r="Z632" s="70"/>
      <c r="AA632" s="70"/>
      <c r="AB632" s="70"/>
    </row>
    <row r="633" spans="1:32" x14ac:dyDescent="0.25">
      <c r="B633" s="70"/>
      <c r="C633" s="70"/>
      <c r="D633" s="70"/>
      <c r="E633" s="70"/>
      <c r="F633" s="70"/>
      <c r="M633" s="70"/>
      <c r="N633" s="70"/>
      <c r="O633" s="70"/>
      <c r="P633" s="70"/>
      <c r="Q633" s="70"/>
      <c r="X633" s="70"/>
      <c r="Y633" s="70"/>
      <c r="Z633" s="70"/>
      <c r="AA633" s="70"/>
      <c r="AB633" s="70"/>
    </row>
    <row r="634" spans="1:32" ht="15.75" x14ac:dyDescent="0.25">
      <c r="A634" t="s">
        <v>36</v>
      </c>
      <c r="B634" s="70"/>
      <c r="C634" s="70"/>
      <c r="D634" s="70"/>
      <c r="E634" s="70"/>
      <c r="F634" s="70"/>
      <c r="H634" s="70" t="s">
        <v>16</v>
      </c>
      <c r="I634" s="19">
        <v>1</v>
      </c>
      <c r="L634" t="s">
        <v>36</v>
      </c>
      <c r="M634" s="70"/>
      <c r="N634" s="70"/>
      <c r="O634" s="70"/>
      <c r="P634" s="70"/>
      <c r="Q634" s="70"/>
      <c r="S634" s="70" t="s">
        <v>16</v>
      </c>
      <c r="T634" s="19">
        <v>2</v>
      </c>
      <c r="W634" t="s">
        <v>36</v>
      </c>
      <c r="X634" s="70"/>
      <c r="Y634" s="70"/>
      <c r="Z634" s="70"/>
      <c r="AA634" s="70"/>
      <c r="AB634" s="70"/>
      <c r="AD634" s="70" t="s">
        <v>16</v>
      </c>
      <c r="AE634" s="20">
        <v>3</v>
      </c>
    </row>
    <row r="635" spans="1:32" x14ac:dyDescent="0.25">
      <c r="A635" s="21" t="s">
        <v>70</v>
      </c>
      <c r="B635" s="20"/>
      <c r="C635" s="70"/>
      <c r="D635" s="70"/>
      <c r="E635" s="70"/>
      <c r="F635" s="70"/>
      <c r="H635" s="22" t="s">
        <v>17</v>
      </c>
      <c r="I635" s="23" t="s">
        <v>46</v>
      </c>
      <c r="J635" s="24"/>
      <c r="L635" s="21" t="s">
        <v>70</v>
      </c>
      <c r="M635" s="20"/>
      <c r="N635" s="70"/>
      <c r="O635" s="70"/>
      <c r="P635" s="70"/>
      <c r="Q635" s="70"/>
      <c r="S635" s="22" t="s">
        <v>17</v>
      </c>
      <c r="T635" s="23" t="s">
        <v>34</v>
      </c>
      <c r="U635" s="24"/>
      <c r="W635" s="21" t="s">
        <v>70</v>
      </c>
      <c r="X635" s="20"/>
      <c r="Y635" s="70"/>
      <c r="Z635" s="70"/>
      <c r="AA635" s="70"/>
      <c r="AB635" s="70"/>
      <c r="AD635" s="22" t="s">
        <v>17</v>
      </c>
      <c r="AE635" s="23" t="s">
        <v>47</v>
      </c>
      <c r="AF635" s="24"/>
    </row>
    <row r="636" spans="1:32" x14ac:dyDescent="0.25">
      <c r="B636" s="70"/>
      <c r="C636" s="70"/>
      <c r="D636" s="70"/>
      <c r="E636" s="70"/>
      <c r="F636" s="70"/>
      <c r="M636" s="70"/>
      <c r="N636" s="70"/>
      <c r="O636" s="70"/>
      <c r="P636" s="70"/>
      <c r="Q636" s="70"/>
      <c r="X636" s="70"/>
      <c r="Y636" s="70"/>
      <c r="Z636" s="70"/>
      <c r="AA636" s="70"/>
      <c r="AB636" s="70"/>
    </row>
    <row r="637" spans="1:32" x14ac:dyDescent="0.25">
      <c r="B637" s="25"/>
      <c r="C637" s="26"/>
      <c r="D637" s="79" t="s">
        <v>18</v>
      </c>
      <c r="E637" s="79"/>
      <c r="F637" s="27"/>
      <c r="H637" s="77" t="s">
        <v>19</v>
      </c>
      <c r="I637" s="78"/>
      <c r="J637" s="75" t="s">
        <v>20</v>
      </c>
      <c r="M637" s="25"/>
      <c r="N637" s="26"/>
      <c r="O637" s="79" t="s">
        <v>18</v>
      </c>
      <c r="P637" s="79"/>
      <c r="Q637" s="27"/>
      <c r="S637" s="77" t="s">
        <v>19</v>
      </c>
      <c r="T637" s="78"/>
      <c r="U637" s="75" t="s">
        <v>20</v>
      </c>
      <c r="X637" s="25"/>
      <c r="Y637" s="26"/>
      <c r="Z637" s="79" t="s">
        <v>18</v>
      </c>
      <c r="AA637" s="79"/>
      <c r="AB637" s="27"/>
      <c r="AD637" s="77" t="s">
        <v>19</v>
      </c>
      <c r="AE637" s="78"/>
      <c r="AF637" s="75" t="s">
        <v>20</v>
      </c>
    </row>
    <row r="638" spans="1:32" ht="30" x14ac:dyDescent="0.25">
      <c r="B638" s="28" t="s">
        <v>21</v>
      </c>
      <c r="C638" s="28" t="s">
        <v>22</v>
      </c>
      <c r="D638" s="29" t="s">
        <v>23</v>
      </c>
      <c r="E638" s="30" t="s">
        <v>24</v>
      </c>
      <c r="F638" s="30" t="s">
        <v>25</v>
      </c>
      <c r="H638" s="31" t="s">
        <v>26</v>
      </c>
      <c r="I638" s="31" t="s">
        <v>27</v>
      </c>
      <c r="J638" s="76"/>
      <c r="M638" s="28" t="s">
        <v>21</v>
      </c>
      <c r="N638" s="28" t="s">
        <v>22</v>
      </c>
      <c r="O638" s="29" t="s">
        <v>23</v>
      </c>
      <c r="P638" s="30" t="s">
        <v>24</v>
      </c>
      <c r="Q638" s="30" t="s">
        <v>25</v>
      </c>
      <c r="S638" s="31" t="s">
        <v>26</v>
      </c>
      <c r="T638" s="31" t="s">
        <v>27</v>
      </c>
      <c r="U638" s="76"/>
      <c r="X638" s="28" t="s">
        <v>21</v>
      </c>
      <c r="Y638" s="28" t="s">
        <v>22</v>
      </c>
      <c r="Z638" s="29" t="s">
        <v>23</v>
      </c>
      <c r="AA638" s="30" t="s">
        <v>24</v>
      </c>
      <c r="AB638" s="30" t="s">
        <v>25</v>
      </c>
      <c r="AD638" s="31" t="s">
        <v>26</v>
      </c>
      <c r="AE638" s="31" t="s">
        <v>27</v>
      </c>
      <c r="AF638" s="76"/>
    </row>
    <row r="639" spans="1:32" x14ac:dyDescent="0.25">
      <c r="A639" s="10">
        <v>1</v>
      </c>
      <c r="B639" s="32">
        <v>45672</v>
      </c>
      <c r="C639" s="33">
        <v>7551</v>
      </c>
      <c r="D639" s="34">
        <f>4382+614+596+68</f>
        <v>5660</v>
      </c>
      <c r="E639" s="34"/>
      <c r="F639" s="34">
        <f t="shared" ref="F639:F644" si="223">SUM(D639:E639)</f>
        <v>5660</v>
      </c>
      <c r="G639" s="12"/>
      <c r="H639" s="12"/>
      <c r="I639" s="12"/>
      <c r="J639" s="12">
        <f t="shared" ref="J639:J678" si="224">SUM(F639:I639)</f>
        <v>5660</v>
      </c>
      <c r="L639" s="10">
        <v>1</v>
      </c>
      <c r="M639" s="32">
        <v>45672</v>
      </c>
      <c r="N639" s="33">
        <v>7601</v>
      </c>
      <c r="O639" s="34">
        <f>626*120+596*30+1025</f>
        <v>94025</v>
      </c>
      <c r="P639" s="34">
        <v>-1240</v>
      </c>
      <c r="Q639" s="34">
        <f>SUM(O639:P639)</f>
        <v>92785</v>
      </c>
      <c r="R639" s="12"/>
      <c r="S639" s="12">
        <v>180</v>
      </c>
      <c r="T639" s="12"/>
      <c r="U639" s="12">
        <f>SUM(Q639:T639)</f>
        <v>92965</v>
      </c>
      <c r="W639" s="10">
        <v>1</v>
      </c>
      <c r="X639" s="32">
        <v>45672</v>
      </c>
      <c r="Y639" s="33">
        <v>7117</v>
      </c>
      <c r="Z639" s="34">
        <f>626*20+596*80+205*4</f>
        <v>61020</v>
      </c>
      <c r="AA639" s="34">
        <v>-800</v>
      </c>
      <c r="AB639" s="34">
        <f>SUM(Z639:AA639)</f>
        <v>60220</v>
      </c>
      <c r="AC639" s="12"/>
      <c r="AD639" s="12"/>
      <c r="AE639" s="12">
        <v>-8880</v>
      </c>
      <c r="AF639" s="12">
        <f>SUM(AB639:AE639)</f>
        <v>51340</v>
      </c>
    </row>
    <row r="640" spans="1:32" x14ac:dyDescent="0.25">
      <c r="A640" s="10">
        <v>2</v>
      </c>
      <c r="B640" s="32">
        <v>45672</v>
      </c>
      <c r="C640" s="33">
        <f>C639+1</f>
        <v>7552</v>
      </c>
      <c r="D640" s="34">
        <f>626*11+93.5</f>
        <v>6979.5</v>
      </c>
      <c r="E640" s="34"/>
      <c r="F640" s="34">
        <f t="shared" si="223"/>
        <v>6979.5</v>
      </c>
      <c r="G640" s="12"/>
      <c r="H640" s="12"/>
      <c r="I640" s="12"/>
      <c r="J640" s="12">
        <f t="shared" si="224"/>
        <v>6979.5</v>
      </c>
      <c r="L640" s="10">
        <v>2</v>
      </c>
      <c r="M640" s="32">
        <v>45672</v>
      </c>
      <c r="N640" s="33">
        <f>N639+1</f>
        <v>7602</v>
      </c>
      <c r="O640" s="34">
        <f>626*3+25.5</f>
        <v>1903.5</v>
      </c>
      <c r="P640" s="34"/>
      <c r="Q640" s="34">
        <f t="shared" ref="Q640:Q671" si="225">SUM(O640:P640)</f>
        <v>1903.5</v>
      </c>
      <c r="R640" s="12"/>
      <c r="S640" s="12">
        <v>18</v>
      </c>
      <c r="T640" s="12"/>
      <c r="U640" s="12">
        <f t="shared" ref="U640:U680" si="226">SUM(Q640:T640)</f>
        <v>1921.5</v>
      </c>
      <c r="W640" s="10">
        <v>2</v>
      </c>
      <c r="X640" s="32">
        <v>45672</v>
      </c>
      <c r="Y640" s="33">
        <f>Y639+1</f>
        <v>7118</v>
      </c>
      <c r="Z640" s="34">
        <f>626*5+614+596+51</f>
        <v>4391</v>
      </c>
      <c r="AA640" s="34"/>
      <c r="AB640" s="34">
        <f t="shared" ref="AB640:AB642" si="227">SUM(Z640:AA640)</f>
        <v>4391</v>
      </c>
      <c r="AC640" s="12"/>
      <c r="AD640" s="12">
        <v>36</v>
      </c>
      <c r="AE640" s="12"/>
      <c r="AF640" s="12">
        <f t="shared" ref="AF640:AF680" si="228">SUM(AB640:AE640)</f>
        <v>4427</v>
      </c>
    </row>
    <row r="641" spans="1:32" x14ac:dyDescent="0.25">
      <c r="A641" s="10">
        <v>3</v>
      </c>
      <c r="B641" s="32">
        <v>45672</v>
      </c>
      <c r="C641" s="33">
        <f t="shared" ref="C641:C670" si="229">C640+1</f>
        <v>7553</v>
      </c>
      <c r="D641" s="35">
        <f>5008+1192+85</f>
        <v>6285</v>
      </c>
      <c r="E641" s="35"/>
      <c r="F641" s="35">
        <f t="shared" si="223"/>
        <v>6285</v>
      </c>
      <c r="G641" s="36"/>
      <c r="H641" s="36"/>
      <c r="I641" s="36"/>
      <c r="J641" s="36">
        <f t="shared" si="224"/>
        <v>6285</v>
      </c>
      <c r="L641" s="10">
        <v>3</v>
      </c>
      <c r="M641" s="32">
        <v>45672</v>
      </c>
      <c r="N641" s="33">
        <f t="shared" ref="N641:N645" si="230">N640+1</f>
        <v>7603</v>
      </c>
      <c r="O641" s="34">
        <f>626*10+85</f>
        <v>6345</v>
      </c>
      <c r="P641" s="34"/>
      <c r="Q641" s="34">
        <f t="shared" si="225"/>
        <v>6345</v>
      </c>
      <c r="R641" s="12"/>
      <c r="S641" s="12">
        <v>13.5</v>
      </c>
      <c r="T641" s="12"/>
      <c r="U641" s="12">
        <f t="shared" si="226"/>
        <v>6358.5</v>
      </c>
      <c r="W641" s="10">
        <v>3</v>
      </c>
      <c r="X641" s="32">
        <v>45672</v>
      </c>
      <c r="Y641" s="33">
        <f t="shared" ref="Y641:Y648" si="231">Y640+1</f>
        <v>7119</v>
      </c>
      <c r="Z641" s="34">
        <f>3756+1228+596*2+68</f>
        <v>6244</v>
      </c>
      <c r="AA641" s="34"/>
      <c r="AB641" s="34">
        <f t="shared" si="227"/>
        <v>6244</v>
      </c>
      <c r="AC641" s="12"/>
      <c r="AD641" s="12">
        <v>22.5</v>
      </c>
      <c r="AE641" s="12"/>
      <c r="AF641" s="12">
        <f t="shared" si="228"/>
        <v>6266.5</v>
      </c>
    </row>
    <row r="642" spans="1:32" x14ac:dyDescent="0.25">
      <c r="A642" s="10">
        <v>4</v>
      </c>
      <c r="B642" s="32">
        <v>45672</v>
      </c>
      <c r="C642" s="33">
        <f t="shared" si="229"/>
        <v>7554</v>
      </c>
      <c r="D642" s="34">
        <f>3756+51</f>
        <v>3807</v>
      </c>
      <c r="E642" s="34"/>
      <c r="F642" s="34">
        <f t="shared" si="223"/>
        <v>3807</v>
      </c>
      <c r="G642" s="12"/>
      <c r="H642" s="12">
        <v>111</v>
      </c>
      <c r="I642" s="12"/>
      <c r="J642" s="12">
        <f t="shared" si="224"/>
        <v>3918</v>
      </c>
      <c r="L642" s="10">
        <v>4</v>
      </c>
      <c r="M642" s="32">
        <v>45672</v>
      </c>
      <c r="N642" s="33">
        <f t="shared" si="230"/>
        <v>7604</v>
      </c>
      <c r="O642" s="34">
        <f>626*11+93.5+674*5</f>
        <v>10349.5</v>
      </c>
      <c r="P642" s="34"/>
      <c r="Q642" s="34">
        <f t="shared" si="225"/>
        <v>10349.5</v>
      </c>
      <c r="R642" s="12"/>
      <c r="S642" s="12"/>
      <c r="T642" s="12">
        <v>-1110</v>
      </c>
      <c r="U642" s="12">
        <f t="shared" si="226"/>
        <v>9239.5</v>
      </c>
      <c r="W642" s="10">
        <v>4</v>
      </c>
      <c r="X642" s="32">
        <v>45672</v>
      </c>
      <c r="Y642" s="33">
        <f t="shared" si="231"/>
        <v>7120</v>
      </c>
      <c r="Z642" s="34">
        <f>626*25+205</f>
        <v>15855</v>
      </c>
      <c r="AA642" s="34"/>
      <c r="AB642" s="34">
        <f t="shared" si="227"/>
        <v>15855</v>
      </c>
      <c r="AC642" s="12"/>
      <c r="AD642">
        <v>333</v>
      </c>
      <c r="AE642" s="12"/>
      <c r="AF642" s="12">
        <f t="shared" si="228"/>
        <v>16188</v>
      </c>
    </row>
    <row r="643" spans="1:32" x14ac:dyDescent="0.25">
      <c r="A643" s="10">
        <v>5</v>
      </c>
      <c r="B643" s="32">
        <v>45672</v>
      </c>
      <c r="C643" s="33">
        <f t="shared" si="229"/>
        <v>7555</v>
      </c>
      <c r="D643" s="34">
        <f>626+596+17</f>
        <v>1239</v>
      </c>
      <c r="E643" s="34"/>
      <c r="F643" s="34">
        <f t="shared" si="223"/>
        <v>1239</v>
      </c>
      <c r="G643" s="12"/>
      <c r="H643" s="12"/>
      <c r="I643" s="12"/>
      <c r="J643" s="12">
        <f t="shared" si="224"/>
        <v>1239</v>
      </c>
      <c r="L643" s="10">
        <v>5</v>
      </c>
      <c r="M643" s="32">
        <v>45672</v>
      </c>
      <c r="N643" s="33">
        <f t="shared" si="230"/>
        <v>7605</v>
      </c>
      <c r="O643" s="34">
        <f>626*3+25.5</f>
        <v>1903.5</v>
      </c>
      <c r="P643" s="34"/>
      <c r="Q643" s="34">
        <f t="shared" si="225"/>
        <v>1903.5</v>
      </c>
      <c r="R643" s="12"/>
      <c r="S643" s="12"/>
      <c r="T643" s="12"/>
      <c r="U643" s="12">
        <f t="shared" si="226"/>
        <v>1903.5</v>
      </c>
      <c r="W643" s="10">
        <v>5</v>
      </c>
      <c r="X643" s="32">
        <v>45672</v>
      </c>
      <c r="Y643" s="33">
        <f t="shared" si="231"/>
        <v>7121</v>
      </c>
      <c r="Z643" s="34">
        <f>626*11+614+93.5+674*2</f>
        <v>8941.5</v>
      </c>
      <c r="AA643" s="34"/>
      <c r="AB643" s="34">
        <f t="shared" ref="AB643:AB648" si="232">SUM(Z643:AA643)</f>
        <v>8941.5</v>
      </c>
      <c r="AC643" s="12"/>
      <c r="AD643" s="12">
        <v>222</v>
      </c>
      <c r="AE643" s="12"/>
      <c r="AF643" s="12">
        <f t="shared" si="228"/>
        <v>9163.5</v>
      </c>
    </row>
    <row r="644" spans="1:32" x14ac:dyDescent="0.25">
      <c r="A644" s="10">
        <v>6</v>
      </c>
      <c r="B644" s="32">
        <v>45672</v>
      </c>
      <c r="C644" s="33">
        <f t="shared" si="229"/>
        <v>7556</v>
      </c>
      <c r="D644" s="70">
        <f>626+596+17</f>
        <v>1239</v>
      </c>
      <c r="E644" s="34"/>
      <c r="F644" s="34">
        <f t="shared" si="223"/>
        <v>1239</v>
      </c>
      <c r="G644" s="12"/>
      <c r="H644">
        <v>2</v>
      </c>
      <c r="I644" s="12"/>
      <c r="J644" s="12">
        <f t="shared" si="224"/>
        <v>1241</v>
      </c>
      <c r="L644" s="10">
        <v>6</v>
      </c>
      <c r="M644" s="32">
        <v>45672</v>
      </c>
      <c r="N644" s="33">
        <f t="shared" si="230"/>
        <v>7606</v>
      </c>
      <c r="O644" s="34">
        <f>626*250+614*5+205*11+650</f>
        <v>162475</v>
      </c>
      <c r="P644" s="34">
        <v>-2394</v>
      </c>
      <c r="Q644" s="34">
        <f t="shared" si="225"/>
        <v>160081</v>
      </c>
      <c r="R644" s="12"/>
      <c r="S644" s="12"/>
      <c r="T644" s="10">
        <v>-18372</v>
      </c>
      <c r="U644" s="12">
        <f t="shared" si="226"/>
        <v>141709</v>
      </c>
      <c r="W644" s="10">
        <v>6</v>
      </c>
      <c r="X644" s="32">
        <v>45672</v>
      </c>
      <c r="Y644" s="33">
        <f t="shared" si="231"/>
        <v>7122</v>
      </c>
      <c r="Z644" s="34">
        <f>626*80+596*20+820</f>
        <v>62820</v>
      </c>
      <c r="AA644" s="34">
        <v>-800</v>
      </c>
      <c r="AB644" s="34">
        <f t="shared" si="232"/>
        <v>62020</v>
      </c>
      <c r="AC644" s="12"/>
      <c r="AD644" s="12">
        <v>78</v>
      </c>
      <c r="AE644" s="10"/>
      <c r="AF644" s="12">
        <f t="shared" si="228"/>
        <v>62098</v>
      </c>
    </row>
    <row r="645" spans="1:32" x14ac:dyDescent="0.25">
      <c r="A645" s="10">
        <v>7</v>
      </c>
      <c r="B645" s="32">
        <v>45672</v>
      </c>
      <c r="C645" s="33">
        <f t="shared" si="229"/>
        <v>7557</v>
      </c>
      <c r="D645" s="34">
        <f>626+9</f>
        <v>635</v>
      </c>
      <c r="E645" s="34"/>
      <c r="F645" s="34">
        <f>SUM(D645:E645)</f>
        <v>635</v>
      </c>
      <c r="G645" s="12"/>
      <c r="H645" s="12">
        <v>6</v>
      </c>
      <c r="I645" s="12"/>
      <c r="J645" s="12">
        <f t="shared" si="224"/>
        <v>641</v>
      </c>
      <c r="L645" s="10">
        <v>7</v>
      </c>
      <c r="M645" s="32">
        <v>45672</v>
      </c>
      <c r="N645" s="33">
        <f t="shared" si="230"/>
        <v>7607</v>
      </c>
      <c r="O645" s="34">
        <f>626*3+614*2+25.5</f>
        <v>3131.5</v>
      </c>
      <c r="P645" s="34"/>
      <c r="Q645" s="34">
        <f t="shared" si="225"/>
        <v>3131.5</v>
      </c>
      <c r="R645" s="12"/>
      <c r="S645" s="12"/>
      <c r="T645" s="12"/>
      <c r="U645" s="12">
        <f t="shared" si="226"/>
        <v>3131.5</v>
      </c>
      <c r="W645" s="10">
        <v>7</v>
      </c>
      <c r="X645" s="32">
        <v>45672</v>
      </c>
      <c r="Y645" s="33">
        <f t="shared" si="231"/>
        <v>7123</v>
      </c>
      <c r="Z645" s="34">
        <f>626*90+205*2</f>
        <v>56750</v>
      </c>
      <c r="AA645" s="34">
        <v>-736</v>
      </c>
      <c r="AB645" s="34">
        <f t="shared" si="232"/>
        <v>56014</v>
      </c>
      <c r="AC645" s="12"/>
      <c r="AD645" s="66">
        <v>3330</v>
      </c>
      <c r="AE645" s="12"/>
      <c r="AF645" s="12">
        <f t="shared" si="228"/>
        <v>59344</v>
      </c>
    </row>
    <row r="646" spans="1:32" x14ac:dyDescent="0.25">
      <c r="A646" s="10">
        <v>8</v>
      </c>
      <c r="B646" s="32">
        <v>45672</v>
      </c>
      <c r="C646" s="33">
        <f t="shared" si="229"/>
        <v>7558</v>
      </c>
      <c r="D646" s="34">
        <f>1252+17</f>
        <v>1269</v>
      </c>
      <c r="E646" s="34"/>
      <c r="F646" s="34">
        <f t="shared" ref="F646:F678" si="233">SUM(D646:E646)</f>
        <v>1269</v>
      </c>
      <c r="G646" s="12"/>
      <c r="H646" s="12"/>
      <c r="I646" s="12"/>
      <c r="J646" s="12">
        <f t="shared" si="224"/>
        <v>1269</v>
      </c>
      <c r="L646" s="10">
        <v>8</v>
      </c>
      <c r="M646" s="32"/>
      <c r="N646" s="11" t="s">
        <v>28</v>
      </c>
      <c r="O646" s="34"/>
      <c r="P646" s="34"/>
      <c r="Q646" s="34">
        <f t="shared" si="225"/>
        <v>0</v>
      </c>
      <c r="R646" s="12"/>
      <c r="S646" s="12"/>
      <c r="T646" s="12"/>
      <c r="U646" s="12">
        <f t="shared" si="226"/>
        <v>0</v>
      </c>
      <c r="W646" s="10">
        <v>8</v>
      </c>
      <c r="X646" s="32">
        <v>45672</v>
      </c>
      <c r="Y646" s="33">
        <f t="shared" si="231"/>
        <v>7124</v>
      </c>
      <c r="Z646" s="34">
        <f>626*50+205</f>
        <v>31505</v>
      </c>
      <c r="AB646" s="34">
        <f t="shared" si="232"/>
        <v>31505</v>
      </c>
      <c r="AC646" s="12"/>
      <c r="AD646" s="12"/>
      <c r="AE646" s="12"/>
      <c r="AF646" s="12">
        <f t="shared" si="228"/>
        <v>31505</v>
      </c>
    </row>
    <row r="647" spans="1:32" x14ac:dyDescent="0.25">
      <c r="A647" s="10">
        <v>9</v>
      </c>
      <c r="B647" s="32">
        <v>45672</v>
      </c>
      <c r="C647" s="33">
        <f t="shared" si="229"/>
        <v>7559</v>
      </c>
      <c r="D647" s="34">
        <f>626+596+17</f>
        <v>1239</v>
      </c>
      <c r="E647" s="34"/>
      <c r="F647" s="34">
        <f t="shared" si="233"/>
        <v>1239</v>
      </c>
      <c r="G647" s="12"/>
      <c r="H647" s="12"/>
      <c r="I647" s="12"/>
      <c r="J647" s="12">
        <f t="shared" si="224"/>
        <v>1239</v>
      </c>
      <c r="L647" s="10">
        <v>9</v>
      </c>
      <c r="M647" s="32"/>
      <c r="N647" s="33"/>
      <c r="O647" s="34"/>
      <c r="P647" s="34"/>
      <c r="Q647" s="34">
        <f t="shared" si="225"/>
        <v>0</v>
      </c>
      <c r="R647" s="12"/>
      <c r="S647" s="12"/>
      <c r="T647" s="12"/>
      <c r="U647" s="12">
        <f t="shared" si="226"/>
        <v>0</v>
      </c>
      <c r="W647" s="10">
        <v>9</v>
      </c>
      <c r="X647" s="32">
        <v>45672</v>
      </c>
      <c r="Y647" s="33">
        <f t="shared" si="231"/>
        <v>7125</v>
      </c>
      <c r="Z647">
        <f>5008+2980+110.5</f>
        <v>8098.5</v>
      </c>
      <c r="AA647" s="34"/>
      <c r="AB647" s="34">
        <f t="shared" si="232"/>
        <v>8098.5</v>
      </c>
      <c r="AC647" s="12"/>
      <c r="AD647" s="66">
        <v>-750</v>
      </c>
      <c r="AE647" s="12"/>
      <c r="AF647" s="12">
        <f t="shared" si="228"/>
        <v>7348.5</v>
      </c>
    </row>
    <row r="648" spans="1:32" x14ac:dyDescent="0.25">
      <c r="A648" s="10">
        <v>10</v>
      </c>
      <c r="B648" s="32">
        <v>45672</v>
      </c>
      <c r="C648" s="33">
        <f t="shared" si="229"/>
        <v>7560</v>
      </c>
      <c r="D648" s="34">
        <f>1252+17</f>
        <v>1269</v>
      </c>
      <c r="E648" s="34"/>
      <c r="F648" s="34">
        <f t="shared" si="233"/>
        <v>1269</v>
      </c>
      <c r="G648" s="12"/>
      <c r="H648" s="12"/>
      <c r="I648" s="12"/>
      <c r="J648" s="12">
        <f t="shared" si="224"/>
        <v>1269</v>
      </c>
      <c r="L648" s="10">
        <v>10</v>
      </c>
      <c r="M648" s="32"/>
      <c r="N648" s="33"/>
      <c r="O648" s="34"/>
      <c r="P648" s="34"/>
      <c r="Q648" s="34">
        <f t="shared" si="225"/>
        <v>0</v>
      </c>
      <c r="R648" s="12"/>
      <c r="S648" s="12"/>
      <c r="T648" s="12"/>
      <c r="U648" s="12">
        <f t="shared" si="226"/>
        <v>0</v>
      </c>
      <c r="W648" s="10">
        <v>10</v>
      </c>
      <c r="X648" s="32">
        <v>45672</v>
      </c>
      <c r="Y648" s="33">
        <f t="shared" si="231"/>
        <v>7126</v>
      </c>
      <c r="Z648" s="34">
        <f>626*6+51</f>
        <v>3807</v>
      </c>
      <c r="AA648" s="34"/>
      <c r="AB648" s="34">
        <f t="shared" si="232"/>
        <v>3807</v>
      </c>
      <c r="AC648" s="12"/>
      <c r="AD648" s="12"/>
      <c r="AE648" s="12"/>
      <c r="AF648" s="12">
        <f t="shared" si="228"/>
        <v>3807</v>
      </c>
    </row>
    <row r="649" spans="1:32" x14ac:dyDescent="0.25">
      <c r="A649" s="10">
        <v>11</v>
      </c>
      <c r="B649" s="32">
        <v>45672</v>
      </c>
      <c r="C649" s="33">
        <f t="shared" si="229"/>
        <v>7561</v>
      </c>
      <c r="D649" s="34">
        <f>626+8.5</f>
        <v>634.5</v>
      </c>
      <c r="E649" s="34"/>
      <c r="F649" s="34">
        <f t="shared" si="233"/>
        <v>634.5</v>
      </c>
      <c r="G649" s="12"/>
      <c r="H649" s="12"/>
      <c r="I649" s="12"/>
      <c r="J649" s="12">
        <f t="shared" si="224"/>
        <v>634.5</v>
      </c>
      <c r="L649" s="10">
        <v>11</v>
      </c>
      <c r="M649" s="32"/>
      <c r="N649" s="33"/>
      <c r="O649" s="34"/>
      <c r="P649" s="34"/>
      <c r="Q649" s="34">
        <f t="shared" si="225"/>
        <v>0</v>
      </c>
      <c r="R649" s="12"/>
      <c r="S649" s="12"/>
      <c r="T649" s="12"/>
      <c r="U649" s="12">
        <f t="shared" si="226"/>
        <v>0</v>
      </c>
      <c r="W649" s="10">
        <v>11</v>
      </c>
      <c r="X649" s="32"/>
      <c r="Y649" s="11" t="s">
        <v>28</v>
      </c>
      <c r="Z649" s="34"/>
      <c r="AA649" s="34"/>
      <c r="AB649" s="34">
        <f t="shared" ref="AB649:AB671" si="234">SUM(Z649:AA649)</f>
        <v>0</v>
      </c>
      <c r="AC649" s="12"/>
      <c r="AD649" s="12"/>
      <c r="AE649" s="12"/>
      <c r="AF649" s="12">
        <f t="shared" si="228"/>
        <v>0</v>
      </c>
    </row>
    <row r="650" spans="1:32" x14ac:dyDescent="0.25">
      <c r="A650" s="10">
        <v>12</v>
      </c>
      <c r="B650" s="32">
        <v>45672</v>
      </c>
      <c r="C650" s="33">
        <f t="shared" si="229"/>
        <v>7562</v>
      </c>
      <c r="D650" s="34">
        <f>4382+596+68</f>
        <v>5046</v>
      </c>
      <c r="E650" s="34"/>
      <c r="F650" s="34">
        <f t="shared" si="233"/>
        <v>5046</v>
      </c>
      <c r="G650" s="12"/>
      <c r="H650" s="12"/>
      <c r="I650" s="10"/>
      <c r="J650" s="12">
        <f t="shared" si="224"/>
        <v>5046</v>
      </c>
      <c r="L650" s="10">
        <v>12</v>
      </c>
      <c r="M650" s="32"/>
      <c r="N650" s="33"/>
      <c r="O650" s="34"/>
      <c r="P650" s="34"/>
      <c r="Q650" s="34">
        <f t="shared" si="225"/>
        <v>0</v>
      </c>
      <c r="R650" s="12"/>
      <c r="S650" s="12"/>
      <c r="T650" s="12"/>
      <c r="U650" s="12">
        <f t="shared" si="226"/>
        <v>0</v>
      </c>
      <c r="W650" s="10">
        <v>12</v>
      </c>
      <c r="X650" s="32"/>
      <c r="Y650" s="33"/>
      <c r="Z650" s="34"/>
      <c r="AA650" s="34"/>
      <c r="AB650" s="34">
        <f t="shared" si="234"/>
        <v>0</v>
      </c>
      <c r="AC650" s="12"/>
      <c r="AD650" s="12"/>
      <c r="AE650" s="12"/>
      <c r="AF650" s="12">
        <f t="shared" si="228"/>
        <v>0</v>
      </c>
    </row>
    <row r="651" spans="1:32" x14ac:dyDescent="0.25">
      <c r="A651" s="10">
        <v>13</v>
      </c>
      <c r="B651" s="32">
        <v>45672</v>
      </c>
      <c r="C651" s="33">
        <f t="shared" si="229"/>
        <v>7563</v>
      </c>
      <c r="D651" s="34">
        <f>1252+17</f>
        <v>1269</v>
      </c>
      <c r="E651" s="34"/>
      <c r="F651" s="34">
        <f t="shared" si="233"/>
        <v>1269</v>
      </c>
      <c r="G651" s="12"/>
      <c r="H651" s="12"/>
      <c r="I651" s="12"/>
      <c r="J651" s="12">
        <f t="shared" si="224"/>
        <v>1269</v>
      </c>
      <c r="L651" s="10">
        <v>13</v>
      </c>
      <c r="M651" s="32"/>
      <c r="N651" s="33"/>
      <c r="O651" s="34"/>
      <c r="P651" s="34"/>
      <c r="Q651" s="34">
        <f t="shared" si="225"/>
        <v>0</v>
      </c>
      <c r="R651" s="12"/>
      <c r="S651" s="12"/>
      <c r="T651" s="12"/>
      <c r="U651" s="12">
        <f t="shared" si="226"/>
        <v>0</v>
      </c>
      <c r="W651" s="10">
        <v>13</v>
      </c>
      <c r="X651" s="32"/>
      <c r="Y651" s="33"/>
      <c r="Z651" s="34"/>
      <c r="AA651" s="34"/>
      <c r="AB651" s="34">
        <f t="shared" si="234"/>
        <v>0</v>
      </c>
      <c r="AC651" s="12"/>
      <c r="AD651" s="12"/>
      <c r="AE651" s="12"/>
      <c r="AF651" s="12">
        <f t="shared" si="228"/>
        <v>0</v>
      </c>
    </row>
    <row r="652" spans="1:32" x14ac:dyDescent="0.25">
      <c r="A652" s="10">
        <v>14</v>
      </c>
      <c r="B652" s="32">
        <v>45672</v>
      </c>
      <c r="C652" s="33">
        <f t="shared" si="229"/>
        <v>7564</v>
      </c>
      <c r="D652" s="34">
        <f>626*27+205+25.5</f>
        <v>17132.5</v>
      </c>
      <c r="E652" s="34"/>
      <c r="F652" s="34">
        <f t="shared" si="233"/>
        <v>17132.5</v>
      </c>
      <c r="G652" s="12"/>
      <c r="H652" s="12"/>
      <c r="I652" s="12"/>
      <c r="J652" s="12">
        <f t="shared" si="224"/>
        <v>17132.5</v>
      </c>
      <c r="L652" s="10">
        <v>14</v>
      </c>
      <c r="M652" s="32"/>
      <c r="N652" s="33"/>
      <c r="O652" s="34"/>
      <c r="P652" s="34"/>
      <c r="Q652" s="34">
        <f t="shared" si="225"/>
        <v>0</v>
      </c>
      <c r="R652" s="12"/>
      <c r="S652" s="12"/>
      <c r="T652" s="12"/>
      <c r="U652" s="12">
        <f t="shared" si="226"/>
        <v>0</v>
      </c>
      <c r="W652" s="10">
        <v>14</v>
      </c>
      <c r="X652" s="32"/>
      <c r="Y652" s="33"/>
      <c r="AA652" s="34"/>
      <c r="AB652" s="34">
        <f t="shared" si="234"/>
        <v>0</v>
      </c>
      <c r="AC652" s="12"/>
      <c r="AD652" s="12"/>
      <c r="AE652" s="12"/>
      <c r="AF652" s="12">
        <f t="shared" si="228"/>
        <v>0</v>
      </c>
    </row>
    <row r="653" spans="1:32" x14ac:dyDescent="0.25">
      <c r="A653" s="10">
        <v>15</v>
      </c>
      <c r="B653" s="32">
        <v>45672</v>
      </c>
      <c r="C653" s="33">
        <f t="shared" si="229"/>
        <v>7565</v>
      </c>
      <c r="D653" s="34">
        <f>626*13+596*3+136</f>
        <v>10062</v>
      </c>
      <c r="E653" s="34"/>
      <c r="F653" s="34">
        <f t="shared" si="233"/>
        <v>10062</v>
      </c>
      <c r="G653" s="12"/>
      <c r="H653" s="12"/>
      <c r="I653" s="12">
        <v>-111</v>
      </c>
      <c r="J653" s="12">
        <f t="shared" si="224"/>
        <v>9951</v>
      </c>
      <c r="L653" s="10">
        <v>15</v>
      </c>
      <c r="M653" s="32"/>
      <c r="O653" s="34"/>
      <c r="P653" s="34"/>
      <c r="Q653" s="34">
        <f t="shared" si="225"/>
        <v>0</v>
      </c>
      <c r="R653" s="12"/>
      <c r="S653" s="12"/>
      <c r="T653" s="12"/>
      <c r="U653" s="12">
        <f t="shared" si="226"/>
        <v>0</v>
      </c>
      <c r="W653" s="10">
        <v>15</v>
      </c>
      <c r="X653" s="32"/>
      <c r="Y653" s="33"/>
      <c r="Z653" s="34"/>
      <c r="AA653" s="34"/>
      <c r="AB653" s="34">
        <f t="shared" si="234"/>
        <v>0</v>
      </c>
      <c r="AC653" s="12"/>
      <c r="AD653" s="12"/>
      <c r="AE653" s="12"/>
      <c r="AF653" s="12">
        <f t="shared" si="228"/>
        <v>0</v>
      </c>
    </row>
    <row r="654" spans="1:32" x14ac:dyDescent="0.25">
      <c r="A654" s="10">
        <v>16</v>
      </c>
      <c r="B654" s="32">
        <v>45672</v>
      </c>
      <c r="C654" s="33">
        <f t="shared" si="229"/>
        <v>7566</v>
      </c>
      <c r="D654" s="34">
        <f>626*49+596*5+410+51+674*2</f>
        <v>35463</v>
      </c>
      <c r="E654" s="34"/>
      <c r="F654" s="34">
        <f t="shared" si="233"/>
        <v>35463</v>
      </c>
      <c r="G654" s="12"/>
      <c r="H654" s="12"/>
      <c r="I654" s="12">
        <v>-66</v>
      </c>
      <c r="J654" s="12">
        <f t="shared" si="224"/>
        <v>35397</v>
      </c>
      <c r="L654" s="10">
        <v>16</v>
      </c>
      <c r="M654" s="32"/>
      <c r="N654" s="33"/>
      <c r="O654" s="34"/>
      <c r="P654" s="34"/>
      <c r="Q654" s="34">
        <f t="shared" si="225"/>
        <v>0</v>
      </c>
      <c r="R654" s="12"/>
      <c r="S654" s="12"/>
      <c r="T654" s="12"/>
      <c r="U654" s="12">
        <f t="shared" si="226"/>
        <v>0</v>
      </c>
      <c r="W654" s="10">
        <v>16</v>
      </c>
      <c r="X654" s="32"/>
      <c r="Y654" s="33"/>
      <c r="Z654" s="34"/>
      <c r="AA654" s="34"/>
      <c r="AB654" s="34">
        <f t="shared" si="234"/>
        <v>0</v>
      </c>
      <c r="AC654" s="12"/>
      <c r="AD654" s="12"/>
      <c r="AE654" s="12"/>
      <c r="AF654" s="12">
        <f t="shared" si="228"/>
        <v>0</v>
      </c>
    </row>
    <row r="655" spans="1:32" x14ac:dyDescent="0.25">
      <c r="A655" s="10">
        <v>17</v>
      </c>
      <c r="B655" s="32">
        <v>45672</v>
      </c>
      <c r="C655" s="33">
        <f t="shared" si="229"/>
        <v>7567</v>
      </c>
      <c r="D655" s="34">
        <f>626*3+25.5</f>
        <v>1903.5</v>
      </c>
      <c r="E655" s="34"/>
      <c r="F655" s="34">
        <f t="shared" si="233"/>
        <v>1903.5</v>
      </c>
      <c r="G655" s="12"/>
      <c r="H655" s="12">
        <v>1.5</v>
      </c>
      <c r="I655" s="12"/>
      <c r="J655" s="12">
        <f t="shared" si="224"/>
        <v>1905</v>
      </c>
      <c r="L655" s="10">
        <v>17</v>
      </c>
      <c r="M655" s="32"/>
      <c r="N655" s="33"/>
      <c r="O655" s="37"/>
      <c r="P655" s="34"/>
      <c r="Q655" s="34">
        <f t="shared" si="225"/>
        <v>0</v>
      </c>
      <c r="R655" s="12"/>
      <c r="S655" s="12"/>
      <c r="T655" s="12"/>
      <c r="U655" s="12">
        <f t="shared" si="226"/>
        <v>0</v>
      </c>
      <c r="W655" s="10">
        <v>17</v>
      </c>
      <c r="X655" s="32"/>
      <c r="Y655" s="33"/>
      <c r="Z655" s="37"/>
      <c r="AA655" s="34"/>
      <c r="AB655" s="34">
        <f t="shared" si="234"/>
        <v>0</v>
      </c>
      <c r="AC655" s="12"/>
      <c r="AD655" s="12"/>
      <c r="AE655" s="12"/>
      <c r="AF655" s="12">
        <f t="shared" si="228"/>
        <v>0</v>
      </c>
    </row>
    <row r="656" spans="1:32" x14ac:dyDescent="0.25">
      <c r="A656" s="10">
        <v>18</v>
      </c>
      <c r="B656" s="32">
        <v>45672</v>
      </c>
      <c r="C656" s="33">
        <f t="shared" si="229"/>
        <v>7568</v>
      </c>
      <c r="D656" s="34">
        <f>626*5+1192+59.5+674</f>
        <v>5055.5</v>
      </c>
      <c r="E656" s="34"/>
      <c r="F656" s="34">
        <f t="shared" si="233"/>
        <v>5055.5</v>
      </c>
      <c r="G656" s="12"/>
      <c r="H656" s="12"/>
      <c r="I656" s="12">
        <v>-1.5</v>
      </c>
      <c r="J656" s="12">
        <f t="shared" si="224"/>
        <v>5054</v>
      </c>
      <c r="L656" s="10">
        <v>18</v>
      </c>
      <c r="M656" s="32"/>
      <c r="N656" s="33"/>
      <c r="O656" s="34"/>
      <c r="P656" s="34"/>
      <c r="Q656" s="34">
        <f t="shared" si="225"/>
        <v>0</v>
      </c>
      <c r="R656" s="12"/>
      <c r="S656" s="12"/>
      <c r="T656" s="12"/>
      <c r="U656" s="12">
        <f t="shared" si="226"/>
        <v>0</v>
      </c>
      <c r="W656" s="10">
        <v>18</v>
      </c>
      <c r="X656" s="32"/>
      <c r="Y656" s="33"/>
      <c r="Z656" s="34"/>
      <c r="AA656" s="34"/>
      <c r="AB656" s="34">
        <f t="shared" si="234"/>
        <v>0</v>
      </c>
      <c r="AC656" s="12"/>
      <c r="AD656" s="12"/>
      <c r="AE656" s="12"/>
      <c r="AF656" s="12">
        <f t="shared" si="228"/>
        <v>0</v>
      </c>
    </row>
    <row r="657" spans="1:32" x14ac:dyDescent="0.25">
      <c r="A657" s="10">
        <v>19</v>
      </c>
      <c r="B657" s="32">
        <v>45672</v>
      </c>
      <c r="C657" s="33">
        <f t="shared" si="229"/>
        <v>7569</v>
      </c>
      <c r="D657" s="34">
        <f>626*5+626+42.5+8.5</f>
        <v>3807</v>
      </c>
      <c r="E657" s="34"/>
      <c r="F657" s="34">
        <f t="shared" si="233"/>
        <v>3807</v>
      </c>
      <c r="G657" s="12"/>
      <c r="H657" s="12">
        <v>14</v>
      </c>
      <c r="I657" s="12"/>
      <c r="J657" s="12">
        <f t="shared" si="224"/>
        <v>3821</v>
      </c>
      <c r="L657" s="10">
        <v>19</v>
      </c>
      <c r="M657" s="32"/>
      <c r="N657" s="33"/>
      <c r="O657" s="34"/>
      <c r="P657" s="34"/>
      <c r="Q657" s="34">
        <f t="shared" si="225"/>
        <v>0</v>
      </c>
      <c r="R657" s="12"/>
      <c r="S657" s="12"/>
      <c r="T657" s="12"/>
      <c r="U657" s="12">
        <f t="shared" si="226"/>
        <v>0</v>
      </c>
      <c r="W657" s="10">
        <v>19</v>
      </c>
      <c r="X657" s="32"/>
      <c r="Y657" s="33"/>
      <c r="Z657" s="34"/>
      <c r="AA657" s="34"/>
      <c r="AB657" s="34">
        <f t="shared" si="234"/>
        <v>0</v>
      </c>
      <c r="AC657" s="12"/>
      <c r="AD657" s="12"/>
      <c r="AE657" s="12"/>
      <c r="AF657" s="12">
        <f t="shared" si="228"/>
        <v>0</v>
      </c>
    </row>
    <row r="658" spans="1:32" x14ac:dyDescent="0.25">
      <c r="A658" s="10">
        <v>20</v>
      </c>
      <c r="B658" s="32">
        <v>45672</v>
      </c>
      <c r="C658" s="33">
        <f t="shared" si="229"/>
        <v>7570</v>
      </c>
      <c r="D658" s="34">
        <f>626*100+820+34+3370</f>
        <v>66824</v>
      </c>
      <c r="E658" s="34"/>
      <c r="F658" s="34">
        <f t="shared" si="233"/>
        <v>66824</v>
      </c>
      <c r="G658" s="12"/>
      <c r="H658" s="12"/>
      <c r="I658" s="12">
        <v>-1665</v>
      </c>
      <c r="J658" s="12">
        <f t="shared" si="224"/>
        <v>65159</v>
      </c>
      <c r="L658" s="10">
        <v>20</v>
      </c>
      <c r="M658" s="32"/>
      <c r="N658" s="33"/>
      <c r="O658" s="34"/>
      <c r="P658" s="34"/>
      <c r="Q658" s="34">
        <f t="shared" si="225"/>
        <v>0</v>
      </c>
      <c r="R658" s="12"/>
      <c r="S658" s="12"/>
      <c r="T658" s="12"/>
      <c r="U658" s="12">
        <f t="shared" si="226"/>
        <v>0</v>
      </c>
      <c r="W658" s="10">
        <v>20</v>
      </c>
      <c r="X658" s="32"/>
      <c r="Y658" s="33"/>
      <c r="Z658" s="34"/>
      <c r="AA658" s="34"/>
      <c r="AB658" s="34">
        <f t="shared" si="234"/>
        <v>0</v>
      </c>
      <c r="AC658" s="12"/>
      <c r="AD658" s="12"/>
      <c r="AE658" s="12"/>
      <c r="AF658" s="12">
        <f t="shared" si="228"/>
        <v>0</v>
      </c>
    </row>
    <row r="659" spans="1:32" x14ac:dyDescent="0.25">
      <c r="A659" s="10">
        <v>21</v>
      </c>
      <c r="B659" s="32">
        <v>45672</v>
      </c>
      <c r="C659" s="33">
        <f t="shared" si="229"/>
        <v>7571</v>
      </c>
      <c r="D659" s="34">
        <f>626*18+596*2+170</f>
        <v>12630</v>
      </c>
      <c r="E659" s="34"/>
      <c r="F659" s="34">
        <f t="shared" si="233"/>
        <v>12630</v>
      </c>
      <c r="G659" s="10"/>
      <c r="H659" s="10">
        <v>21</v>
      </c>
      <c r="I659" s="10"/>
      <c r="J659" s="12">
        <f t="shared" si="224"/>
        <v>12651</v>
      </c>
      <c r="L659" s="10">
        <v>21</v>
      </c>
      <c r="M659" s="32"/>
      <c r="N659" s="33"/>
      <c r="O659" s="50"/>
      <c r="P659" s="33"/>
      <c r="Q659" s="34">
        <f t="shared" si="225"/>
        <v>0</v>
      </c>
      <c r="R659" s="10"/>
      <c r="S659" s="10"/>
      <c r="T659" s="10"/>
      <c r="U659" s="12">
        <f t="shared" si="226"/>
        <v>0</v>
      </c>
      <c r="W659" s="10">
        <v>21</v>
      </c>
      <c r="X659" s="32"/>
      <c r="Z659" s="50"/>
      <c r="AA659" s="33"/>
      <c r="AB659" s="34">
        <f t="shared" si="234"/>
        <v>0</v>
      </c>
      <c r="AC659" s="10"/>
      <c r="AD659" s="10"/>
      <c r="AE659" s="10"/>
      <c r="AF659" s="12">
        <f t="shared" si="228"/>
        <v>0</v>
      </c>
    </row>
    <row r="660" spans="1:32" x14ac:dyDescent="0.25">
      <c r="A660" s="10">
        <v>22</v>
      </c>
      <c r="B660" s="32">
        <v>45672</v>
      </c>
      <c r="C660" s="33">
        <f t="shared" si="229"/>
        <v>7572</v>
      </c>
      <c r="D660" s="34">
        <f>626*5+42.5</f>
        <v>3172.5</v>
      </c>
      <c r="E660" s="34"/>
      <c r="F660" s="34">
        <f t="shared" si="233"/>
        <v>3172.5</v>
      </c>
      <c r="G660" s="10"/>
      <c r="H660" s="10">
        <v>4.5</v>
      </c>
      <c r="I660" s="10"/>
      <c r="J660" s="12">
        <f t="shared" si="224"/>
        <v>3177</v>
      </c>
      <c r="L660" s="10">
        <v>22</v>
      </c>
      <c r="M660" s="32"/>
      <c r="N660" s="33"/>
      <c r="O660" s="49"/>
      <c r="P660" s="33"/>
      <c r="Q660" s="34">
        <f t="shared" si="225"/>
        <v>0</v>
      </c>
      <c r="R660" s="10"/>
      <c r="S660" s="10"/>
      <c r="T660" s="10"/>
      <c r="U660" s="12">
        <f t="shared" si="226"/>
        <v>0</v>
      </c>
      <c r="W660" s="10">
        <v>22</v>
      </c>
      <c r="X660" s="32"/>
      <c r="Y660" s="33"/>
      <c r="Z660" s="49"/>
      <c r="AA660" s="33"/>
      <c r="AB660" s="34">
        <f t="shared" si="234"/>
        <v>0</v>
      </c>
      <c r="AC660" s="10"/>
      <c r="AD660" s="10"/>
      <c r="AE660" s="10"/>
      <c r="AF660" s="12">
        <f t="shared" si="228"/>
        <v>0</v>
      </c>
    </row>
    <row r="661" spans="1:32" x14ac:dyDescent="0.25">
      <c r="A661" s="10">
        <v>23</v>
      </c>
      <c r="B661" s="32">
        <v>45672</v>
      </c>
      <c r="C661" s="33">
        <f t="shared" si="229"/>
        <v>7573</v>
      </c>
      <c r="D661" s="34">
        <f>5634+1788+500+674</f>
        <v>8596</v>
      </c>
      <c r="E661" s="34"/>
      <c r="F661" s="34">
        <f t="shared" si="233"/>
        <v>8596</v>
      </c>
      <c r="G661" s="10"/>
      <c r="H661" s="10">
        <v>9</v>
      </c>
      <c r="I661" s="12"/>
      <c r="J661" s="12">
        <f t="shared" si="224"/>
        <v>8605</v>
      </c>
      <c r="L661" s="10">
        <v>23</v>
      </c>
      <c r="M661" s="32"/>
      <c r="N661" s="33"/>
      <c r="O661" s="51"/>
      <c r="Q661" s="34">
        <f t="shared" si="225"/>
        <v>0</v>
      </c>
      <c r="R661" s="10"/>
      <c r="S661" s="10"/>
      <c r="T661" s="10"/>
      <c r="U661" s="12">
        <f t="shared" si="226"/>
        <v>0</v>
      </c>
      <c r="W661" s="10">
        <v>23</v>
      </c>
      <c r="X661" s="32"/>
      <c r="Y661" s="33"/>
      <c r="Z661" s="51"/>
      <c r="AB661" s="34">
        <f t="shared" si="234"/>
        <v>0</v>
      </c>
      <c r="AC661" s="10"/>
      <c r="AD661" s="10"/>
      <c r="AE661" s="10"/>
      <c r="AF661" s="12">
        <f t="shared" si="228"/>
        <v>0</v>
      </c>
    </row>
    <row r="662" spans="1:32" x14ac:dyDescent="0.25">
      <c r="A662" s="10">
        <v>24</v>
      </c>
      <c r="B662" s="32">
        <v>45672</v>
      </c>
      <c r="C662" s="33">
        <f t="shared" si="229"/>
        <v>7574</v>
      </c>
      <c r="D662" s="34">
        <f>626*30+596*6+205*2</f>
        <v>22766</v>
      </c>
      <c r="E662" s="34"/>
      <c r="F662" s="34">
        <f t="shared" si="233"/>
        <v>22766</v>
      </c>
      <c r="G662" s="10"/>
      <c r="H662" s="10"/>
      <c r="I662" s="10"/>
      <c r="J662" s="12">
        <f t="shared" si="224"/>
        <v>22766</v>
      </c>
      <c r="L662" s="10">
        <v>24</v>
      </c>
      <c r="M662" s="32"/>
      <c r="N662" s="33"/>
      <c r="O662" s="51"/>
      <c r="P662" s="33"/>
      <c r="Q662" s="34">
        <f t="shared" si="225"/>
        <v>0</v>
      </c>
      <c r="R662" s="10"/>
      <c r="S662" s="10"/>
      <c r="T662" s="10"/>
      <c r="U662" s="12">
        <f t="shared" si="226"/>
        <v>0</v>
      </c>
      <c r="W662" s="10">
        <v>24</v>
      </c>
      <c r="X662" s="32"/>
      <c r="Y662" s="33"/>
      <c r="Z662" s="51"/>
      <c r="AA662" s="33"/>
      <c r="AB662" s="34">
        <f t="shared" si="234"/>
        <v>0</v>
      </c>
      <c r="AC662" s="10"/>
      <c r="AD662" s="10"/>
      <c r="AE662" s="10"/>
      <c r="AF662" s="12">
        <f t="shared" si="228"/>
        <v>0</v>
      </c>
    </row>
    <row r="663" spans="1:32" x14ac:dyDescent="0.25">
      <c r="A663" s="10">
        <v>25</v>
      </c>
      <c r="B663" s="32">
        <v>45672</v>
      </c>
      <c r="C663" s="33">
        <f t="shared" si="229"/>
        <v>7575</v>
      </c>
      <c r="D663" s="34">
        <f>626*4+416+34</f>
        <v>2954</v>
      </c>
      <c r="E663" s="34"/>
      <c r="F663" s="34">
        <f t="shared" si="233"/>
        <v>2954</v>
      </c>
      <c r="G663" s="10"/>
      <c r="H663" s="10">
        <v>24</v>
      </c>
      <c r="I663" s="10"/>
      <c r="J663" s="12">
        <f t="shared" si="224"/>
        <v>2978</v>
      </c>
      <c r="L663" s="10">
        <v>25</v>
      </c>
      <c r="M663" s="32"/>
      <c r="O663" s="51"/>
      <c r="P663" s="33"/>
      <c r="Q663" s="34">
        <f t="shared" si="225"/>
        <v>0</v>
      </c>
      <c r="R663" s="10"/>
      <c r="S663" s="10"/>
      <c r="T663" s="10"/>
      <c r="U663" s="12">
        <f t="shared" si="226"/>
        <v>0</v>
      </c>
      <c r="W663" s="10">
        <v>25</v>
      </c>
      <c r="X663" s="32"/>
      <c r="Y663" s="33"/>
      <c r="Z663" s="51"/>
      <c r="AA663" s="33"/>
      <c r="AB663" s="34">
        <f t="shared" si="234"/>
        <v>0</v>
      </c>
      <c r="AC663" s="10"/>
      <c r="AD663" s="10"/>
      <c r="AE663" s="10"/>
      <c r="AF663" s="12">
        <f t="shared" si="228"/>
        <v>0</v>
      </c>
    </row>
    <row r="664" spans="1:32" x14ac:dyDescent="0.25">
      <c r="A664" s="10">
        <v>26</v>
      </c>
      <c r="B664" s="32">
        <v>45672</v>
      </c>
      <c r="C664" s="33">
        <f t="shared" si="229"/>
        <v>7576</v>
      </c>
      <c r="D664" s="34">
        <f>1252+17</f>
        <v>1269</v>
      </c>
      <c r="E664" s="34"/>
      <c r="F664" s="34">
        <f t="shared" si="233"/>
        <v>1269</v>
      </c>
      <c r="G664" s="10"/>
      <c r="H664" s="10"/>
      <c r="I664" s="10"/>
      <c r="J664" s="12">
        <f t="shared" si="224"/>
        <v>1269</v>
      </c>
      <c r="L664" s="10">
        <v>26</v>
      </c>
      <c r="M664" s="32"/>
      <c r="N664" s="33"/>
      <c r="O664" s="51"/>
      <c r="P664" s="33"/>
      <c r="Q664" s="34">
        <f t="shared" si="225"/>
        <v>0</v>
      </c>
      <c r="R664" s="10"/>
      <c r="S664" s="10"/>
      <c r="T664" s="10"/>
      <c r="U664" s="12">
        <f t="shared" si="226"/>
        <v>0</v>
      </c>
      <c r="W664" s="10">
        <v>26</v>
      </c>
      <c r="X664" s="32"/>
      <c r="Y664" s="33"/>
      <c r="Z664" s="51"/>
      <c r="AA664" s="33"/>
      <c r="AB664" s="34">
        <f t="shared" si="234"/>
        <v>0</v>
      </c>
      <c r="AC664" s="10"/>
      <c r="AD664" s="10"/>
      <c r="AE664" s="10"/>
      <c r="AF664" s="12">
        <f t="shared" si="228"/>
        <v>0</v>
      </c>
    </row>
    <row r="665" spans="1:32" x14ac:dyDescent="0.25">
      <c r="A665" s="10">
        <v>27</v>
      </c>
      <c r="B665" s="32">
        <v>45672</v>
      </c>
      <c r="C665" s="33">
        <f t="shared" si="229"/>
        <v>7577</v>
      </c>
      <c r="D665" s="34">
        <f>25040+5960+410+17</f>
        <v>31427</v>
      </c>
      <c r="E665" s="34"/>
      <c r="F665" s="34">
        <f t="shared" si="233"/>
        <v>31427</v>
      </c>
      <c r="G665" s="10"/>
      <c r="H665" s="10"/>
      <c r="I665" s="10"/>
      <c r="J665" s="12">
        <f t="shared" si="224"/>
        <v>31427</v>
      </c>
      <c r="L665" s="10">
        <v>27</v>
      </c>
      <c r="M665" s="32"/>
      <c r="N665" s="33"/>
      <c r="O665" s="51"/>
      <c r="P665" s="33"/>
      <c r="Q665" s="34">
        <f t="shared" si="225"/>
        <v>0</v>
      </c>
      <c r="R665" s="10"/>
      <c r="S665" s="10"/>
      <c r="T665" s="10"/>
      <c r="U665" s="12">
        <f t="shared" si="226"/>
        <v>0</v>
      </c>
      <c r="W665" s="10">
        <v>27</v>
      </c>
      <c r="X665" s="32"/>
      <c r="Y665" s="33"/>
      <c r="Z665" s="51"/>
      <c r="AA665" s="33"/>
      <c r="AB665" s="34">
        <f t="shared" si="234"/>
        <v>0</v>
      </c>
      <c r="AC665" s="10"/>
      <c r="AD665" s="10"/>
      <c r="AE665" s="10"/>
      <c r="AF665" s="12">
        <f t="shared" si="228"/>
        <v>0</v>
      </c>
    </row>
    <row r="666" spans="1:32" x14ac:dyDescent="0.25">
      <c r="A666" s="10">
        <v>28</v>
      </c>
      <c r="B666" s="32">
        <v>45672</v>
      </c>
      <c r="C666" s="33">
        <f t="shared" si="229"/>
        <v>7578</v>
      </c>
      <c r="D666" s="34">
        <f>1252+17</f>
        <v>1269</v>
      </c>
      <c r="E666" s="34"/>
      <c r="F666" s="34">
        <f t="shared" si="233"/>
        <v>1269</v>
      </c>
      <c r="G666" s="10"/>
      <c r="H666" s="10"/>
      <c r="I666" s="10"/>
      <c r="J666" s="12">
        <f t="shared" si="224"/>
        <v>1269</v>
      </c>
      <c r="L666" s="10">
        <v>28</v>
      </c>
      <c r="M666" s="32"/>
      <c r="O666" s="51"/>
      <c r="P666" s="33"/>
      <c r="Q666" s="34">
        <f t="shared" si="225"/>
        <v>0</v>
      </c>
      <c r="R666" s="10"/>
      <c r="S666" s="10"/>
      <c r="T666" s="10"/>
      <c r="U666" s="12">
        <f t="shared" si="226"/>
        <v>0</v>
      </c>
      <c r="W666" s="10">
        <v>28</v>
      </c>
      <c r="X666" s="32"/>
      <c r="Z666" s="51"/>
      <c r="AA666" s="33"/>
      <c r="AB666" s="34">
        <f t="shared" si="234"/>
        <v>0</v>
      </c>
      <c r="AC666" s="10"/>
      <c r="AD666" s="10"/>
      <c r="AE666" s="10"/>
      <c r="AF666" s="12">
        <f t="shared" si="228"/>
        <v>0</v>
      </c>
    </row>
    <row r="667" spans="1:32" x14ac:dyDescent="0.25">
      <c r="A667" s="10">
        <v>29</v>
      </c>
      <c r="B667" s="32">
        <v>45672</v>
      </c>
      <c r="C667" s="33">
        <f t="shared" si="229"/>
        <v>7579</v>
      </c>
      <c r="D667" s="34">
        <f>614</f>
        <v>614</v>
      </c>
      <c r="E667" s="34"/>
      <c r="F667" s="34">
        <f t="shared" si="233"/>
        <v>614</v>
      </c>
      <c r="G667" s="10"/>
      <c r="H667" s="10"/>
      <c r="I667" s="10"/>
      <c r="J667" s="12">
        <f t="shared" si="224"/>
        <v>614</v>
      </c>
      <c r="L667" s="10">
        <v>29</v>
      </c>
      <c r="M667" s="32"/>
      <c r="O667" s="51"/>
      <c r="P667" s="33"/>
      <c r="Q667" s="34">
        <f t="shared" si="225"/>
        <v>0</v>
      </c>
      <c r="R667" s="10"/>
      <c r="S667" s="10"/>
      <c r="T667" s="10"/>
      <c r="U667" s="12">
        <f t="shared" si="226"/>
        <v>0</v>
      </c>
      <c r="W667" s="10">
        <v>29</v>
      </c>
      <c r="X667" s="32"/>
      <c r="Y667" s="33"/>
      <c r="Z667" s="51"/>
      <c r="AA667" s="33"/>
      <c r="AB667" s="34">
        <f t="shared" si="234"/>
        <v>0</v>
      </c>
      <c r="AC667" s="10"/>
      <c r="AD667" s="10"/>
      <c r="AE667" s="10"/>
      <c r="AF667" s="12">
        <f t="shared" si="228"/>
        <v>0</v>
      </c>
    </row>
    <row r="668" spans="1:32" x14ac:dyDescent="0.25">
      <c r="A668" s="10">
        <v>30</v>
      </c>
      <c r="B668" s="32">
        <v>45672</v>
      </c>
      <c r="C668" s="33">
        <f t="shared" si="229"/>
        <v>7580</v>
      </c>
      <c r="D668" s="34">
        <f>1252+17</f>
        <v>1269</v>
      </c>
      <c r="E668" s="34"/>
      <c r="F668" s="34">
        <f t="shared" si="233"/>
        <v>1269</v>
      </c>
      <c r="G668" s="10"/>
      <c r="H668" s="10"/>
      <c r="I668" s="10"/>
      <c r="J668" s="12">
        <f t="shared" si="224"/>
        <v>1269</v>
      </c>
      <c r="L668" s="10">
        <v>30</v>
      </c>
      <c r="M668" s="32"/>
      <c r="N668" s="33"/>
      <c r="O668" s="51"/>
      <c r="P668" s="33"/>
      <c r="Q668" s="34">
        <f t="shared" si="225"/>
        <v>0</v>
      </c>
      <c r="R668" s="10"/>
      <c r="S668" s="10"/>
      <c r="T668" s="10"/>
      <c r="U668" s="12">
        <f t="shared" si="226"/>
        <v>0</v>
      </c>
      <c r="W668" s="10">
        <v>30</v>
      </c>
      <c r="X668" s="32"/>
      <c r="Y668" s="33"/>
      <c r="Z668" s="51"/>
      <c r="AA668" s="33"/>
      <c r="AB668" s="34">
        <f t="shared" si="234"/>
        <v>0</v>
      </c>
      <c r="AC668" s="10"/>
      <c r="AD668" s="10"/>
      <c r="AE668" s="10"/>
      <c r="AF668" s="12">
        <f t="shared" si="228"/>
        <v>0</v>
      </c>
    </row>
    <row r="669" spans="1:32" x14ac:dyDescent="0.25">
      <c r="A669" s="10">
        <v>31</v>
      </c>
      <c r="B669" s="32">
        <v>45672</v>
      </c>
      <c r="C669" s="33">
        <f t="shared" si="229"/>
        <v>7581</v>
      </c>
      <c r="D669" s="34">
        <f>3130+42.5</f>
        <v>3172.5</v>
      </c>
      <c r="E669" s="34"/>
      <c r="F669" s="34">
        <f t="shared" si="233"/>
        <v>3172.5</v>
      </c>
      <c r="G669" s="10"/>
      <c r="H669" s="10"/>
      <c r="I669" s="10"/>
      <c r="J669" s="12">
        <f t="shared" si="224"/>
        <v>3172.5</v>
      </c>
      <c r="L669" s="10">
        <v>31</v>
      </c>
      <c r="M669" s="32"/>
      <c r="N669" s="33"/>
      <c r="O669" s="51"/>
      <c r="P669" s="33"/>
      <c r="Q669" s="34">
        <f t="shared" si="225"/>
        <v>0</v>
      </c>
      <c r="R669" s="10"/>
      <c r="S669" s="10"/>
      <c r="T669" s="10"/>
      <c r="U669" s="12">
        <f t="shared" si="226"/>
        <v>0</v>
      </c>
      <c r="W669" s="10">
        <v>31</v>
      </c>
      <c r="X669" s="32"/>
      <c r="Z669" s="51"/>
      <c r="AA669" s="33"/>
      <c r="AB669" s="34">
        <f t="shared" si="234"/>
        <v>0</v>
      </c>
      <c r="AC669" s="10"/>
      <c r="AD669" s="10"/>
      <c r="AE669" s="10"/>
      <c r="AF669" s="12">
        <f t="shared" si="228"/>
        <v>0</v>
      </c>
    </row>
    <row r="670" spans="1:32" x14ac:dyDescent="0.25">
      <c r="A670" s="10">
        <v>32</v>
      </c>
      <c r="B670" s="32">
        <v>45672</v>
      </c>
      <c r="C670" s="33">
        <f t="shared" si="229"/>
        <v>7582</v>
      </c>
      <c r="D670" s="34">
        <f>626+8.5</f>
        <v>634.5</v>
      </c>
      <c r="E670" s="34"/>
      <c r="F670" s="34">
        <f t="shared" si="233"/>
        <v>634.5</v>
      </c>
      <c r="G670" s="10"/>
      <c r="H670" s="10">
        <v>9</v>
      </c>
      <c r="I670" s="10"/>
      <c r="J670" s="12">
        <f t="shared" si="224"/>
        <v>643.5</v>
      </c>
      <c r="L670" s="10">
        <v>32</v>
      </c>
      <c r="M670" s="32"/>
      <c r="N670" s="33"/>
      <c r="O670" s="51"/>
      <c r="P670" s="33"/>
      <c r="Q670" s="34">
        <f t="shared" si="225"/>
        <v>0</v>
      </c>
      <c r="R670" s="10"/>
      <c r="S670" s="10"/>
      <c r="T670" s="10"/>
      <c r="U670" s="12">
        <f t="shared" si="226"/>
        <v>0</v>
      </c>
      <c r="W670" s="10">
        <v>32</v>
      </c>
      <c r="X670" s="32"/>
      <c r="Y670" s="33"/>
      <c r="Z670" s="51"/>
      <c r="AA670" s="33"/>
      <c r="AB670" s="34">
        <f t="shared" si="234"/>
        <v>0</v>
      </c>
      <c r="AC670" s="10"/>
      <c r="AD670" s="10"/>
      <c r="AE670" s="10"/>
      <c r="AF670" s="12">
        <f t="shared" si="228"/>
        <v>0</v>
      </c>
    </row>
    <row r="671" spans="1:32" x14ac:dyDescent="0.25">
      <c r="A671" s="10">
        <v>33</v>
      </c>
      <c r="B671" s="32"/>
      <c r="C671" s="11" t="s">
        <v>28</v>
      </c>
      <c r="D671" s="34"/>
      <c r="E671" s="34"/>
      <c r="F671" s="34">
        <f t="shared" si="233"/>
        <v>0</v>
      </c>
      <c r="G671" s="10"/>
      <c r="H671" s="10"/>
      <c r="I671" s="10"/>
      <c r="J671" s="12">
        <f t="shared" si="224"/>
        <v>0</v>
      </c>
      <c r="L671" s="10">
        <v>33</v>
      </c>
      <c r="M671" s="32"/>
      <c r="N671" s="33"/>
      <c r="O671" s="51"/>
      <c r="P671" s="33"/>
      <c r="Q671" s="34">
        <f t="shared" si="225"/>
        <v>0</v>
      </c>
      <c r="R671" s="10"/>
      <c r="S671" s="10"/>
      <c r="T671" s="10"/>
      <c r="U671" s="12">
        <f t="shared" si="226"/>
        <v>0</v>
      </c>
      <c r="W671" s="10">
        <v>33</v>
      </c>
      <c r="X671" s="32"/>
      <c r="Y671" s="33"/>
      <c r="Z671" s="51"/>
      <c r="AA671" s="33"/>
      <c r="AB671" s="34">
        <f t="shared" si="234"/>
        <v>0</v>
      </c>
      <c r="AC671" s="10"/>
      <c r="AD671" s="10"/>
      <c r="AE671" s="10"/>
      <c r="AF671" s="12">
        <f t="shared" si="228"/>
        <v>0</v>
      </c>
    </row>
    <row r="672" spans="1:32" x14ac:dyDescent="0.25">
      <c r="A672" s="10"/>
      <c r="B672" s="32"/>
      <c r="C672" s="33"/>
      <c r="D672" s="34"/>
      <c r="E672" s="34"/>
      <c r="F672" s="34">
        <f t="shared" si="233"/>
        <v>0</v>
      </c>
      <c r="G672" s="10"/>
      <c r="H672" s="10"/>
      <c r="I672" s="10"/>
      <c r="J672" s="12">
        <f t="shared" si="224"/>
        <v>0</v>
      </c>
      <c r="L672" s="10">
        <v>34</v>
      </c>
      <c r="M672" s="32"/>
      <c r="N672" s="33"/>
      <c r="O672" s="51"/>
      <c r="P672" s="33"/>
      <c r="Q672" s="34">
        <f t="shared" ref="Q672:Q677" si="235">SUM(O672:P672)</f>
        <v>0</v>
      </c>
      <c r="R672" s="10"/>
      <c r="S672" s="10"/>
      <c r="T672" s="10"/>
      <c r="U672" s="12">
        <f t="shared" si="226"/>
        <v>0</v>
      </c>
      <c r="W672" s="10">
        <v>34</v>
      </c>
      <c r="X672" s="32"/>
      <c r="Y672" s="33"/>
      <c r="Z672" s="51"/>
      <c r="AA672" s="33"/>
      <c r="AB672" s="34">
        <f t="shared" ref="AB672:AB677" si="236">SUM(Z672:AA672)</f>
        <v>0</v>
      </c>
      <c r="AC672" s="10"/>
      <c r="AD672" s="10"/>
      <c r="AE672" s="10"/>
      <c r="AF672" s="12">
        <f t="shared" si="228"/>
        <v>0</v>
      </c>
    </row>
    <row r="673" spans="1:32" x14ac:dyDescent="0.25">
      <c r="A673" s="10"/>
      <c r="B673" s="32"/>
      <c r="C673" s="33"/>
      <c r="D673" s="34"/>
      <c r="E673" s="34"/>
      <c r="F673" s="34">
        <f t="shared" si="233"/>
        <v>0</v>
      </c>
      <c r="G673" s="10"/>
      <c r="H673" s="10"/>
      <c r="I673" s="10"/>
      <c r="J673" s="12">
        <f t="shared" si="224"/>
        <v>0</v>
      </c>
      <c r="L673" s="10">
        <v>35</v>
      </c>
      <c r="M673" s="32"/>
      <c r="O673" s="51"/>
      <c r="P673" s="33"/>
      <c r="Q673" s="34">
        <f t="shared" si="235"/>
        <v>0</v>
      </c>
      <c r="R673" s="10"/>
      <c r="S673" s="10"/>
      <c r="T673" s="10"/>
      <c r="U673" s="12">
        <f t="shared" si="226"/>
        <v>0</v>
      </c>
      <c r="W673" s="10">
        <v>35</v>
      </c>
      <c r="X673" s="32"/>
      <c r="Y673" s="33"/>
      <c r="Z673" s="51"/>
      <c r="AA673" s="33"/>
      <c r="AB673" s="34">
        <f t="shared" si="236"/>
        <v>0</v>
      </c>
      <c r="AC673" s="10"/>
      <c r="AD673" s="10"/>
      <c r="AE673" s="10"/>
      <c r="AF673" s="12">
        <f t="shared" si="228"/>
        <v>0</v>
      </c>
    </row>
    <row r="674" spans="1:32" x14ac:dyDescent="0.25">
      <c r="A674" s="10"/>
      <c r="B674" s="32"/>
      <c r="D674" s="34"/>
      <c r="E674" s="34"/>
      <c r="F674" s="34">
        <f t="shared" si="233"/>
        <v>0</v>
      </c>
      <c r="G674" s="10"/>
      <c r="H674" s="10"/>
      <c r="I674" s="10"/>
      <c r="J674" s="12">
        <f t="shared" si="224"/>
        <v>0</v>
      </c>
      <c r="L674" s="10">
        <v>36</v>
      </c>
      <c r="M674" s="32"/>
      <c r="N674" s="33"/>
      <c r="O674" s="51"/>
      <c r="P674" s="33"/>
      <c r="Q674" s="34">
        <f t="shared" si="235"/>
        <v>0</v>
      </c>
      <c r="R674" s="10"/>
      <c r="S674" s="10"/>
      <c r="T674" s="10"/>
      <c r="U674" s="12">
        <f t="shared" si="226"/>
        <v>0</v>
      </c>
      <c r="W674" s="10">
        <v>36</v>
      </c>
      <c r="X674" s="32"/>
      <c r="Y674" s="33"/>
      <c r="Z674" s="51"/>
      <c r="AA674" s="33"/>
      <c r="AB674" s="34">
        <f t="shared" si="236"/>
        <v>0</v>
      </c>
      <c r="AC674" s="10"/>
      <c r="AD674" s="10"/>
      <c r="AE674" s="10"/>
      <c r="AF674" s="12">
        <f t="shared" si="228"/>
        <v>0</v>
      </c>
    </row>
    <row r="675" spans="1:32" x14ac:dyDescent="0.25">
      <c r="A675" s="10"/>
      <c r="B675" s="32"/>
      <c r="C675" s="33"/>
      <c r="D675" s="34"/>
      <c r="E675" s="34"/>
      <c r="F675" s="34">
        <f t="shared" si="233"/>
        <v>0</v>
      </c>
      <c r="G675" s="10"/>
      <c r="H675" s="10"/>
      <c r="I675" s="10"/>
      <c r="J675" s="12">
        <f t="shared" si="224"/>
        <v>0</v>
      </c>
      <c r="L675" s="10">
        <v>37</v>
      </c>
      <c r="M675" s="32"/>
      <c r="N675" s="33"/>
      <c r="O675" s="51"/>
      <c r="P675" s="33"/>
      <c r="Q675" s="34">
        <f t="shared" si="235"/>
        <v>0</v>
      </c>
      <c r="R675" s="10"/>
      <c r="S675" s="10"/>
      <c r="T675" s="10"/>
      <c r="U675" s="12">
        <f t="shared" si="226"/>
        <v>0</v>
      </c>
      <c r="W675" s="10">
        <v>37</v>
      </c>
      <c r="X675" s="32"/>
      <c r="Y675" s="33"/>
      <c r="Z675" s="51"/>
      <c r="AA675" s="33"/>
      <c r="AB675" s="34">
        <f t="shared" si="236"/>
        <v>0</v>
      </c>
      <c r="AC675" s="10"/>
      <c r="AD675" s="10"/>
      <c r="AE675" s="10"/>
      <c r="AF675" s="12">
        <f t="shared" si="228"/>
        <v>0</v>
      </c>
    </row>
    <row r="676" spans="1:32" x14ac:dyDescent="0.25">
      <c r="A676" s="10"/>
      <c r="B676" s="32"/>
      <c r="C676" s="70"/>
      <c r="D676" s="34"/>
      <c r="E676" s="34"/>
      <c r="F676" s="34">
        <f t="shared" si="233"/>
        <v>0</v>
      </c>
      <c r="G676" s="10"/>
      <c r="H676" s="10"/>
      <c r="I676" s="10"/>
      <c r="J676" s="12">
        <f t="shared" si="224"/>
        <v>0</v>
      </c>
      <c r="L676" s="10">
        <v>38</v>
      </c>
      <c r="M676" s="32"/>
      <c r="N676" s="33"/>
      <c r="O676" s="51"/>
      <c r="P676" s="33"/>
      <c r="Q676" s="34">
        <f t="shared" si="235"/>
        <v>0</v>
      </c>
      <c r="R676" s="10"/>
      <c r="S676" s="10"/>
      <c r="T676" s="10"/>
      <c r="U676" s="12">
        <f t="shared" si="226"/>
        <v>0</v>
      </c>
      <c r="W676" s="10">
        <v>38</v>
      </c>
      <c r="X676" s="32"/>
      <c r="Y676" s="33"/>
      <c r="Z676" s="51"/>
      <c r="AA676" s="33"/>
      <c r="AB676" s="34">
        <f t="shared" si="236"/>
        <v>0</v>
      </c>
      <c r="AC676" s="10"/>
      <c r="AD676" s="10"/>
      <c r="AE676" s="10"/>
      <c r="AF676" s="12">
        <f t="shared" si="228"/>
        <v>0</v>
      </c>
    </row>
    <row r="677" spans="1:32" x14ac:dyDescent="0.25">
      <c r="A677" s="10"/>
      <c r="B677" s="32"/>
      <c r="C677" s="33"/>
      <c r="D677" s="34"/>
      <c r="E677" s="34"/>
      <c r="F677" s="34">
        <f t="shared" si="233"/>
        <v>0</v>
      </c>
      <c r="G677" s="10"/>
      <c r="H677" s="10"/>
      <c r="I677" s="10"/>
      <c r="J677" s="12">
        <f t="shared" si="224"/>
        <v>0</v>
      </c>
      <c r="L677" s="10">
        <v>39</v>
      </c>
      <c r="M677" s="32"/>
      <c r="N677" s="33"/>
      <c r="O677" s="51"/>
      <c r="P677" s="33"/>
      <c r="Q677" s="34">
        <f t="shared" si="235"/>
        <v>0</v>
      </c>
      <c r="R677" s="10"/>
      <c r="S677" s="10"/>
      <c r="T677" s="10"/>
      <c r="U677" s="12">
        <f t="shared" si="226"/>
        <v>0</v>
      </c>
      <c r="W677" s="10">
        <v>39</v>
      </c>
      <c r="X677" s="32"/>
      <c r="Y677" s="33"/>
      <c r="Z677" s="51"/>
      <c r="AA677" s="33"/>
      <c r="AB677" s="34">
        <f t="shared" si="236"/>
        <v>0</v>
      </c>
      <c r="AC677" s="10"/>
      <c r="AD677" s="10"/>
      <c r="AE677" s="10"/>
      <c r="AF677" s="12">
        <f t="shared" si="228"/>
        <v>0</v>
      </c>
    </row>
    <row r="678" spans="1:32" x14ac:dyDescent="0.25">
      <c r="A678" s="10"/>
      <c r="B678" s="32"/>
      <c r="C678" s="33"/>
      <c r="D678" s="34"/>
      <c r="E678" s="34"/>
      <c r="F678" s="34">
        <f t="shared" si="233"/>
        <v>0</v>
      </c>
      <c r="G678" s="10"/>
      <c r="H678" s="10"/>
      <c r="I678" s="10"/>
      <c r="J678" s="12">
        <f t="shared" si="224"/>
        <v>0</v>
      </c>
      <c r="L678" s="10"/>
      <c r="M678" s="32"/>
      <c r="O678" s="51"/>
      <c r="P678" s="33"/>
      <c r="Q678" s="34"/>
      <c r="R678" s="10"/>
      <c r="S678" s="10"/>
      <c r="T678" s="10"/>
      <c r="U678" s="12">
        <f t="shared" si="226"/>
        <v>0</v>
      </c>
      <c r="W678" s="10"/>
      <c r="X678" s="32"/>
      <c r="Z678" s="51"/>
      <c r="AA678" s="33"/>
      <c r="AB678" s="34"/>
      <c r="AC678" s="10"/>
      <c r="AD678" s="10"/>
      <c r="AE678" s="10"/>
      <c r="AF678" s="12">
        <f t="shared" si="228"/>
        <v>0</v>
      </c>
    </row>
    <row r="679" spans="1:32" x14ac:dyDescent="0.25">
      <c r="A679" s="10"/>
      <c r="B679" s="32"/>
      <c r="C679" s="70"/>
      <c r="D679" s="34"/>
      <c r="E679" s="34"/>
      <c r="F679" s="34">
        <f t="shared" ref="F679" si="237">SUM(D679:E679)</f>
        <v>0</v>
      </c>
      <c r="G679" s="10"/>
      <c r="H679" s="10"/>
      <c r="I679" s="10"/>
      <c r="J679" s="12">
        <f t="shared" ref="J679" si="238">SUM(F679:I679)</f>
        <v>0</v>
      </c>
      <c r="L679" s="10"/>
      <c r="M679" s="32"/>
      <c r="N679" s="33"/>
      <c r="O679" s="51"/>
      <c r="P679" s="33"/>
      <c r="Q679" s="34">
        <f t="shared" ref="Q679" si="239">SUM(O679:P679)</f>
        <v>0</v>
      </c>
      <c r="R679" s="10"/>
      <c r="S679" s="10"/>
      <c r="T679" s="10"/>
      <c r="U679" s="12">
        <f t="shared" si="226"/>
        <v>0</v>
      </c>
      <c r="W679" s="10"/>
      <c r="X679" s="32"/>
      <c r="Y679" s="33"/>
      <c r="Z679" s="51"/>
      <c r="AA679" s="33"/>
      <c r="AB679" s="34">
        <f t="shared" ref="AB679" si="240">SUM(Z679:AA679)</f>
        <v>0</v>
      </c>
      <c r="AC679" s="10"/>
      <c r="AD679" s="10"/>
      <c r="AE679" s="10"/>
      <c r="AF679" s="12">
        <f t="shared" si="228"/>
        <v>0</v>
      </c>
    </row>
    <row r="680" spans="1:32" x14ac:dyDescent="0.25">
      <c r="A680" s="10"/>
      <c r="B680" s="32"/>
      <c r="C680" s="32"/>
      <c r="D680" s="34"/>
      <c r="E680" s="34"/>
      <c r="F680" s="34"/>
      <c r="G680" s="10"/>
      <c r="H680" s="10"/>
      <c r="I680" s="10"/>
      <c r="J680" s="12"/>
      <c r="L680" s="10"/>
      <c r="M680" s="33"/>
      <c r="N680" s="33"/>
      <c r="O680" s="33"/>
      <c r="P680" s="33"/>
      <c r="Q680" s="33"/>
      <c r="R680" s="10"/>
      <c r="S680" s="10"/>
      <c r="T680" s="10"/>
      <c r="U680" s="12">
        <f t="shared" si="226"/>
        <v>0</v>
      </c>
      <c r="W680" s="10"/>
      <c r="X680" s="33"/>
      <c r="Y680" s="33"/>
      <c r="Z680" s="33"/>
      <c r="AA680" s="33"/>
      <c r="AB680" s="33"/>
      <c r="AC680" s="10"/>
      <c r="AD680" s="10"/>
      <c r="AE680" s="10"/>
      <c r="AF680" s="12">
        <f t="shared" si="228"/>
        <v>0</v>
      </c>
    </row>
    <row r="681" spans="1:32" x14ac:dyDescent="0.25">
      <c r="B681" s="70"/>
      <c r="C681" s="70"/>
      <c r="D681" s="38"/>
      <c r="E681" s="38"/>
      <c r="F681" s="38"/>
      <c r="G681" s="39"/>
      <c r="H681" s="39"/>
      <c r="I681" s="39"/>
      <c r="J681" s="39"/>
      <c r="M681" s="70"/>
      <c r="N681" s="70"/>
      <c r="O681" s="38"/>
      <c r="P681" s="38"/>
      <c r="Q681" s="38"/>
      <c r="R681" s="39"/>
      <c r="S681" s="39"/>
      <c r="T681" s="39"/>
      <c r="U681" s="39"/>
      <c r="X681" s="70"/>
      <c r="Y681" s="70"/>
      <c r="Z681" s="38"/>
      <c r="AA681" s="38"/>
      <c r="AB681" s="38"/>
      <c r="AC681" s="39"/>
      <c r="AD681" s="39"/>
      <c r="AE681" s="39"/>
      <c r="AF681" s="39"/>
    </row>
    <row r="682" spans="1:32" x14ac:dyDescent="0.25">
      <c r="B682" s="70"/>
      <c r="C682" s="70"/>
      <c r="D682" s="40">
        <f>SUM(D639:D681)</f>
        <v>266592</v>
      </c>
      <c r="E682" s="40">
        <f t="shared" ref="E682" si="241">SUM(E639:E679)</f>
        <v>0</v>
      </c>
      <c r="F682" s="40">
        <f>SUM(F639:F681)</f>
        <v>266592</v>
      </c>
      <c r="G682" s="4"/>
      <c r="H682" s="41">
        <f>SUM(H639:H681)</f>
        <v>202</v>
      </c>
      <c r="I682" s="41">
        <f>SUM(I639:I681)</f>
        <v>-1843.5</v>
      </c>
      <c r="J682" s="42">
        <f>SUM(J639:J681)</f>
        <v>264950.5</v>
      </c>
      <c r="M682" s="70"/>
      <c r="N682" s="70"/>
      <c r="O682" s="40">
        <f>SUM(O639:O681)</f>
        <v>280133</v>
      </c>
      <c r="P682" s="40">
        <f>SUM(P639:P663)</f>
        <v>-3634</v>
      </c>
      <c r="Q682" s="40">
        <f>SUM(Q639:Q681)</f>
        <v>276499</v>
      </c>
      <c r="R682" s="4"/>
      <c r="S682" s="43">
        <f>SUM(S639:S681)</f>
        <v>211.5</v>
      </c>
      <c r="T682" s="43">
        <f>SUM(T639:T663)</f>
        <v>-19482</v>
      </c>
      <c r="U682" s="44">
        <f>SUM(U639:U681)</f>
        <v>257228.5</v>
      </c>
      <c r="X682" s="70"/>
      <c r="Y682" s="70"/>
      <c r="Z682" s="40">
        <f>SUM(Z639:Z681)</f>
        <v>259432</v>
      </c>
      <c r="AA682" s="40">
        <f>SUM(AA639:AA663)</f>
        <v>-2336</v>
      </c>
      <c r="AB682" s="40">
        <f>SUM(AB639:AB681)</f>
        <v>257096</v>
      </c>
      <c r="AC682" s="4"/>
      <c r="AD682" s="43">
        <f>SUM(AD639:AD681)</f>
        <v>3271.5</v>
      </c>
      <c r="AE682" s="43">
        <f>SUM(AE639:AE663)</f>
        <v>-8880</v>
      </c>
      <c r="AF682" s="44">
        <f>SUM(AF639:AF681)</f>
        <v>251487.5</v>
      </c>
    </row>
    <row r="683" spans="1:32" x14ac:dyDescent="0.25">
      <c r="B683" s="70"/>
      <c r="C683" s="70"/>
      <c r="D683" s="70"/>
      <c r="E683" s="70"/>
      <c r="F683" s="70"/>
      <c r="M683" s="70"/>
      <c r="N683" s="70"/>
      <c r="O683" s="45"/>
      <c r="P683" s="70"/>
      <c r="Q683" s="70"/>
      <c r="X683" s="70"/>
      <c r="Y683" s="70"/>
      <c r="Z683" s="45"/>
      <c r="AA683" s="70"/>
      <c r="AB683" s="70"/>
    </row>
    <row r="684" spans="1:32" x14ac:dyDescent="0.25">
      <c r="B684" s="70"/>
      <c r="C684" s="70"/>
      <c r="D684" s="70"/>
      <c r="E684" s="70"/>
      <c r="F684" s="70"/>
      <c r="M684" s="70"/>
      <c r="N684" s="70"/>
      <c r="O684" s="70"/>
      <c r="P684" s="70"/>
      <c r="Q684" s="70"/>
      <c r="X684" s="70"/>
      <c r="Y684" s="70"/>
      <c r="Z684" s="70"/>
      <c r="AA684" s="70"/>
      <c r="AB684" s="70"/>
    </row>
    <row r="685" spans="1:32" x14ac:dyDescent="0.2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</row>
    <row r="686" spans="1:32" x14ac:dyDescent="0.25">
      <c r="A686" t="s">
        <v>0</v>
      </c>
      <c r="B686" s="70"/>
      <c r="C686" s="70"/>
      <c r="D686" s="70"/>
      <c r="E686" s="70"/>
      <c r="F686" s="70"/>
      <c r="L686" t="s">
        <v>0</v>
      </c>
      <c r="M686" s="70"/>
      <c r="N686" s="70"/>
      <c r="O686" s="70"/>
      <c r="P686" s="70"/>
      <c r="Q686" s="70"/>
      <c r="W686" t="s">
        <v>0</v>
      </c>
      <c r="X686" s="70"/>
      <c r="Y686" s="70"/>
      <c r="Z686" s="70"/>
      <c r="AA686" s="70"/>
      <c r="AB686" s="70"/>
    </row>
    <row r="687" spans="1:32" x14ac:dyDescent="0.25">
      <c r="A687" t="s">
        <v>30</v>
      </c>
      <c r="B687" s="70"/>
      <c r="C687" s="70"/>
      <c r="D687" s="70"/>
      <c r="E687" s="70"/>
      <c r="F687" s="70"/>
      <c r="L687" t="s">
        <v>30</v>
      </c>
      <c r="M687" s="70"/>
      <c r="N687" s="70"/>
      <c r="O687" s="70"/>
      <c r="P687" s="70"/>
      <c r="Q687" s="70"/>
      <c r="W687" t="s">
        <v>30</v>
      </c>
      <c r="X687" s="70"/>
      <c r="Y687" s="70"/>
      <c r="Z687" s="70"/>
      <c r="AA687" s="70"/>
      <c r="AB687" s="70"/>
    </row>
    <row r="688" spans="1:32" x14ac:dyDescent="0.25">
      <c r="B688" s="70"/>
      <c r="C688" s="70"/>
      <c r="D688" s="70"/>
      <c r="E688" s="70"/>
      <c r="F688" s="70"/>
      <c r="M688" s="70"/>
      <c r="N688" s="70"/>
      <c r="O688" s="70"/>
      <c r="P688" s="70"/>
      <c r="Q688" s="70"/>
      <c r="X688" s="70"/>
      <c r="Y688" s="70"/>
      <c r="Z688" s="70"/>
      <c r="AA688" s="70"/>
      <c r="AB688" s="70"/>
    </row>
    <row r="689" spans="1:32" x14ac:dyDescent="0.25">
      <c r="A689" s="4" t="s">
        <v>15</v>
      </c>
      <c r="B689" s="70"/>
      <c r="C689" s="70"/>
      <c r="D689" s="70"/>
      <c r="E689" s="70"/>
      <c r="F689" s="70"/>
      <c r="L689" s="4" t="s">
        <v>15</v>
      </c>
      <c r="M689" s="70"/>
      <c r="N689" s="70"/>
      <c r="O689" s="70"/>
      <c r="P689" s="70"/>
      <c r="Q689" s="70"/>
      <c r="W689" s="4" t="s">
        <v>15</v>
      </c>
      <c r="X689" s="70"/>
      <c r="Y689" s="70"/>
      <c r="Z689" s="70"/>
      <c r="AA689" s="70"/>
      <c r="AB689" s="70"/>
    </row>
    <row r="690" spans="1:32" x14ac:dyDescent="0.25">
      <c r="B690" s="70"/>
      <c r="C690" s="70"/>
      <c r="D690" s="70"/>
      <c r="E690" s="70"/>
      <c r="F690" s="70"/>
      <c r="M690" s="70"/>
      <c r="N690" s="70"/>
      <c r="O690" s="70"/>
      <c r="P690" s="70"/>
      <c r="Q690" s="70"/>
      <c r="X690" s="70"/>
      <c r="Y690" s="70"/>
      <c r="Z690" s="70"/>
      <c r="AA690" s="70"/>
      <c r="AB690" s="70"/>
    </row>
    <row r="691" spans="1:32" ht="15.75" x14ac:dyDescent="0.25">
      <c r="A691" t="s">
        <v>37</v>
      </c>
      <c r="B691" s="70"/>
      <c r="C691" s="70"/>
      <c r="D691" s="70"/>
      <c r="E691" s="70"/>
      <c r="F691" s="70"/>
      <c r="H691" s="70" t="s">
        <v>16</v>
      </c>
      <c r="I691" s="19">
        <v>1</v>
      </c>
      <c r="L691" t="s">
        <v>37</v>
      </c>
      <c r="M691" s="70"/>
      <c r="N691" s="70"/>
      <c r="O691" s="70"/>
      <c r="P691" s="70"/>
      <c r="Q691" s="70"/>
      <c r="S691" s="70" t="s">
        <v>16</v>
      </c>
      <c r="T691" s="19">
        <v>2</v>
      </c>
      <c r="W691" t="s">
        <v>37</v>
      </c>
      <c r="X691" s="70"/>
      <c r="Y691" s="70"/>
      <c r="Z691" s="70"/>
      <c r="AA691" s="70"/>
      <c r="AB691" s="70"/>
      <c r="AD691" s="70" t="s">
        <v>16</v>
      </c>
      <c r="AE691" s="20">
        <v>3</v>
      </c>
    </row>
    <row r="692" spans="1:32" x14ac:dyDescent="0.25">
      <c r="A692" s="21" t="s">
        <v>72</v>
      </c>
      <c r="B692" s="20"/>
      <c r="C692" s="70"/>
      <c r="D692" s="70"/>
      <c r="E692" s="70"/>
      <c r="F692" s="70"/>
      <c r="H692" s="22" t="s">
        <v>17</v>
      </c>
      <c r="I692" s="23" t="s">
        <v>46</v>
      </c>
      <c r="J692" s="24"/>
      <c r="L692" s="21" t="s">
        <v>72</v>
      </c>
      <c r="M692" s="20"/>
      <c r="N692" s="70"/>
      <c r="O692" s="70"/>
      <c r="P692" s="70"/>
      <c r="Q692" s="70"/>
      <c r="S692" s="22" t="s">
        <v>17</v>
      </c>
      <c r="T692" s="23" t="s">
        <v>34</v>
      </c>
      <c r="U692" s="24"/>
      <c r="W692" s="21" t="s">
        <v>72</v>
      </c>
      <c r="X692" s="20"/>
      <c r="Y692" s="70"/>
      <c r="Z692" s="70"/>
      <c r="AA692" s="70"/>
      <c r="AB692" s="70"/>
      <c r="AD692" s="22" t="s">
        <v>17</v>
      </c>
      <c r="AE692" s="23" t="s">
        <v>47</v>
      </c>
      <c r="AF692" s="24"/>
    </row>
    <row r="693" spans="1:32" x14ac:dyDescent="0.25">
      <c r="B693" s="70"/>
      <c r="C693" s="70"/>
      <c r="D693" s="70"/>
      <c r="E693" s="70"/>
      <c r="F693" s="70"/>
      <c r="M693" s="70"/>
      <c r="N693" s="70"/>
      <c r="O693" s="70"/>
      <c r="P693" s="70"/>
      <c r="Q693" s="70"/>
      <c r="X693" s="70"/>
      <c r="Y693" s="70"/>
      <c r="Z693" s="70"/>
      <c r="AA693" s="70"/>
      <c r="AB693" s="70"/>
    </row>
    <row r="694" spans="1:32" x14ac:dyDescent="0.25">
      <c r="B694" s="25"/>
      <c r="C694" s="26"/>
      <c r="D694" s="79" t="s">
        <v>18</v>
      </c>
      <c r="E694" s="79"/>
      <c r="F694" s="27"/>
      <c r="H694" s="77" t="s">
        <v>19</v>
      </c>
      <c r="I694" s="78"/>
      <c r="J694" s="75" t="s">
        <v>20</v>
      </c>
      <c r="M694" s="25"/>
      <c r="N694" s="26"/>
      <c r="O694" s="79" t="s">
        <v>18</v>
      </c>
      <c r="P694" s="79"/>
      <c r="Q694" s="27"/>
      <c r="S694" s="77" t="s">
        <v>19</v>
      </c>
      <c r="T694" s="78"/>
      <c r="U694" s="75" t="s">
        <v>20</v>
      </c>
      <c r="X694" s="25"/>
      <c r="Y694" s="26"/>
      <c r="Z694" s="79" t="s">
        <v>18</v>
      </c>
      <c r="AA694" s="79"/>
      <c r="AB694" s="27"/>
      <c r="AD694" s="77" t="s">
        <v>19</v>
      </c>
      <c r="AE694" s="78"/>
      <c r="AF694" s="75" t="s">
        <v>20</v>
      </c>
    </row>
    <row r="695" spans="1:32" ht="30" x14ac:dyDescent="0.25">
      <c r="B695" s="28" t="s">
        <v>21</v>
      </c>
      <c r="C695" s="28" t="s">
        <v>22</v>
      </c>
      <c r="D695" s="29" t="s">
        <v>23</v>
      </c>
      <c r="E695" s="30" t="s">
        <v>24</v>
      </c>
      <c r="F695" s="30" t="s">
        <v>25</v>
      </c>
      <c r="H695" s="31" t="s">
        <v>26</v>
      </c>
      <c r="I695" s="31" t="s">
        <v>27</v>
      </c>
      <c r="J695" s="76"/>
      <c r="M695" s="28" t="s">
        <v>21</v>
      </c>
      <c r="N695" s="28" t="s">
        <v>22</v>
      </c>
      <c r="O695" s="29" t="s">
        <v>23</v>
      </c>
      <c r="P695" s="30" t="s">
        <v>24</v>
      </c>
      <c r="Q695" s="30" t="s">
        <v>25</v>
      </c>
      <c r="S695" s="31" t="s">
        <v>26</v>
      </c>
      <c r="T695" s="31" t="s">
        <v>27</v>
      </c>
      <c r="U695" s="76"/>
      <c r="X695" s="28" t="s">
        <v>21</v>
      </c>
      <c r="Y695" s="28" t="s">
        <v>22</v>
      </c>
      <c r="Z695" s="29" t="s">
        <v>23</v>
      </c>
      <c r="AA695" s="30" t="s">
        <v>24</v>
      </c>
      <c r="AB695" s="30" t="s">
        <v>25</v>
      </c>
      <c r="AD695" s="31" t="s">
        <v>26</v>
      </c>
      <c r="AE695" s="31" t="s">
        <v>27</v>
      </c>
      <c r="AF695" s="76"/>
    </row>
    <row r="696" spans="1:32" x14ac:dyDescent="0.25">
      <c r="A696" s="10">
        <v>1</v>
      </c>
      <c r="B696" s="32">
        <v>45673</v>
      </c>
      <c r="C696" s="33">
        <v>7583</v>
      </c>
      <c r="D696" s="34">
        <f>626*216+205*9</f>
        <v>137061</v>
      </c>
      <c r="E696" s="34">
        <v>-1944</v>
      </c>
      <c r="F696" s="34">
        <f t="shared" ref="F696:F701" si="242">SUM(D696:E696)</f>
        <v>135117</v>
      </c>
      <c r="G696" s="12"/>
      <c r="H696" s="12">
        <v>702</v>
      </c>
      <c r="I696" s="12">
        <v>-672</v>
      </c>
      <c r="J696" s="12">
        <f t="shared" ref="J696:J735" si="243">SUM(F696:I696)</f>
        <v>135147</v>
      </c>
      <c r="L696" s="10">
        <v>1</v>
      </c>
      <c r="M696" s="32">
        <v>45673</v>
      </c>
      <c r="N696" s="33">
        <v>7608</v>
      </c>
      <c r="O696" s="34">
        <f>626*180+614*10+1025</f>
        <v>119845</v>
      </c>
      <c r="P696" s="34">
        <v>-1560</v>
      </c>
      <c r="Q696" s="34">
        <f>SUM(O696:P696)</f>
        <v>118285</v>
      </c>
      <c r="R696" s="12"/>
      <c r="S696" s="12"/>
      <c r="T696" s="12">
        <v>-27180</v>
      </c>
      <c r="U696" s="12">
        <f>SUM(Q696:T696)</f>
        <v>91105</v>
      </c>
      <c r="W696" s="10">
        <v>1</v>
      </c>
      <c r="X696" s="32">
        <v>45673</v>
      </c>
      <c r="Y696" s="33">
        <v>7127</v>
      </c>
      <c r="Z696" s="34">
        <f>626*50+596*10+832*3+513</f>
        <v>40269</v>
      </c>
      <c r="AA696" s="34">
        <v>-504</v>
      </c>
      <c r="AB696" s="34">
        <f>SUM(Z696:AA696)</f>
        <v>39765</v>
      </c>
      <c r="AC696" s="12"/>
      <c r="AD696" s="12"/>
      <c r="AE696" s="12"/>
      <c r="AF696" s="12">
        <f>SUM(AB696:AE696)</f>
        <v>39765</v>
      </c>
    </row>
    <row r="697" spans="1:32" x14ac:dyDescent="0.25">
      <c r="A697" s="10">
        <v>2</v>
      </c>
      <c r="B697" s="32">
        <v>45673</v>
      </c>
      <c r="C697" s="33">
        <f>C696+1</f>
        <v>7584</v>
      </c>
      <c r="D697" s="34">
        <f>626*6+51</f>
        <v>3807</v>
      </c>
      <c r="E697" s="34"/>
      <c r="F697" s="34">
        <f t="shared" si="242"/>
        <v>3807</v>
      </c>
      <c r="G697" s="12"/>
      <c r="H697" s="12"/>
      <c r="I697" s="12">
        <v>-336</v>
      </c>
      <c r="J697" s="12">
        <f t="shared" si="243"/>
        <v>3471</v>
      </c>
      <c r="L697" s="10">
        <v>2</v>
      </c>
      <c r="M697" s="32">
        <v>45673</v>
      </c>
      <c r="N697" s="33">
        <f>N696+1</f>
        <v>7609</v>
      </c>
      <c r="O697" s="34">
        <f>1252+1788+832+42.5</f>
        <v>3914.5</v>
      </c>
      <c r="P697" s="34"/>
      <c r="Q697" s="34">
        <f t="shared" ref="Q697:Q728" si="244">SUM(O697:P697)</f>
        <v>3914.5</v>
      </c>
      <c r="R697" s="12"/>
      <c r="S697" s="12"/>
      <c r="T697" s="12">
        <v>-1110</v>
      </c>
      <c r="U697" s="12">
        <f t="shared" ref="U697:U737" si="245">SUM(Q697:T697)</f>
        <v>2804.5</v>
      </c>
      <c r="W697" s="10">
        <v>2</v>
      </c>
      <c r="X697" s="32">
        <v>45673</v>
      </c>
      <c r="Y697" s="33">
        <f>Y696+1</f>
        <v>7128</v>
      </c>
      <c r="Z697" s="34">
        <f>1252+17</f>
        <v>1269</v>
      </c>
      <c r="AA697" s="34"/>
      <c r="AB697" s="34">
        <f t="shared" ref="AB697:AB699" si="246">SUM(Z697:AA697)</f>
        <v>1269</v>
      </c>
      <c r="AC697" s="12"/>
      <c r="AD697" s="12"/>
      <c r="AE697" s="12"/>
      <c r="AF697" s="12">
        <f t="shared" ref="AF697:AF737" si="247">SUM(AB697:AE697)</f>
        <v>1269</v>
      </c>
    </row>
    <row r="698" spans="1:32" x14ac:dyDescent="0.25">
      <c r="A698" s="10">
        <v>3</v>
      </c>
      <c r="B698" s="32">
        <v>45673</v>
      </c>
      <c r="C698" s="33">
        <f t="shared" ref="C698:C708" si="248">C697+1</f>
        <v>7585</v>
      </c>
      <c r="D698" s="35">
        <f>1252+596*2+34</f>
        <v>2478</v>
      </c>
      <c r="E698" s="35"/>
      <c r="F698" s="35">
        <f t="shared" si="242"/>
        <v>2478</v>
      </c>
      <c r="G698" s="36"/>
      <c r="H698" s="36"/>
      <c r="I698" s="36"/>
      <c r="J698" s="36">
        <f t="shared" si="243"/>
        <v>2478</v>
      </c>
      <c r="L698" s="10">
        <v>3</v>
      </c>
      <c r="M698" s="32">
        <v>45673</v>
      </c>
      <c r="N698" s="33">
        <f t="shared" ref="N698:N710" si="249">N697+1</f>
        <v>7610</v>
      </c>
      <c r="O698" s="34">
        <f>7512+1788+85</f>
        <v>9385</v>
      </c>
      <c r="P698" s="34"/>
      <c r="Q698" s="34">
        <f t="shared" si="244"/>
        <v>9385</v>
      </c>
      <c r="R698" s="12"/>
      <c r="S698" s="12"/>
      <c r="T698" s="12"/>
      <c r="U698" s="12">
        <f t="shared" si="245"/>
        <v>9385</v>
      </c>
      <c r="W698" s="10">
        <v>3</v>
      </c>
      <c r="X698" s="32">
        <v>45673</v>
      </c>
      <c r="Y698" s="33">
        <f t="shared" ref="Y698:Y716" si="250">Y697+1</f>
        <v>7129</v>
      </c>
      <c r="Z698" s="34">
        <f>626*18+596*10+205+674*2</f>
        <v>18781</v>
      </c>
      <c r="AA698" s="34"/>
      <c r="AB698" s="34">
        <f t="shared" si="246"/>
        <v>18781</v>
      </c>
      <c r="AC698" s="12"/>
      <c r="AD698" s="12"/>
      <c r="AE698" s="12"/>
      <c r="AF698" s="12">
        <f t="shared" si="247"/>
        <v>18781</v>
      </c>
    </row>
    <row r="699" spans="1:32" x14ac:dyDescent="0.25">
      <c r="A699" s="10">
        <v>4</v>
      </c>
      <c r="B699" s="32">
        <v>45673</v>
      </c>
      <c r="C699" s="33">
        <f t="shared" si="248"/>
        <v>7586</v>
      </c>
      <c r="D699" s="34">
        <f>626+913+1192+26</f>
        <v>2757</v>
      </c>
      <c r="E699" s="34"/>
      <c r="F699" s="34">
        <f t="shared" si="242"/>
        <v>2757</v>
      </c>
      <c r="G699" s="12"/>
      <c r="H699" s="12">
        <v>9</v>
      </c>
      <c r="I699" s="12"/>
      <c r="J699" s="12">
        <f t="shared" si="243"/>
        <v>2766</v>
      </c>
      <c r="L699" s="10">
        <v>4</v>
      </c>
      <c r="M699" s="32">
        <v>45673</v>
      </c>
      <c r="N699" s="33">
        <f t="shared" si="249"/>
        <v>7611</v>
      </c>
      <c r="O699" s="34">
        <f>1878+25.5</f>
        <v>1903.5</v>
      </c>
      <c r="P699" s="34"/>
      <c r="Q699" s="34">
        <f t="shared" si="244"/>
        <v>1903.5</v>
      </c>
      <c r="R699" s="12"/>
      <c r="S699" s="12"/>
      <c r="T699" s="12"/>
      <c r="U699" s="12">
        <f t="shared" si="245"/>
        <v>1903.5</v>
      </c>
      <c r="W699" s="10">
        <v>4</v>
      </c>
      <c r="X699" s="32">
        <v>45673</v>
      </c>
      <c r="Y699" s="33">
        <f t="shared" si="250"/>
        <v>7130</v>
      </c>
      <c r="Z699" s="34">
        <f>4382+59.5</f>
        <v>4441.5</v>
      </c>
      <c r="AA699" s="34"/>
      <c r="AB699" s="34">
        <f t="shared" si="246"/>
        <v>4441.5</v>
      </c>
      <c r="AC699" s="12"/>
      <c r="AE699" s="12"/>
      <c r="AF699" s="12">
        <f t="shared" si="247"/>
        <v>4441.5</v>
      </c>
    </row>
    <row r="700" spans="1:32" x14ac:dyDescent="0.25">
      <c r="A700" s="10">
        <v>5</v>
      </c>
      <c r="B700" s="32">
        <v>45673</v>
      </c>
      <c r="C700" s="33">
        <f t="shared" si="248"/>
        <v>7587</v>
      </c>
      <c r="D700" s="34">
        <f>1878+25.5+674</f>
        <v>2577.5</v>
      </c>
      <c r="E700" s="34"/>
      <c r="F700" s="34">
        <f t="shared" si="242"/>
        <v>2577.5</v>
      </c>
      <c r="G700" s="12"/>
      <c r="H700" s="12"/>
      <c r="I700" s="12"/>
      <c r="J700" s="12">
        <f t="shared" si="243"/>
        <v>2577.5</v>
      </c>
      <c r="L700" s="10">
        <v>5</v>
      </c>
      <c r="M700" s="32">
        <v>45673</v>
      </c>
      <c r="N700" s="33">
        <f t="shared" si="249"/>
        <v>7612</v>
      </c>
      <c r="O700" s="34">
        <f>3756+1192+68+674</f>
        <v>5690</v>
      </c>
      <c r="P700" s="34"/>
      <c r="Q700" s="34">
        <f t="shared" si="244"/>
        <v>5690</v>
      </c>
      <c r="R700" s="12"/>
      <c r="S700" s="12"/>
      <c r="T700" s="12"/>
      <c r="U700" s="12">
        <f t="shared" si="245"/>
        <v>5690</v>
      </c>
      <c r="W700" s="10">
        <v>5</v>
      </c>
      <c r="X700" s="32">
        <v>45673</v>
      </c>
      <c r="Y700" s="33">
        <f t="shared" si="250"/>
        <v>7131</v>
      </c>
      <c r="Z700" s="34">
        <f>4382+3576+110.5</f>
        <v>8068.5</v>
      </c>
      <c r="AA700" s="34"/>
      <c r="AB700" s="34">
        <f t="shared" ref="AB700:AB705" si="251">SUM(Z700:AA700)</f>
        <v>8068.5</v>
      </c>
      <c r="AC700" s="12"/>
      <c r="AD700" s="12"/>
      <c r="AE700" s="12"/>
      <c r="AF700" s="12">
        <f t="shared" si="247"/>
        <v>8068.5</v>
      </c>
    </row>
    <row r="701" spans="1:32" x14ac:dyDescent="0.25">
      <c r="A701" s="10">
        <v>6</v>
      </c>
      <c r="B701" s="32">
        <v>45673</v>
      </c>
      <c r="C701" s="33">
        <f t="shared" si="248"/>
        <v>7588</v>
      </c>
      <c r="D701" s="70">
        <f>1252+17</f>
        <v>1269</v>
      </c>
      <c r="E701" s="34"/>
      <c r="F701" s="34">
        <f t="shared" si="242"/>
        <v>1269</v>
      </c>
      <c r="G701" s="12"/>
      <c r="I701" s="12"/>
      <c r="J701" s="12">
        <f t="shared" si="243"/>
        <v>1269</v>
      </c>
      <c r="L701" s="10">
        <v>6</v>
      </c>
      <c r="M701" s="32">
        <v>45673</v>
      </c>
      <c r="N701" s="33">
        <f t="shared" si="249"/>
        <v>7613</v>
      </c>
      <c r="O701" s="34">
        <f>3130+42.5</f>
        <v>3172.5</v>
      </c>
      <c r="P701" s="34"/>
      <c r="Q701" s="34">
        <f t="shared" si="244"/>
        <v>3172.5</v>
      </c>
      <c r="R701" s="12"/>
      <c r="S701" s="12"/>
      <c r="T701" s="10"/>
      <c r="U701" s="12">
        <f t="shared" si="245"/>
        <v>3172.5</v>
      </c>
      <c r="W701" s="10">
        <v>6</v>
      </c>
      <c r="X701" s="32">
        <v>45673</v>
      </c>
      <c r="Y701" s="33">
        <f t="shared" si="250"/>
        <v>7132</v>
      </c>
      <c r="Z701" s="34">
        <f>1878+25.5</f>
        <v>1903.5</v>
      </c>
      <c r="AA701" s="34"/>
      <c r="AB701" s="34">
        <f t="shared" si="251"/>
        <v>1903.5</v>
      </c>
      <c r="AC701" s="12"/>
      <c r="AD701" s="12"/>
      <c r="AE701" s="10"/>
      <c r="AF701" s="12">
        <f t="shared" si="247"/>
        <v>1903.5</v>
      </c>
    </row>
    <row r="702" spans="1:32" x14ac:dyDescent="0.25">
      <c r="A702" s="10">
        <v>7</v>
      </c>
      <c r="B702" s="32">
        <v>45673</v>
      </c>
      <c r="C702" s="33">
        <f t="shared" si="248"/>
        <v>7589</v>
      </c>
      <c r="D702" s="34">
        <f>626+596+17</f>
        <v>1239</v>
      </c>
      <c r="E702" s="34"/>
      <c r="F702" s="34">
        <f>SUM(D702:E702)</f>
        <v>1239</v>
      </c>
      <c r="G702" s="12"/>
      <c r="H702" s="12"/>
      <c r="I702" s="12"/>
      <c r="J702" s="12">
        <f t="shared" si="243"/>
        <v>1239</v>
      </c>
      <c r="L702" s="10">
        <v>7</v>
      </c>
      <c r="M702" s="32">
        <v>45673</v>
      </c>
      <c r="N702" s="33">
        <f t="shared" si="249"/>
        <v>7614</v>
      </c>
      <c r="O702" s="34">
        <f>626+8.5</f>
        <v>634.5</v>
      </c>
      <c r="P702" s="34"/>
      <c r="Q702" s="34">
        <f t="shared" si="244"/>
        <v>634.5</v>
      </c>
      <c r="R702" s="12"/>
      <c r="S702" s="12"/>
      <c r="T702" s="12"/>
      <c r="U702" s="12">
        <f t="shared" si="245"/>
        <v>634.5</v>
      </c>
      <c r="W702" s="10">
        <v>7</v>
      </c>
      <c r="X702" s="32">
        <v>45673</v>
      </c>
      <c r="Y702" s="33">
        <f t="shared" si="250"/>
        <v>7133</v>
      </c>
      <c r="Z702" s="34">
        <f>1252+596+25.5</f>
        <v>1873.5</v>
      </c>
      <c r="AA702" s="34"/>
      <c r="AB702" s="34">
        <f t="shared" si="251"/>
        <v>1873.5</v>
      </c>
      <c r="AC702" s="12"/>
      <c r="AD702" s="66"/>
      <c r="AE702" s="12"/>
      <c r="AF702" s="12">
        <f t="shared" si="247"/>
        <v>1873.5</v>
      </c>
    </row>
    <row r="703" spans="1:32" x14ac:dyDescent="0.25">
      <c r="A703" s="10">
        <v>8</v>
      </c>
      <c r="B703" s="32">
        <v>45673</v>
      </c>
      <c r="C703" s="33">
        <f t="shared" si="248"/>
        <v>7590</v>
      </c>
      <c r="D703" s="34">
        <f>2504+34</f>
        <v>2538</v>
      </c>
      <c r="E703" s="34"/>
      <c r="F703" s="34">
        <f t="shared" ref="F703:F736" si="252">SUM(D703:E703)</f>
        <v>2538</v>
      </c>
      <c r="G703" s="12"/>
      <c r="H703" s="12"/>
      <c r="I703" s="12"/>
      <c r="J703" s="12">
        <f t="shared" si="243"/>
        <v>2538</v>
      </c>
      <c r="L703" s="10">
        <v>8</v>
      </c>
      <c r="M703" s="32">
        <v>45673</v>
      </c>
      <c r="N703" s="33">
        <f t="shared" si="249"/>
        <v>7615</v>
      </c>
      <c r="O703" s="34">
        <f>1878+1192+42.5</f>
        <v>3112.5</v>
      </c>
      <c r="P703" s="34"/>
      <c r="Q703" s="34">
        <f t="shared" si="244"/>
        <v>3112.5</v>
      </c>
      <c r="R703" s="12"/>
      <c r="S703" s="12"/>
      <c r="T703" s="12"/>
      <c r="U703" s="12">
        <f t="shared" si="245"/>
        <v>3112.5</v>
      </c>
      <c r="W703" s="10">
        <v>8</v>
      </c>
      <c r="X703" s="32">
        <v>45673</v>
      </c>
      <c r="Y703" s="33">
        <f t="shared" si="250"/>
        <v>7134</v>
      </c>
      <c r="Z703" s="34">
        <f>1878+25.5</f>
        <v>1903.5</v>
      </c>
      <c r="AB703" s="34">
        <f t="shared" si="251"/>
        <v>1903.5</v>
      </c>
      <c r="AC703" s="12"/>
      <c r="AD703" s="12"/>
      <c r="AE703" s="12"/>
      <c r="AF703" s="12">
        <f t="shared" si="247"/>
        <v>1903.5</v>
      </c>
    </row>
    <row r="704" spans="1:32" x14ac:dyDescent="0.25">
      <c r="A704" s="10">
        <v>9</v>
      </c>
      <c r="B704" s="32">
        <v>45673</v>
      </c>
      <c r="C704" s="33">
        <f t="shared" si="248"/>
        <v>7591</v>
      </c>
      <c r="D704" s="34">
        <f>1878+25.5</f>
        <v>1903.5</v>
      </c>
      <c r="E704" s="34"/>
      <c r="F704" s="34">
        <f t="shared" si="252"/>
        <v>1903.5</v>
      </c>
      <c r="G704" s="12"/>
      <c r="H704" s="12">
        <v>13</v>
      </c>
      <c r="I704" s="12"/>
      <c r="J704" s="12">
        <f t="shared" si="243"/>
        <v>1916.5</v>
      </c>
      <c r="L704" s="10">
        <v>9</v>
      </c>
      <c r="M704" s="32">
        <v>45673</v>
      </c>
      <c r="N704" s="33">
        <f t="shared" si="249"/>
        <v>7616</v>
      </c>
      <c r="O704" s="34">
        <f>4382+596+68</f>
        <v>5046</v>
      </c>
      <c r="P704" s="34"/>
      <c r="Q704" s="34">
        <f t="shared" si="244"/>
        <v>5046</v>
      </c>
      <c r="R704" s="12"/>
      <c r="S704" s="12"/>
      <c r="T704" s="12"/>
      <c r="U704" s="12">
        <f t="shared" si="245"/>
        <v>5046</v>
      </c>
      <c r="W704" s="10">
        <v>9</v>
      </c>
      <c r="X704" s="32">
        <v>45673</v>
      </c>
      <c r="Y704" s="33">
        <f t="shared" si="250"/>
        <v>7135</v>
      </c>
      <c r="Z704">
        <f>626*2+596*2+34</f>
        <v>2478</v>
      </c>
      <c r="AA704" s="34"/>
      <c r="AB704" s="34">
        <f t="shared" si="251"/>
        <v>2478</v>
      </c>
      <c r="AC704" s="12"/>
      <c r="AD704" s="66"/>
      <c r="AE704" s="12"/>
      <c r="AF704" s="12">
        <f t="shared" si="247"/>
        <v>2478</v>
      </c>
    </row>
    <row r="705" spans="1:32" x14ac:dyDescent="0.25">
      <c r="A705" s="10">
        <v>10</v>
      </c>
      <c r="B705" s="32">
        <v>45673</v>
      </c>
      <c r="C705" s="33">
        <f t="shared" si="248"/>
        <v>7592</v>
      </c>
      <c r="D705" s="34">
        <f>71990+11920+1025+127.5</f>
        <v>85062.5</v>
      </c>
      <c r="E705" s="34">
        <v>-1215</v>
      </c>
      <c r="F705" s="34">
        <f t="shared" si="252"/>
        <v>83847.5</v>
      </c>
      <c r="G705" s="12"/>
      <c r="H705" s="12">
        <f>286.5</f>
        <v>286.5</v>
      </c>
      <c r="I705" s="12"/>
      <c r="J705" s="12">
        <f t="shared" si="243"/>
        <v>84134</v>
      </c>
      <c r="L705" s="10">
        <v>10</v>
      </c>
      <c r="M705" s="32">
        <v>45673</v>
      </c>
      <c r="N705" s="33">
        <f t="shared" si="249"/>
        <v>7617</v>
      </c>
      <c r="O705" s="34">
        <f>2504+34</f>
        <v>2538</v>
      </c>
      <c r="P705" s="34"/>
      <c r="Q705" s="34">
        <f t="shared" si="244"/>
        <v>2538</v>
      </c>
      <c r="R705" s="12"/>
      <c r="S705" s="12"/>
      <c r="T705" s="12"/>
      <c r="U705" s="12">
        <f t="shared" si="245"/>
        <v>2538</v>
      </c>
      <c r="W705" s="10">
        <v>10</v>
      </c>
      <c r="X705" s="32">
        <v>45673</v>
      </c>
      <c r="Y705" s="33">
        <f t="shared" si="250"/>
        <v>7136</v>
      </c>
      <c r="Z705" s="34">
        <f>626*12+614*2+1175+596*3+127.5+500+1300</f>
        <v>13630.5</v>
      </c>
      <c r="AA705" s="34"/>
      <c r="AB705" s="34">
        <f t="shared" si="251"/>
        <v>13630.5</v>
      </c>
      <c r="AC705" s="12"/>
      <c r="AD705" s="12">
        <v>19.5</v>
      </c>
      <c r="AE705" s="12"/>
      <c r="AF705" s="12">
        <f t="shared" si="247"/>
        <v>13650</v>
      </c>
    </row>
    <row r="706" spans="1:32" x14ac:dyDescent="0.25">
      <c r="A706" s="10">
        <v>11</v>
      </c>
      <c r="B706" s="32">
        <v>45673</v>
      </c>
      <c r="C706" s="33">
        <f t="shared" si="248"/>
        <v>7593</v>
      </c>
      <c r="D706" s="34">
        <f>626*175+20*596+205*8+25.5</f>
        <v>123135.5</v>
      </c>
      <c r="E706" s="34">
        <v>-1755</v>
      </c>
      <c r="F706" s="34">
        <f t="shared" si="252"/>
        <v>121380.5</v>
      </c>
      <c r="G706" s="12"/>
      <c r="H706" s="12">
        <v>800</v>
      </c>
      <c r="I706" s="12"/>
      <c r="J706" s="12">
        <f t="shared" si="243"/>
        <v>122180.5</v>
      </c>
      <c r="L706" s="10">
        <v>11</v>
      </c>
      <c r="M706" s="32">
        <v>45673</v>
      </c>
      <c r="N706" s="33">
        <f t="shared" si="249"/>
        <v>7618</v>
      </c>
      <c r="O706" s="34">
        <f>3130+42.5</f>
        <v>3172.5</v>
      </c>
      <c r="P706" s="34"/>
      <c r="Q706" s="34">
        <f t="shared" si="244"/>
        <v>3172.5</v>
      </c>
      <c r="R706" s="12"/>
      <c r="S706" s="12"/>
      <c r="T706" s="12"/>
      <c r="U706" s="12">
        <f t="shared" si="245"/>
        <v>3172.5</v>
      </c>
      <c r="W706" s="10">
        <v>11</v>
      </c>
      <c r="X706" s="32">
        <v>45673</v>
      </c>
      <c r="Y706" s="33">
        <f>Y705+1</f>
        <v>7137</v>
      </c>
      <c r="Z706" s="34">
        <f>626*7+614+596+68</f>
        <v>5660</v>
      </c>
      <c r="AA706" s="34"/>
      <c r="AB706" s="34">
        <f t="shared" ref="AB706:AB728" si="253">SUM(Z706:AA706)</f>
        <v>5660</v>
      </c>
      <c r="AC706" s="12"/>
      <c r="AD706" s="12"/>
      <c r="AE706" s="12"/>
      <c r="AF706" s="12">
        <f t="shared" si="247"/>
        <v>5660</v>
      </c>
    </row>
    <row r="707" spans="1:32" x14ac:dyDescent="0.25">
      <c r="A707" s="10">
        <v>12</v>
      </c>
      <c r="B707" s="32">
        <v>45673</v>
      </c>
      <c r="C707" s="33">
        <f t="shared" si="248"/>
        <v>7594</v>
      </c>
      <c r="D707" s="34">
        <f>626*35+596*15+205*2+17</f>
        <v>31277</v>
      </c>
      <c r="E707" s="34"/>
      <c r="F707" s="34">
        <f t="shared" si="252"/>
        <v>31277</v>
      </c>
      <c r="G707" s="12"/>
      <c r="H707" s="12"/>
      <c r="I707" s="10"/>
      <c r="J707" s="12">
        <f t="shared" si="243"/>
        <v>31277</v>
      </c>
      <c r="L707" s="10">
        <v>12</v>
      </c>
      <c r="M707" s="32">
        <v>45673</v>
      </c>
      <c r="N707" s="33">
        <f t="shared" si="249"/>
        <v>7619</v>
      </c>
      <c r="O707" s="34">
        <f>1878+25.5</f>
        <v>1903.5</v>
      </c>
      <c r="P707" s="34"/>
      <c r="Q707" s="34">
        <f t="shared" si="244"/>
        <v>1903.5</v>
      </c>
      <c r="R707" s="12"/>
      <c r="S707" s="12"/>
      <c r="T707" s="12"/>
      <c r="U707" s="12">
        <f t="shared" si="245"/>
        <v>1903.5</v>
      </c>
      <c r="W707" s="10">
        <v>12</v>
      </c>
      <c r="X707" s="32">
        <v>45673</v>
      </c>
      <c r="Y707" s="33">
        <f t="shared" si="250"/>
        <v>7138</v>
      </c>
      <c r="Z707" s="34">
        <f>626+8.5</f>
        <v>634.5</v>
      </c>
      <c r="AA707" s="34"/>
      <c r="AB707" s="34">
        <f t="shared" si="253"/>
        <v>634.5</v>
      </c>
      <c r="AC707" s="12"/>
      <c r="AD707" s="12"/>
      <c r="AE707" s="12"/>
      <c r="AF707" s="12">
        <f t="shared" si="247"/>
        <v>634.5</v>
      </c>
    </row>
    <row r="708" spans="1:32" x14ac:dyDescent="0.25">
      <c r="A708" s="10">
        <v>13</v>
      </c>
      <c r="B708" s="32">
        <v>45673</v>
      </c>
      <c r="C708" s="33">
        <f t="shared" si="248"/>
        <v>7595</v>
      </c>
      <c r="D708" s="34">
        <f>1228</f>
        <v>1228</v>
      </c>
      <c r="E708" s="34"/>
      <c r="F708" s="34">
        <f t="shared" si="252"/>
        <v>1228</v>
      </c>
      <c r="G708" s="12"/>
      <c r="H708" s="12"/>
      <c r="I708" s="12"/>
      <c r="J708" s="12">
        <f t="shared" si="243"/>
        <v>1228</v>
      </c>
      <c r="L708" s="10">
        <v>13</v>
      </c>
      <c r="M708" s="32">
        <v>45673</v>
      </c>
      <c r="N708" s="33">
        <f t="shared" si="249"/>
        <v>7620</v>
      </c>
      <c r="O708" s="34">
        <f>626+614+205</f>
        <v>1445</v>
      </c>
      <c r="P708" s="34"/>
      <c r="Q708" s="34">
        <f t="shared" si="244"/>
        <v>1445</v>
      </c>
      <c r="R708" s="12"/>
      <c r="S708" s="12"/>
      <c r="T708" s="12"/>
      <c r="U708" s="12">
        <f t="shared" si="245"/>
        <v>1445</v>
      </c>
      <c r="W708" s="10">
        <v>13</v>
      </c>
      <c r="X708" s="32">
        <v>45673</v>
      </c>
      <c r="Y708" s="33">
        <f t="shared" si="250"/>
        <v>7139</v>
      </c>
      <c r="Z708" s="34">
        <f>626*4+614*2+596*2+102</f>
        <v>5026</v>
      </c>
      <c r="AA708" s="34"/>
      <c r="AB708" s="34">
        <f t="shared" si="253"/>
        <v>5026</v>
      </c>
      <c r="AC708" s="12"/>
      <c r="AD708" s="12"/>
      <c r="AE708" s="12"/>
      <c r="AF708" s="12">
        <f t="shared" si="247"/>
        <v>5026</v>
      </c>
    </row>
    <row r="709" spans="1:32" x14ac:dyDescent="0.25">
      <c r="A709" s="10">
        <v>14</v>
      </c>
      <c r="B709" s="32"/>
      <c r="C709" s="11" t="s">
        <v>28</v>
      </c>
      <c r="D709" s="34"/>
      <c r="E709" s="34"/>
      <c r="F709" s="34">
        <f t="shared" si="252"/>
        <v>0</v>
      </c>
      <c r="G709" s="12"/>
      <c r="H709" s="12"/>
      <c r="I709" s="12"/>
      <c r="J709" s="12">
        <f t="shared" si="243"/>
        <v>0</v>
      </c>
      <c r="L709" s="10">
        <v>14</v>
      </c>
      <c r="M709" s="32">
        <v>45673</v>
      </c>
      <c r="N709" s="33">
        <f t="shared" si="249"/>
        <v>7621</v>
      </c>
      <c r="O709" s="34">
        <f>626+8.5</f>
        <v>634.5</v>
      </c>
      <c r="P709" s="34"/>
      <c r="Q709" s="34">
        <f t="shared" si="244"/>
        <v>634.5</v>
      </c>
      <c r="R709" s="12"/>
      <c r="S709" s="12"/>
      <c r="T709" s="12"/>
      <c r="U709" s="12">
        <f t="shared" si="245"/>
        <v>634.5</v>
      </c>
      <c r="W709" s="10">
        <v>14</v>
      </c>
      <c r="X709" s="32">
        <v>45673</v>
      </c>
      <c r="Y709" s="33">
        <f t="shared" si="250"/>
        <v>7140</v>
      </c>
      <c r="Z709">
        <f>626*25+1005*2+832*2+205+674*3</f>
        <v>21551</v>
      </c>
      <c r="AA709" s="34"/>
      <c r="AB709" s="34">
        <f t="shared" si="253"/>
        <v>21551</v>
      </c>
      <c r="AC709" s="12"/>
      <c r="AD709" s="12"/>
      <c r="AE709" s="12"/>
      <c r="AF709" s="12">
        <f t="shared" si="247"/>
        <v>21551</v>
      </c>
    </row>
    <row r="710" spans="1:32" x14ac:dyDescent="0.25">
      <c r="A710" s="10">
        <v>15</v>
      </c>
      <c r="B710" s="32"/>
      <c r="C710" s="33"/>
      <c r="D710" s="34"/>
      <c r="E710" s="34"/>
      <c r="F710" s="34">
        <f t="shared" si="252"/>
        <v>0</v>
      </c>
      <c r="G710" s="12"/>
      <c r="H710" s="12"/>
      <c r="I710" s="12"/>
      <c r="J710" s="12">
        <f t="shared" si="243"/>
        <v>0</v>
      </c>
      <c r="L710" s="10">
        <v>15</v>
      </c>
      <c r="M710" s="32">
        <v>45673</v>
      </c>
      <c r="N710" s="33">
        <f t="shared" si="249"/>
        <v>7622</v>
      </c>
      <c r="O710" s="34">
        <f>626+614+8.5</f>
        <v>1248.5</v>
      </c>
      <c r="P710" s="34"/>
      <c r="Q710" s="34">
        <f t="shared" si="244"/>
        <v>1248.5</v>
      </c>
      <c r="R710" s="12"/>
      <c r="S710" s="12"/>
      <c r="T710" s="12"/>
      <c r="U710" s="12">
        <f t="shared" si="245"/>
        <v>1248.5</v>
      </c>
      <c r="W710" s="10">
        <v>15</v>
      </c>
      <c r="X710" s="32">
        <v>45673</v>
      </c>
      <c r="Y710" s="33">
        <f t="shared" si="250"/>
        <v>7141</v>
      </c>
      <c r="Z710" s="34">
        <f>626*32+614*10+205*2</f>
        <v>26582</v>
      </c>
      <c r="AA710" s="34"/>
      <c r="AB710" s="34">
        <f t="shared" si="253"/>
        <v>26582</v>
      </c>
      <c r="AC710" s="12"/>
      <c r="AD710" s="12"/>
      <c r="AE710" s="12"/>
      <c r="AF710" s="12">
        <f t="shared" si="247"/>
        <v>26582</v>
      </c>
    </row>
    <row r="711" spans="1:32" x14ac:dyDescent="0.25">
      <c r="A711" s="10">
        <v>16</v>
      </c>
      <c r="B711" s="32"/>
      <c r="C711" s="33"/>
      <c r="D711" s="34"/>
      <c r="E711" s="34"/>
      <c r="F711" s="34">
        <f t="shared" si="252"/>
        <v>0</v>
      </c>
      <c r="G711" s="12"/>
      <c r="H711" s="12"/>
      <c r="I711" s="12"/>
      <c r="J711" s="12">
        <f t="shared" si="243"/>
        <v>0</v>
      </c>
      <c r="L711" s="10">
        <v>16</v>
      </c>
      <c r="M711" s="32"/>
      <c r="N711" s="11" t="s">
        <v>28</v>
      </c>
      <c r="O711" s="34"/>
      <c r="P711" s="34"/>
      <c r="Q711" s="34">
        <f t="shared" si="244"/>
        <v>0</v>
      </c>
      <c r="R711" s="12"/>
      <c r="S711" s="12"/>
      <c r="T711" s="12"/>
      <c r="U711" s="12">
        <f t="shared" si="245"/>
        <v>0</v>
      </c>
      <c r="W711" s="10">
        <v>16</v>
      </c>
      <c r="X711" s="32">
        <v>45673</v>
      </c>
      <c r="Y711" s="33">
        <f t="shared" si="250"/>
        <v>7142</v>
      </c>
      <c r="Z711" s="34">
        <f>626*50+674*2+410</f>
        <v>33058</v>
      </c>
      <c r="AA711" s="34">
        <v>-432</v>
      </c>
      <c r="AB711" s="34">
        <f t="shared" si="253"/>
        <v>32626</v>
      </c>
      <c r="AC711" s="12"/>
      <c r="AD711" s="12"/>
      <c r="AE711" s="12"/>
      <c r="AF711" s="12">
        <f t="shared" si="247"/>
        <v>32626</v>
      </c>
    </row>
    <row r="712" spans="1:32" x14ac:dyDescent="0.25">
      <c r="A712" s="10">
        <v>17</v>
      </c>
      <c r="B712" s="32"/>
      <c r="C712" s="33"/>
      <c r="D712" s="34"/>
      <c r="E712" s="34"/>
      <c r="F712" s="34">
        <f t="shared" si="252"/>
        <v>0</v>
      </c>
      <c r="G712" s="12"/>
      <c r="H712" s="12"/>
      <c r="I712" s="12"/>
      <c r="J712" s="12">
        <f t="shared" si="243"/>
        <v>0</v>
      </c>
      <c r="L712" s="10">
        <v>17</v>
      </c>
      <c r="M712" s="32"/>
      <c r="N712" s="33"/>
      <c r="O712" s="37"/>
      <c r="P712" s="34"/>
      <c r="Q712" s="34">
        <f t="shared" si="244"/>
        <v>0</v>
      </c>
      <c r="R712" s="12"/>
      <c r="S712" s="12"/>
      <c r="T712" s="12"/>
      <c r="U712" s="12">
        <f t="shared" si="245"/>
        <v>0</v>
      </c>
      <c r="W712" s="10">
        <v>17</v>
      </c>
      <c r="X712" s="32">
        <v>45673</v>
      </c>
      <c r="Y712" s="33">
        <f t="shared" si="250"/>
        <v>7143</v>
      </c>
      <c r="Z712" s="37">
        <f>3756+596+59.5</f>
        <v>4411.5</v>
      </c>
      <c r="AA712" s="34"/>
      <c r="AB712" s="34">
        <f t="shared" si="253"/>
        <v>4411.5</v>
      </c>
      <c r="AC712" s="12"/>
      <c r="AD712" s="12"/>
      <c r="AE712" s="12"/>
      <c r="AF712" s="12">
        <f t="shared" si="247"/>
        <v>4411.5</v>
      </c>
    </row>
    <row r="713" spans="1:32" x14ac:dyDescent="0.25">
      <c r="A713" s="10">
        <v>18</v>
      </c>
      <c r="B713" s="32"/>
      <c r="C713" s="33"/>
      <c r="D713" s="34"/>
      <c r="E713" s="34"/>
      <c r="F713" s="34">
        <f t="shared" si="252"/>
        <v>0</v>
      </c>
      <c r="G713" s="12"/>
      <c r="H713" s="12"/>
      <c r="I713" s="12"/>
      <c r="J713" s="12">
        <f t="shared" si="243"/>
        <v>0</v>
      </c>
      <c r="L713" s="10">
        <v>18</v>
      </c>
      <c r="M713" s="32"/>
      <c r="N713" s="33"/>
      <c r="O713" s="34"/>
      <c r="P713" s="34"/>
      <c r="Q713" s="34">
        <f t="shared" si="244"/>
        <v>0</v>
      </c>
      <c r="R713" s="12"/>
      <c r="S713" s="12"/>
      <c r="T713" s="12"/>
      <c r="U713" s="12">
        <f t="shared" si="245"/>
        <v>0</v>
      </c>
      <c r="W713" s="10">
        <v>18</v>
      </c>
      <c r="X713" s="32">
        <v>45673</v>
      </c>
      <c r="Y713" s="33">
        <f t="shared" si="250"/>
        <v>7144</v>
      </c>
      <c r="Z713" s="34">
        <f>1878+596+34</f>
        <v>2508</v>
      </c>
      <c r="AA713" s="34"/>
      <c r="AB713" s="34">
        <f t="shared" si="253"/>
        <v>2508</v>
      </c>
      <c r="AC713" s="12"/>
      <c r="AD713" s="12"/>
      <c r="AE713" s="12"/>
      <c r="AF713" s="12">
        <f t="shared" si="247"/>
        <v>2508</v>
      </c>
    </row>
    <row r="714" spans="1:32" x14ac:dyDescent="0.25">
      <c r="A714" s="10">
        <v>19</v>
      </c>
      <c r="B714" s="32"/>
      <c r="C714" s="33"/>
      <c r="D714" s="34"/>
      <c r="E714" s="34"/>
      <c r="F714" s="34">
        <f t="shared" si="252"/>
        <v>0</v>
      </c>
      <c r="G714" s="12"/>
      <c r="H714" s="12"/>
      <c r="I714" s="12"/>
      <c r="J714" s="12">
        <f t="shared" si="243"/>
        <v>0</v>
      </c>
      <c r="L714" s="10">
        <v>19</v>
      </c>
      <c r="M714" s="32"/>
      <c r="N714" s="33"/>
      <c r="O714" s="34"/>
      <c r="P714" s="34"/>
      <c r="Q714" s="34">
        <f t="shared" si="244"/>
        <v>0</v>
      </c>
      <c r="R714" s="12"/>
      <c r="S714" s="12"/>
      <c r="T714" s="12"/>
      <c r="U714" s="12">
        <f t="shared" si="245"/>
        <v>0</v>
      </c>
      <c r="W714" s="10">
        <v>19</v>
      </c>
      <c r="X714" s="32">
        <v>45673</v>
      </c>
      <c r="Y714" s="33">
        <f t="shared" si="250"/>
        <v>7145</v>
      </c>
      <c r="Z714" s="34">
        <f>626*4+1192+51</f>
        <v>3747</v>
      </c>
      <c r="AA714" s="34"/>
      <c r="AB714" s="34">
        <f t="shared" si="253"/>
        <v>3747</v>
      </c>
      <c r="AC714" s="12"/>
      <c r="AD714" s="12"/>
      <c r="AE714" s="12"/>
      <c r="AF714" s="12">
        <f t="shared" si="247"/>
        <v>3747</v>
      </c>
    </row>
    <row r="715" spans="1:32" x14ac:dyDescent="0.25">
      <c r="A715" s="10">
        <v>20</v>
      </c>
      <c r="B715" s="32"/>
      <c r="C715" s="33"/>
      <c r="D715" s="34"/>
      <c r="E715" s="34"/>
      <c r="F715" s="34">
        <f t="shared" si="252"/>
        <v>0</v>
      </c>
      <c r="G715" s="12"/>
      <c r="H715" s="12"/>
      <c r="I715" s="12"/>
      <c r="J715" s="12">
        <f t="shared" si="243"/>
        <v>0</v>
      </c>
      <c r="L715" s="10">
        <v>20</v>
      </c>
      <c r="M715" s="32"/>
      <c r="N715" s="33"/>
      <c r="O715" s="34"/>
      <c r="P715" s="34"/>
      <c r="Q715" s="34">
        <f t="shared" si="244"/>
        <v>0</v>
      </c>
      <c r="R715" s="12"/>
      <c r="S715" s="12"/>
      <c r="T715" s="12"/>
      <c r="U715" s="12">
        <f t="shared" si="245"/>
        <v>0</v>
      </c>
      <c r="W715" s="10">
        <v>20</v>
      </c>
      <c r="X715" s="32">
        <v>45673</v>
      </c>
      <c r="Y715" s="33">
        <f t="shared" si="250"/>
        <v>7146</v>
      </c>
      <c r="Z715" s="34">
        <f>3756+51</f>
        <v>3807</v>
      </c>
      <c r="AA715" s="34"/>
      <c r="AB715" s="34">
        <f t="shared" si="253"/>
        <v>3807</v>
      </c>
      <c r="AC715" s="12"/>
      <c r="AD715" s="12"/>
      <c r="AE715" s="12"/>
      <c r="AF715" s="12">
        <f t="shared" si="247"/>
        <v>3807</v>
      </c>
    </row>
    <row r="716" spans="1:32" x14ac:dyDescent="0.25">
      <c r="A716" s="10">
        <v>21</v>
      </c>
      <c r="B716" s="32"/>
      <c r="C716" s="33"/>
      <c r="D716" s="34"/>
      <c r="E716" s="34"/>
      <c r="F716" s="34">
        <f t="shared" si="252"/>
        <v>0</v>
      </c>
      <c r="G716" s="10"/>
      <c r="H716" s="10"/>
      <c r="I716" s="10"/>
      <c r="J716" s="12">
        <f t="shared" si="243"/>
        <v>0</v>
      </c>
      <c r="L716" s="10">
        <v>21</v>
      </c>
      <c r="M716" s="32"/>
      <c r="N716" s="33"/>
      <c r="O716" s="50"/>
      <c r="P716" s="33"/>
      <c r="Q716" s="34">
        <f t="shared" si="244"/>
        <v>0</v>
      </c>
      <c r="R716" s="10"/>
      <c r="S716" s="10"/>
      <c r="T716" s="10"/>
      <c r="U716" s="12">
        <f t="shared" si="245"/>
        <v>0</v>
      </c>
      <c r="W716" s="10">
        <v>21</v>
      </c>
      <c r="X716" s="32">
        <v>45673</v>
      </c>
      <c r="Y716" s="33">
        <f t="shared" si="250"/>
        <v>7147</v>
      </c>
      <c r="Z716" s="50">
        <f>626+1192+205</f>
        <v>2023</v>
      </c>
      <c r="AA716" s="33"/>
      <c r="AB716" s="34">
        <f t="shared" si="253"/>
        <v>2023</v>
      </c>
      <c r="AC716" s="10"/>
      <c r="AD716" s="10"/>
      <c r="AE716" s="10">
        <v>-1401</v>
      </c>
      <c r="AF716" s="12">
        <f t="shared" si="247"/>
        <v>622</v>
      </c>
    </row>
    <row r="717" spans="1:32" x14ac:dyDescent="0.25">
      <c r="A717" s="10">
        <v>22</v>
      </c>
      <c r="B717" s="32"/>
      <c r="C717" s="33"/>
      <c r="D717" s="34"/>
      <c r="E717" s="34"/>
      <c r="F717" s="34">
        <f t="shared" si="252"/>
        <v>0</v>
      </c>
      <c r="G717" s="10"/>
      <c r="H717" s="10"/>
      <c r="I717" s="10"/>
      <c r="J717" s="12">
        <f t="shared" si="243"/>
        <v>0</v>
      </c>
      <c r="L717" s="10">
        <v>22</v>
      </c>
      <c r="M717" s="32"/>
      <c r="N717" s="33"/>
      <c r="O717" s="49"/>
      <c r="P717" s="33"/>
      <c r="Q717" s="34">
        <f t="shared" si="244"/>
        <v>0</v>
      </c>
      <c r="R717" s="10"/>
      <c r="S717" s="10"/>
      <c r="T717" s="10"/>
      <c r="U717" s="12">
        <f t="shared" si="245"/>
        <v>0</v>
      </c>
      <c r="W717" s="10">
        <v>22</v>
      </c>
      <c r="X717" s="32"/>
      <c r="Y717" s="11" t="s">
        <v>28</v>
      </c>
      <c r="Z717" s="49"/>
      <c r="AA717" s="33"/>
      <c r="AB717" s="34">
        <f t="shared" si="253"/>
        <v>0</v>
      </c>
      <c r="AC717" s="10"/>
      <c r="AD717" s="10"/>
      <c r="AE717" s="10"/>
      <c r="AF717" s="12">
        <f t="shared" si="247"/>
        <v>0</v>
      </c>
    </row>
    <row r="718" spans="1:32" x14ac:dyDescent="0.25">
      <c r="A718" s="10">
        <v>23</v>
      </c>
      <c r="B718" s="32"/>
      <c r="C718" s="33"/>
      <c r="D718" s="34"/>
      <c r="E718" s="34"/>
      <c r="F718" s="34">
        <f t="shared" si="252"/>
        <v>0</v>
      </c>
      <c r="G718" s="10"/>
      <c r="H718" s="10"/>
      <c r="I718" s="12"/>
      <c r="J718" s="12">
        <f t="shared" si="243"/>
        <v>0</v>
      </c>
      <c r="L718" s="10">
        <v>23</v>
      </c>
      <c r="M718" s="32"/>
      <c r="N718" s="33"/>
      <c r="O718" s="51"/>
      <c r="Q718" s="34">
        <f t="shared" si="244"/>
        <v>0</v>
      </c>
      <c r="R718" s="10"/>
      <c r="S718" s="10"/>
      <c r="T718" s="10"/>
      <c r="U718" s="12">
        <f t="shared" si="245"/>
        <v>0</v>
      </c>
      <c r="W718" s="10">
        <v>23</v>
      </c>
      <c r="X718" s="32"/>
      <c r="Y718" s="33"/>
      <c r="Z718" s="51"/>
      <c r="AB718" s="34">
        <f t="shared" si="253"/>
        <v>0</v>
      </c>
      <c r="AC718" s="10"/>
      <c r="AD718" s="10"/>
      <c r="AE718" s="10"/>
      <c r="AF718" s="12">
        <f t="shared" si="247"/>
        <v>0</v>
      </c>
    </row>
    <row r="719" spans="1:32" x14ac:dyDescent="0.25">
      <c r="A719" s="10">
        <v>24</v>
      </c>
      <c r="B719" s="32"/>
      <c r="C719" s="33"/>
      <c r="D719" s="34"/>
      <c r="E719" s="34"/>
      <c r="F719" s="34">
        <f t="shared" si="252"/>
        <v>0</v>
      </c>
      <c r="G719" s="10"/>
      <c r="H719" s="10"/>
      <c r="I719" s="10"/>
      <c r="J719" s="12">
        <f t="shared" si="243"/>
        <v>0</v>
      </c>
      <c r="L719" s="10">
        <v>24</v>
      </c>
      <c r="M719" s="32"/>
      <c r="O719" s="51"/>
      <c r="P719" s="33"/>
      <c r="Q719" s="34">
        <f t="shared" si="244"/>
        <v>0</v>
      </c>
      <c r="R719" s="10"/>
      <c r="S719" s="10"/>
      <c r="T719" s="10"/>
      <c r="U719" s="12">
        <f t="shared" si="245"/>
        <v>0</v>
      </c>
      <c r="W719" s="10">
        <v>24</v>
      </c>
      <c r="X719" s="32"/>
      <c r="Y719" s="33"/>
      <c r="Z719" s="51"/>
      <c r="AA719" s="33"/>
      <c r="AB719" s="34">
        <f t="shared" si="253"/>
        <v>0</v>
      </c>
      <c r="AC719" s="10"/>
      <c r="AD719" s="10"/>
      <c r="AE719" s="10"/>
      <c r="AF719" s="12">
        <f t="shared" si="247"/>
        <v>0</v>
      </c>
    </row>
    <row r="720" spans="1:32" x14ac:dyDescent="0.25">
      <c r="A720" s="10">
        <v>25</v>
      </c>
      <c r="B720" s="32"/>
      <c r="C720" s="33"/>
      <c r="D720" s="34"/>
      <c r="E720" s="34"/>
      <c r="F720" s="34">
        <f t="shared" si="252"/>
        <v>0</v>
      </c>
      <c r="G720" s="10"/>
      <c r="H720" s="10"/>
      <c r="I720" s="10"/>
      <c r="J720" s="12">
        <f t="shared" si="243"/>
        <v>0</v>
      </c>
      <c r="L720" s="10">
        <v>25</v>
      </c>
      <c r="M720" s="32"/>
      <c r="O720" s="51"/>
      <c r="P720" s="33"/>
      <c r="Q720" s="34">
        <f t="shared" si="244"/>
        <v>0</v>
      </c>
      <c r="R720" s="10"/>
      <c r="S720" s="10"/>
      <c r="T720" s="10"/>
      <c r="U720" s="12">
        <f t="shared" si="245"/>
        <v>0</v>
      </c>
      <c r="W720" s="10">
        <v>25</v>
      </c>
      <c r="X720" s="32"/>
      <c r="Y720" s="33"/>
      <c r="Z720" s="51"/>
      <c r="AA720" s="33"/>
      <c r="AB720" s="34">
        <f t="shared" si="253"/>
        <v>0</v>
      </c>
      <c r="AC720" s="10"/>
      <c r="AD720" s="10"/>
      <c r="AE720" s="10"/>
      <c r="AF720" s="12">
        <f t="shared" si="247"/>
        <v>0</v>
      </c>
    </row>
    <row r="721" spans="1:32" x14ac:dyDescent="0.25">
      <c r="A721" s="10">
        <v>26</v>
      </c>
      <c r="B721" s="32"/>
      <c r="C721" s="33"/>
      <c r="D721" s="34"/>
      <c r="E721" s="34"/>
      <c r="F721" s="34">
        <f t="shared" si="252"/>
        <v>0</v>
      </c>
      <c r="G721" s="10"/>
      <c r="H721" s="10"/>
      <c r="I721" s="10"/>
      <c r="J721" s="12">
        <f t="shared" si="243"/>
        <v>0</v>
      </c>
      <c r="L721" s="10">
        <v>26</v>
      </c>
      <c r="M721" s="32"/>
      <c r="N721" s="33"/>
      <c r="O721" s="51"/>
      <c r="P721" s="33"/>
      <c r="Q721" s="34">
        <f t="shared" si="244"/>
        <v>0</v>
      </c>
      <c r="R721" s="10"/>
      <c r="S721" s="10"/>
      <c r="T721" s="10"/>
      <c r="U721" s="12">
        <f t="shared" si="245"/>
        <v>0</v>
      </c>
      <c r="W721" s="10">
        <v>26</v>
      </c>
      <c r="X721" s="32"/>
      <c r="Y721" s="33"/>
      <c r="Z721" s="51"/>
      <c r="AA721" s="33"/>
      <c r="AB721" s="34">
        <f t="shared" si="253"/>
        <v>0</v>
      </c>
      <c r="AC721" s="10"/>
      <c r="AD721" s="10"/>
      <c r="AE721" s="10"/>
      <c r="AF721" s="12">
        <f t="shared" si="247"/>
        <v>0</v>
      </c>
    </row>
    <row r="722" spans="1:32" x14ac:dyDescent="0.25">
      <c r="A722" s="10">
        <v>27</v>
      </c>
      <c r="B722" s="32"/>
      <c r="C722" s="33"/>
      <c r="D722" s="34"/>
      <c r="E722" s="34"/>
      <c r="F722" s="34">
        <f t="shared" si="252"/>
        <v>0</v>
      </c>
      <c r="G722" s="10"/>
      <c r="H722" s="10"/>
      <c r="I722" s="10"/>
      <c r="J722" s="12">
        <f t="shared" si="243"/>
        <v>0</v>
      </c>
      <c r="L722" s="10">
        <v>27</v>
      </c>
      <c r="M722" s="32"/>
      <c r="N722" s="33"/>
      <c r="O722" s="51"/>
      <c r="P722" s="33"/>
      <c r="Q722" s="34">
        <f t="shared" si="244"/>
        <v>0</v>
      </c>
      <c r="R722" s="10"/>
      <c r="S722" s="10"/>
      <c r="T722" s="10"/>
      <c r="U722" s="12">
        <f t="shared" si="245"/>
        <v>0</v>
      </c>
      <c r="W722" s="10">
        <v>27</v>
      </c>
      <c r="X722" s="32"/>
      <c r="Y722" s="33"/>
      <c r="Z722" s="51"/>
      <c r="AA722" s="33"/>
      <c r="AB722" s="34">
        <f t="shared" si="253"/>
        <v>0</v>
      </c>
      <c r="AC722" s="10"/>
      <c r="AD722" s="10"/>
      <c r="AE722" s="10"/>
      <c r="AF722" s="12">
        <f t="shared" si="247"/>
        <v>0</v>
      </c>
    </row>
    <row r="723" spans="1:32" x14ac:dyDescent="0.25">
      <c r="A723" s="10">
        <v>28</v>
      </c>
      <c r="B723" s="32"/>
      <c r="C723" s="33"/>
      <c r="D723" s="34"/>
      <c r="E723" s="34"/>
      <c r="F723" s="34">
        <f t="shared" si="252"/>
        <v>0</v>
      </c>
      <c r="G723" s="10"/>
      <c r="H723" s="10"/>
      <c r="I723" s="10"/>
      <c r="J723" s="12">
        <f t="shared" si="243"/>
        <v>0</v>
      </c>
      <c r="L723" s="10">
        <v>28</v>
      </c>
      <c r="M723" s="32"/>
      <c r="O723" s="51"/>
      <c r="P723" s="33"/>
      <c r="Q723" s="34">
        <f t="shared" si="244"/>
        <v>0</v>
      </c>
      <c r="R723" s="10"/>
      <c r="S723" s="10"/>
      <c r="T723" s="10"/>
      <c r="U723" s="12">
        <f t="shared" si="245"/>
        <v>0</v>
      </c>
      <c r="W723" s="10">
        <v>28</v>
      </c>
      <c r="X723" s="32"/>
      <c r="Z723" s="51"/>
      <c r="AA723" s="33"/>
      <c r="AB723" s="34">
        <f t="shared" si="253"/>
        <v>0</v>
      </c>
      <c r="AC723" s="10"/>
      <c r="AD723" s="10"/>
      <c r="AE723" s="10"/>
      <c r="AF723" s="12">
        <f t="shared" si="247"/>
        <v>0</v>
      </c>
    </row>
    <row r="724" spans="1:32" x14ac:dyDescent="0.25">
      <c r="A724" s="10">
        <v>29</v>
      </c>
      <c r="B724" s="32"/>
      <c r="C724" s="33"/>
      <c r="D724" s="34"/>
      <c r="E724" s="34"/>
      <c r="F724" s="34">
        <f t="shared" si="252"/>
        <v>0</v>
      </c>
      <c r="G724" s="10"/>
      <c r="H724" s="10"/>
      <c r="I724" s="10"/>
      <c r="J724" s="12">
        <f t="shared" si="243"/>
        <v>0</v>
      </c>
      <c r="L724" s="10">
        <v>29</v>
      </c>
      <c r="M724" s="32"/>
      <c r="O724" s="51"/>
      <c r="P724" s="33"/>
      <c r="Q724" s="34">
        <f t="shared" si="244"/>
        <v>0</v>
      </c>
      <c r="R724" s="10"/>
      <c r="S724" s="10"/>
      <c r="T724" s="10"/>
      <c r="U724" s="12">
        <f t="shared" si="245"/>
        <v>0</v>
      </c>
      <c r="W724" s="10">
        <v>29</v>
      </c>
      <c r="X724" s="32"/>
      <c r="Z724" s="51"/>
      <c r="AA724" s="33"/>
      <c r="AB724" s="34">
        <f t="shared" si="253"/>
        <v>0</v>
      </c>
      <c r="AC724" s="10"/>
      <c r="AD724" s="10"/>
      <c r="AE724" s="10"/>
      <c r="AF724" s="12">
        <f t="shared" si="247"/>
        <v>0</v>
      </c>
    </row>
    <row r="725" spans="1:32" x14ac:dyDescent="0.25">
      <c r="A725" s="10">
        <v>30</v>
      </c>
      <c r="B725" s="32"/>
      <c r="C725" s="33"/>
      <c r="D725" s="34"/>
      <c r="E725" s="34"/>
      <c r="F725" s="34">
        <f t="shared" si="252"/>
        <v>0</v>
      </c>
      <c r="G725" s="10"/>
      <c r="H725" s="10"/>
      <c r="I725" s="10"/>
      <c r="J725" s="12">
        <f t="shared" si="243"/>
        <v>0</v>
      </c>
      <c r="L725" s="10">
        <v>30</v>
      </c>
      <c r="M725" s="32"/>
      <c r="N725" s="33"/>
      <c r="O725" s="51"/>
      <c r="P725" s="33"/>
      <c r="Q725" s="34">
        <f t="shared" si="244"/>
        <v>0</v>
      </c>
      <c r="R725" s="10"/>
      <c r="S725" s="10"/>
      <c r="T725" s="10"/>
      <c r="U725" s="12">
        <f t="shared" si="245"/>
        <v>0</v>
      </c>
      <c r="W725" s="10">
        <v>30</v>
      </c>
      <c r="X725" s="32"/>
      <c r="Y725" s="33"/>
      <c r="Z725" s="51"/>
      <c r="AA725" s="33"/>
      <c r="AB725" s="34">
        <f t="shared" si="253"/>
        <v>0</v>
      </c>
      <c r="AC725" s="10"/>
      <c r="AD725" s="10"/>
      <c r="AE725" s="10"/>
      <c r="AF725" s="12">
        <f t="shared" si="247"/>
        <v>0</v>
      </c>
    </row>
    <row r="726" spans="1:32" x14ac:dyDescent="0.25">
      <c r="A726" s="10">
        <v>31</v>
      </c>
      <c r="B726" s="32"/>
      <c r="C726" s="33"/>
      <c r="D726" s="34"/>
      <c r="E726" s="34"/>
      <c r="F726" s="34">
        <f t="shared" si="252"/>
        <v>0</v>
      </c>
      <c r="G726" s="10"/>
      <c r="H726" s="10"/>
      <c r="I726" s="10"/>
      <c r="J726" s="12">
        <f t="shared" si="243"/>
        <v>0</v>
      </c>
      <c r="L726" s="10">
        <v>31</v>
      </c>
      <c r="M726" s="32"/>
      <c r="N726" s="33"/>
      <c r="O726" s="51"/>
      <c r="P726" s="33"/>
      <c r="Q726" s="34">
        <f t="shared" si="244"/>
        <v>0</v>
      </c>
      <c r="R726" s="10"/>
      <c r="S726" s="10"/>
      <c r="T726" s="10"/>
      <c r="U726" s="12">
        <f t="shared" si="245"/>
        <v>0</v>
      </c>
      <c r="W726" s="10">
        <v>31</v>
      </c>
      <c r="X726" s="32"/>
      <c r="Z726" s="51"/>
      <c r="AA726" s="33"/>
      <c r="AB726" s="34">
        <f t="shared" si="253"/>
        <v>0</v>
      </c>
      <c r="AC726" s="10"/>
      <c r="AD726" s="10"/>
      <c r="AE726" s="10"/>
      <c r="AF726" s="12">
        <f t="shared" si="247"/>
        <v>0</v>
      </c>
    </row>
    <row r="727" spans="1:32" x14ac:dyDescent="0.25">
      <c r="A727" s="10">
        <v>32</v>
      </c>
      <c r="B727" s="32"/>
      <c r="C727" s="33"/>
      <c r="D727" s="34"/>
      <c r="E727" s="34"/>
      <c r="F727" s="34">
        <f t="shared" si="252"/>
        <v>0</v>
      </c>
      <c r="G727" s="10"/>
      <c r="H727" s="10"/>
      <c r="I727" s="10"/>
      <c r="J727" s="12">
        <f t="shared" si="243"/>
        <v>0</v>
      </c>
      <c r="L727" s="10">
        <v>32</v>
      </c>
      <c r="M727" s="32"/>
      <c r="N727" s="33"/>
      <c r="O727" s="51"/>
      <c r="P727" s="33"/>
      <c r="Q727" s="34">
        <f t="shared" si="244"/>
        <v>0</v>
      </c>
      <c r="R727" s="10"/>
      <c r="S727" s="10"/>
      <c r="T727" s="10"/>
      <c r="U727" s="12">
        <f t="shared" si="245"/>
        <v>0</v>
      </c>
      <c r="W727" s="10">
        <v>32</v>
      </c>
      <c r="X727" s="32"/>
      <c r="Y727" s="33"/>
      <c r="Z727" s="51"/>
      <c r="AA727" s="33"/>
      <c r="AB727" s="34">
        <f t="shared" si="253"/>
        <v>0</v>
      </c>
      <c r="AC727" s="10"/>
      <c r="AD727" s="10"/>
      <c r="AE727" s="10"/>
      <c r="AF727" s="12">
        <f t="shared" si="247"/>
        <v>0</v>
      </c>
    </row>
    <row r="728" spans="1:32" x14ac:dyDescent="0.25">
      <c r="A728" s="10">
        <v>33</v>
      </c>
      <c r="B728" s="32"/>
      <c r="D728" s="34"/>
      <c r="E728" s="34"/>
      <c r="F728" s="34">
        <f t="shared" si="252"/>
        <v>0</v>
      </c>
      <c r="G728" s="10"/>
      <c r="H728" s="10"/>
      <c r="I728" s="10"/>
      <c r="J728" s="12">
        <f t="shared" si="243"/>
        <v>0</v>
      </c>
      <c r="L728" s="10">
        <v>33</v>
      </c>
      <c r="M728" s="32"/>
      <c r="N728" s="33"/>
      <c r="O728" s="51"/>
      <c r="P728" s="33"/>
      <c r="Q728" s="34">
        <f t="shared" si="244"/>
        <v>0</v>
      </c>
      <c r="R728" s="10"/>
      <c r="S728" s="10"/>
      <c r="T728" s="10"/>
      <c r="U728" s="12">
        <f t="shared" si="245"/>
        <v>0</v>
      </c>
      <c r="W728" s="10">
        <v>33</v>
      </c>
      <c r="X728" s="32"/>
      <c r="Y728" s="33"/>
      <c r="Z728" s="51"/>
      <c r="AA728" s="33"/>
      <c r="AB728" s="34">
        <f t="shared" si="253"/>
        <v>0</v>
      </c>
      <c r="AC728" s="10"/>
      <c r="AD728" s="10"/>
      <c r="AE728" s="10"/>
      <c r="AF728" s="12">
        <f t="shared" si="247"/>
        <v>0</v>
      </c>
    </row>
    <row r="729" spans="1:32" x14ac:dyDescent="0.25">
      <c r="A729" s="10"/>
      <c r="B729" s="32"/>
      <c r="C729" s="33"/>
      <c r="D729" s="34"/>
      <c r="E729" s="34"/>
      <c r="F729" s="34">
        <f t="shared" si="252"/>
        <v>0</v>
      </c>
      <c r="G729" s="10"/>
      <c r="H729" s="10"/>
      <c r="I729" s="10"/>
      <c r="J729" s="12">
        <f t="shared" si="243"/>
        <v>0</v>
      </c>
      <c r="L729" s="10">
        <v>34</v>
      </c>
      <c r="M729" s="32"/>
      <c r="N729" s="33"/>
      <c r="O729" s="51"/>
      <c r="P729" s="33"/>
      <c r="Q729" s="34">
        <f t="shared" ref="Q729:Q734" si="254">SUM(O729:P729)</f>
        <v>0</v>
      </c>
      <c r="R729" s="10"/>
      <c r="S729" s="10"/>
      <c r="T729" s="10"/>
      <c r="U729" s="12">
        <f t="shared" si="245"/>
        <v>0</v>
      </c>
      <c r="W729" s="10">
        <v>34</v>
      </c>
      <c r="X729" s="32"/>
      <c r="Y729" s="33"/>
      <c r="Z729" s="51"/>
      <c r="AA729" s="33"/>
      <c r="AB729" s="34">
        <f t="shared" ref="AB729:AB734" si="255">SUM(Z729:AA729)</f>
        <v>0</v>
      </c>
      <c r="AC729" s="10"/>
      <c r="AD729" s="10"/>
      <c r="AE729" s="10"/>
      <c r="AF729" s="12">
        <f t="shared" si="247"/>
        <v>0</v>
      </c>
    </row>
    <row r="730" spans="1:32" x14ac:dyDescent="0.25">
      <c r="A730" s="10"/>
      <c r="B730" s="32"/>
      <c r="C730" s="33"/>
      <c r="D730" s="34"/>
      <c r="E730" s="34"/>
      <c r="F730" s="34">
        <f t="shared" si="252"/>
        <v>0</v>
      </c>
      <c r="G730" s="10"/>
      <c r="H730" s="10"/>
      <c r="I730" s="10"/>
      <c r="J730" s="12">
        <f t="shared" si="243"/>
        <v>0</v>
      </c>
      <c r="L730" s="10">
        <v>35</v>
      </c>
      <c r="M730" s="32"/>
      <c r="O730" s="51"/>
      <c r="P730" s="33"/>
      <c r="Q730" s="34">
        <f t="shared" si="254"/>
        <v>0</v>
      </c>
      <c r="R730" s="10"/>
      <c r="S730" s="10"/>
      <c r="T730" s="10"/>
      <c r="U730" s="12">
        <f t="shared" si="245"/>
        <v>0</v>
      </c>
      <c r="W730" s="10">
        <v>35</v>
      </c>
      <c r="X730" s="32"/>
      <c r="Y730" s="33"/>
      <c r="Z730" s="51"/>
      <c r="AA730" s="33"/>
      <c r="AB730" s="34">
        <f t="shared" si="255"/>
        <v>0</v>
      </c>
      <c r="AC730" s="10"/>
      <c r="AD730" s="10"/>
      <c r="AE730" s="10"/>
      <c r="AF730" s="12">
        <f t="shared" si="247"/>
        <v>0</v>
      </c>
    </row>
    <row r="731" spans="1:32" x14ac:dyDescent="0.25">
      <c r="A731" s="10"/>
      <c r="B731" s="32"/>
      <c r="C731" s="70"/>
      <c r="D731" s="34"/>
      <c r="E731" s="34"/>
      <c r="F731" s="34">
        <f t="shared" si="252"/>
        <v>0</v>
      </c>
      <c r="G731" s="10"/>
      <c r="H731" s="10"/>
      <c r="I731" s="10"/>
      <c r="J731" s="12">
        <f t="shared" si="243"/>
        <v>0</v>
      </c>
      <c r="L731" s="10">
        <v>36</v>
      </c>
      <c r="M731" s="32"/>
      <c r="N731" s="33"/>
      <c r="O731" s="51"/>
      <c r="P731" s="33"/>
      <c r="Q731" s="34">
        <f t="shared" si="254"/>
        <v>0</v>
      </c>
      <c r="R731" s="10"/>
      <c r="S731" s="10"/>
      <c r="T731" s="10"/>
      <c r="U731" s="12">
        <f t="shared" si="245"/>
        <v>0</v>
      </c>
      <c r="W731" s="10">
        <v>36</v>
      </c>
      <c r="X731" s="32"/>
      <c r="Y731" s="33"/>
      <c r="Z731" s="51"/>
      <c r="AA731" s="33"/>
      <c r="AB731" s="34">
        <f t="shared" si="255"/>
        <v>0</v>
      </c>
      <c r="AC731" s="10"/>
      <c r="AD731" s="10"/>
      <c r="AE731" s="10"/>
      <c r="AF731" s="12">
        <f t="shared" si="247"/>
        <v>0</v>
      </c>
    </row>
    <row r="732" spans="1:32" x14ac:dyDescent="0.25">
      <c r="A732" s="10"/>
      <c r="B732" s="32"/>
      <c r="C732" s="33"/>
      <c r="D732" s="34"/>
      <c r="E732" s="34"/>
      <c r="F732" s="34">
        <f t="shared" si="252"/>
        <v>0</v>
      </c>
      <c r="G732" s="10"/>
      <c r="H732" s="10"/>
      <c r="I732" s="10"/>
      <c r="J732" s="12">
        <f t="shared" si="243"/>
        <v>0</v>
      </c>
      <c r="L732" s="10">
        <v>37</v>
      </c>
      <c r="M732" s="32"/>
      <c r="N732" s="33"/>
      <c r="O732" s="51"/>
      <c r="P732" s="33"/>
      <c r="Q732" s="34">
        <f t="shared" si="254"/>
        <v>0</v>
      </c>
      <c r="R732" s="10"/>
      <c r="S732" s="10"/>
      <c r="T732" s="10"/>
      <c r="U732" s="12">
        <f t="shared" si="245"/>
        <v>0</v>
      </c>
      <c r="W732" s="10">
        <v>37</v>
      </c>
      <c r="X732" s="32"/>
      <c r="Y732" s="33"/>
      <c r="Z732" s="51"/>
      <c r="AA732" s="33"/>
      <c r="AB732" s="34">
        <f t="shared" si="255"/>
        <v>0</v>
      </c>
      <c r="AC732" s="10"/>
      <c r="AD732" s="10"/>
      <c r="AE732" s="10"/>
      <c r="AF732" s="12">
        <f t="shared" si="247"/>
        <v>0</v>
      </c>
    </row>
    <row r="733" spans="1:32" x14ac:dyDescent="0.25">
      <c r="A733" s="10"/>
      <c r="B733" s="32"/>
      <c r="C733" s="70"/>
      <c r="D733" s="34"/>
      <c r="E733" s="34"/>
      <c r="F733" s="34">
        <f t="shared" si="252"/>
        <v>0</v>
      </c>
      <c r="G733" s="10"/>
      <c r="H733" s="10"/>
      <c r="I733" s="10"/>
      <c r="J733" s="12">
        <f t="shared" si="243"/>
        <v>0</v>
      </c>
      <c r="L733" s="10">
        <v>38</v>
      </c>
      <c r="M733" s="32"/>
      <c r="N733" s="33"/>
      <c r="O733" s="51"/>
      <c r="P733" s="33"/>
      <c r="Q733" s="34">
        <f t="shared" si="254"/>
        <v>0</v>
      </c>
      <c r="R733" s="10"/>
      <c r="S733" s="10"/>
      <c r="T733" s="10"/>
      <c r="U733" s="12">
        <f t="shared" si="245"/>
        <v>0</v>
      </c>
      <c r="W733" s="10">
        <v>38</v>
      </c>
      <c r="X733" s="32"/>
      <c r="Y733" s="33"/>
      <c r="Z733" s="51"/>
      <c r="AA733" s="33"/>
      <c r="AB733" s="34">
        <f t="shared" si="255"/>
        <v>0</v>
      </c>
      <c r="AC733" s="10"/>
      <c r="AD733" s="10"/>
      <c r="AE733" s="10"/>
      <c r="AF733" s="12">
        <f t="shared" si="247"/>
        <v>0</v>
      </c>
    </row>
    <row r="734" spans="1:32" x14ac:dyDescent="0.25">
      <c r="A734" s="10"/>
      <c r="B734" s="32"/>
      <c r="C734" s="33"/>
      <c r="D734" s="34"/>
      <c r="E734" s="34"/>
      <c r="F734" s="34">
        <f t="shared" si="252"/>
        <v>0</v>
      </c>
      <c r="G734" s="10"/>
      <c r="H734" s="10"/>
      <c r="I734" s="10"/>
      <c r="J734" s="12">
        <f t="shared" si="243"/>
        <v>0</v>
      </c>
      <c r="L734" s="10">
        <v>39</v>
      </c>
      <c r="M734" s="32"/>
      <c r="N734" s="33"/>
      <c r="O734" s="51"/>
      <c r="P734" s="33"/>
      <c r="Q734" s="34">
        <f t="shared" si="254"/>
        <v>0</v>
      </c>
      <c r="R734" s="10"/>
      <c r="S734" s="10"/>
      <c r="T734" s="10"/>
      <c r="U734" s="12">
        <f t="shared" si="245"/>
        <v>0</v>
      </c>
      <c r="W734" s="10">
        <v>39</v>
      </c>
      <c r="X734" s="32"/>
      <c r="Y734" s="33"/>
      <c r="Z734" s="51"/>
      <c r="AA734" s="33"/>
      <c r="AB734" s="34">
        <f t="shared" si="255"/>
        <v>0</v>
      </c>
      <c r="AC734" s="10"/>
      <c r="AD734" s="10"/>
      <c r="AE734" s="10"/>
      <c r="AF734" s="12">
        <f t="shared" si="247"/>
        <v>0</v>
      </c>
    </row>
    <row r="735" spans="1:32" x14ac:dyDescent="0.25">
      <c r="A735" s="10"/>
      <c r="B735" s="32"/>
      <c r="C735" s="33"/>
      <c r="D735" s="34"/>
      <c r="E735" s="34"/>
      <c r="F735" s="34">
        <f t="shared" si="252"/>
        <v>0</v>
      </c>
      <c r="G735" s="10"/>
      <c r="H735" s="10"/>
      <c r="I735" s="10"/>
      <c r="J735" s="12">
        <f t="shared" si="243"/>
        <v>0</v>
      </c>
      <c r="L735" s="10"/>
      <c r="M735" s="32"/>
      <c r="O735" s="51"/>
      <c r="P735" s="33"/>
      <c r="Q735" s="34"/>
      <c r="R735" s="10"/>
      <c r="S735" s="10"/>
      <c r="T735" s="10"/>
      <c r="U735" s="12">
        <f t="shared" si="245"/>
        <v>0</v>
      </c>
      <c r="W735" s="10"/>
      <c r="X735" s="32"/>
      <c r="Z735" s="51"/>
      <c r="AA735" s="33"/>
      <c r="AB735" s="34"/>
      <c r="AC735" s="10"/>
      <c r="AD735" s="10"/>
      <c r="AE735" s="10"/>
      <c r="AF735" s="12">
        <f t="shared" si="247"/>
        <v>0</v>
      </c>
    </row>
    <row r="736" spans="1:32" x14ac:dyDescent="0.25">
      <c r="A736" s="10"/>
      <c r="B736" s="32"/>
      <c r="C736" s="70"/>
      <c r="D736" s="34"/>
      <c r="E736" s="34"/>
      <c r="F736" s="34">
        <f t="shared" si="252"/>
        <v>0</v>
      </c>
      <c r="G736" s="10"/>
      <c r="H736" s="10"/>
      <c r="I736" s="10"/>
      <c r="J736" s="12">
        <f t="shared" ref="J736" si="256">SUM(F736:I736)</f>
        <v>0</v>
      </c>
      <c r="L736" s="10"/>
      <c r="M736" s="32"/>
      <c r="N736" s="33"/>
      <c r="O736" s="51"/>
      <c r="P736" s="33"/>
      <c r="Q736" s="34">
        <f t="shared" ref="Q736" si="257">SUM(O736:P736)</f>
        <v>0</v>
      </c>
      <c r="R736" s="10"/>
      <c r="S736" s="10"/>
      <c r="T736" s="10"/>
      <c r="U736" s="12">
        <f t="shared" si="245"/>
        <v>0</v>
      </c>
      <c r="W736" s="10"/>
      <c r="X736" s="32"/>
      <c r="Y736" s="33"/>
      <c r="Z736" s="51"/>
      <c r="AA736" s="33"/>
      <c r="AB736" s="34">
        <f t="shared" ref="AB736" si="258">SUM(Z736:AA736)</f>
        <v>0</v>
      </c>
      <c r="AC736" s="10"/>
      <c r="AD736" s="10"/>
      <c r="AE736" s="10"/>
      <c r="AF736" s="12">
        <f t="shared" si="247"/>
        <v>0</v>
      </c>
    </row>
    <row r="737" spans="1:32" x14ac:dyDescent="0.25">
      <c r="A737" s="10"/>
      <c r="B737" s="32"/>
      <c r="C737" s="32"/>
      <c r="D737" s="34"/>
      <c r="E737" s="34"/>
      <c r="F737" s="34"/>
      <c r="G737" s="10"/>
      <c r="H737" s="10"/>
      <c r="I737" s="10"/>
      <c r="J737" s="12"/>
      <c r="L737" s="10"/>
      <c r="M737" s="33"/>
      <c r="N737" s="33"/>
      <c r="O737" s="33"/>
      <c r="P737" s="33"/>
      <c r="Q737" s="33"/>
      <c r="R737" s="10"/>
      <c r="S737" s="10"/>
      <c r="T737" s="10"/>
      <c r="U737" s="12">
        <f t="shared" si="245"/>
        <v>0</v>
      </c>
      <c r="W737" s="10"/>
      <c r="X737" s="33"/>
      <c r="Y737" s="33"/>
      <c r="Z737" s="33"/>
      <c r="AA737" s="33"/>
      <c r="AB737" s="33"/>
      <c r="AC737" s="10"/>
      <c r="AD737" s="10"/>
      <c r="AE737" s="10"/>
      <c r="AF737" s="12">
        <f t="shared" si="247"/>
        <v>0</v>
      </c>
    </row>
    <row r="738" spans="1:32" x14ac:dyDescent="0.25">
      <c r="B738" s="70"/>
      <c r="C738" s="70"/>
      <c r="D738" s="38"/>
      <c r="E738" s="38"/>
      <c r="F738" s="38"/>
      <c r="G738" s="39"/>
      <c r="H738" s="39"/>
      <c r="I738" s="39"/>
      <c r="J738" s="39"/>
      <c r="M738" s="70"/>
      <c r="N738" s="70"/>
      <c r="O738" s="38"/>
      <c r="P738" s="38"/>
      <c r="Q738" s="38"/>
      <c r="R738" s="39"/>
      <c r="S738" s="39"/>
      <c r="T738" s="39"/>
      <c r="U738" s="39"/>
      <c r="X738" s="70"/>
      <c r="Y738" s="70"/>
      <c r="Z738" s="38"/>
      <c r="AA738" s="38"/>
      <c r="AB738" s="38"/>
      <c r="AC738" s="39"/>
      <c r="AD738" s="39"/>
      <c r="AE738" s="39"/>
      <c r="AF738" s="39"/>
    </row>
    <row r="739" spans="1:32" x14ac:dyDescent="0.25">
      <c r="B739" s="70"/>
      <c r="C739" s="70"/>
      <c r="D739" s="40">
        <f>SUM(D696:D738)</f>
        <v>396333</v>
      </c>
      <c r="E739" s="40">
        <f t="shared" ref="E739" si="259">SUM(E696:E736)</f>
        <v>-4914</v>
      </c>
      <c r="F739" s="40">
        <f>SUM(F696:F738)</f>
        <v>391419</v>
      </c>
      <c r="G739" s="4"/>
      <c r="H739" s="41">
        <f>SUM(H696:H738)</f>
        <v>1810.5</v>
      </c>
      <c r="I739" s="41">
        <f>SUM(I696:I738)</f>
        <v>-1008</v>
      </c>
      <c r="J739" s="42">
        <f>SUM(J696:J738)</f>
        <v>392221.5</v>
      </c>
      <c r="M739" s="70"/>
      <c r="N739" s="70"/>
      <c r="O739" s="40">
        <f>SUM(O696:O738)</f>
        <v>163645.5</v>
      </c>
      <c r="P739" s="40">
        <f>SUM(P696:P720)</f>
        <v>-1560</v>
      </c>
      <c r="Q739" s="40">
        <f>SUM(Q696:Q738)</f>
        <v>162085.5</v>
      </c>
      <c r="R739" s="4"/>
      <c r="S739" s="43">
        <f>SUM(S696:S738)</f>
        <v>0</v>
      </c>
      <c r="T739" s="43">
        <f>SUM(T696:T720)</f>
        <v>-28290</v>
      </c>
      <c r="U739" s="44">
        <f>SUM(U696:U738)</f>
        <v>133795.5</v>
      </c>
      <c r="X739" s="70"/>
      <c r="Y739" s="70"/>
      <c r="Z739" s="40">
        <f>SUM(Z696:Z738)</f>
        <v>203626</v>
      </c>
      <c r="AA739" s="40">
        <f>SUM(AA696:AA720)</f>
        <v>-936</v>
      </c>
      <c r="AB739" s="40">
        <f>SUM(AB696:AB738)</f>
        <v>202690</v>
      </c>
      <c r="AC739" s="4"/>
      <c r="AD739" s="43">
        <f>SUM(AD696:AD738)</f>
        <v>19.5</v>
      </c>
      <c r="AE739" s="43">
        <f>SUM(AE696:AE720)</f>
        <v>-1401</v>
      </c>
      <c r="AF739" s="44">
        <f>SUM(AF696:AF738)</f>
        <v>201308.5</v>
      </c>
    </row>
    <row r="740" spans="1:32" x14ac:dyDescent="0.25">
      <c r="B740" s="70"/>
      <c r="C740" s="70"/>
      <c r="D740" s="70"/>
      <c r="E740" s="70"/>
      <c r="F740" s="70"/>
      <c r="M740" s="70"/>
      <c r="N740" s="70"/>
      <c r="O740" s="45"/>
      <c r="P740" s="70"/>
      <c r="Q740" s="70"/>
      <c r="X740" s="70"/>
      <c r="Y740" s="70"/>
      <c r="Z740" s="45"/>
      <c r="AA740" s="70"/>
      <c r="AB740" s="70"/>
    </row>
    <row r="741" spans="1:32" x14ac:dyDescent="0.25">
      <c r="B741" s="70"/>
      <c r="C741" s="70"/>
      <c r="D741" s="70"/>
      <c r="E741" s="70"/>
      <c r="F741" s="70"/>
      <c r="M741" s="70"/>
      <c r="N741" s="70"/>
      <c r="O741" s="70"/>
      <c r="P741" s="70"/>
      <c r="Q741" s="70"/>
      <c r="X741" s="70"/>
      <c r="Y741" s="70"/>
      <c r="Z741" s="70"/>
      <c r="AA741" s="70"/>
      <c r="AB741" s="70"/>
    </row>
    <row r="742" spans="1:32" x14ac:dyDescent="0.25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</row>
    <row r="743" spans="1:32" x14ac:dyDescent="0.25">
      <c r="A743" t="s">
        <v>0</v>
      </c>
      <c r="B743" s="70"/>
      <c r="C743" s="70"/>
      <c r="D743" s="70"/>
      <c r="E743" s="70"/>
      <c r="F743" s="70"/>
      <c r="L743" t="s">
        <v>0</v>
      </c>
      <c r="M743" s="70"/>
      <c r="N743" s="70"/>
      <c r="O743" s="70"/>
      <c r="P743" s="70"/>
      <c r="Q743" s="70"/>
      <c r="W743" t="s">
        <v>0</v>
      </c>
      <c r="X743" s="70"/>
      <c r="Y743" s="70"/>
      <c r="Z743" s="70"/>
      <c r="AA743" s="70"/>
      <c r="AB743" s="70"/>
    </row>
    <row r="744" spans="1:32" x14ac:dyDescent="0.25">
      <c r="A744" t="s">
        <v>30</v>
      </c>
      <c r="B744" s="70"/>
      <c r="C744" s="70"/>
      <c r="D744" s="70"/>
      <c r="E744" s="70"/>
      <c r="F744" s="70"/>
      <c r="L744" t="s">
        <v>30</v>
      </c>
      <c r="M744" s="70"/>
      <c r="N744" s="70"/>
      <c r="O744" s="70"/>
      <c r="P744" s="70"/>
      <c r="Q744" s="70"/>
      <c r="W744" t="s">
        <v>30</v>
      </c>
      <c r="X744" s="70"/>
      <c r="Y744" s="70"/>
      <c r="Z744" s="70"/>
      <c r="AA744" s="70"/>
      <c r="AB744" s="70"/>
    </row>
    <row r="745" spans="1:32" x14ac:dyDescent="0.25">
      <c r="B745" s="70"/>
      <c r="C745" s="70"/>
      <c r="D745" s="70"/>
      <c r="E745" s="70"/>
      <c r="F745" s="70"/>
      <c r="M745" s="70"/>
      <c r="N745" s="70"/>
      <c r="O745" s="70"/>
      <c r="P745" s="70"/>
      <c r="Q745" s="70"/>
      <c r="X745" s="70"/>
      <c r="Y745" s="70"/>
      <c r="Z745" s="70"/>
      <c r="AA745" s="70"/>
      <c r="AB745" s="70"/>
    </row>
    <row r="746" spans="1:32" x14ac:dyDescent="0.25">
      <c r="A746" s="4" t="s">
        <v>15</v>
      </c>
      <c r="B746" s="70"/>
      <c r="C746" s="70"/>
      <c r="D746" s="70"/>
      <c r="E746" s="70"/>
      <c r="F746" s="70"/>
      <c r="L746" s="4" t="s">
        <v>15</v>
      </c>
      <c r="M746" s="70"/>
      <c r="N746" s="70"/>
      <c r="O746" s="70"/>
      <c r="P746" s="70"/>
      <c r="Q746" s="70"/>
      <c r="W746" s="4" t="s">
        <v>15</v>
      </c>
      <c r="X746" s="70"/>
      <c r="Y746" s="70"/>
      <c r="Z746" s="70"/>
      <c r="AA746" s="70"/>
      <c r="AB746" s="70"/>
    </row>
    <row r="747" spans="1:32" x14ac:dyDescent="0.25">
      <c r="B747" s="70"/>
      <c r="C747" s="70"/>
      <c r="D747" s="70"/>
      <c r="E747" s="70"/>
      <c r="F747" s="70"/>
      <c r="M747" s="70"/>
      <c r="N747" s="70"/>
      <c r="O747" s="70"/>
      <c r="P747" s="70"/>
      <c r="Q747" s="70"/>
      <c r="X747" s="70"/>
      <c r="Y747" s="70"/>
      <c r="Z747" s="70"/>
      <c r="AA747" s="70"/>
      <c r="AB747" s="70"/>
    </row>
    <row r="748" spans="1:32" ht="15.75" x14ac:dyDescent="0.25">
      <c r="A748" t="s">
        <v>38</v>
      </c>
      <c r="B748" s="70"/>
      <c r="C748" s="70"/>
      <c r="D748" s="70"/>
      <c r="E748" s="70"/>
      <c r="F748" s="70"/>
      <c r="H748" s="70" t="s">
        <v>16</v>
      </c>
      <c r="I748" s="19">
        <v>1</v>
      </c>
      <c r="L748" t="s">
        <v>38</v>
      </c>
      <c r="M748" s="70"/>
      <c r="N748" s="70"/>
      <c r="O748" s="70"/>
      <c r="P748" s="70"/>
      <c r="Q748" s="70"/>
      <c r="S748" s="70" t="s">
        <v>16</v>
      </c>
      <c r="T748" s="19">
        <v>2</v>
      </c>
      <c r="W748" t="s">
        <v>38</v>
      </c>
      <c r="X748" s="70"/>
      <c r="Y748" s="70"/>
      <c r="Z748" s="70"/>
      <c r="AA748" s="70"/>
      <c r="AB748" s="70"/>
      <c r="AD748" s="70" t="s">
        <v>16</v>
      </c>
      <c r="AE748" s="20">
        <v>3</v>
      </c>
    </row>
    <row r="749" spans="1:32" x14ac:dyDescent="0.25">
      <c r="A749" s="21" t="s">
        <v>74</v>
      </c>
      <c r="B749" s="20"/>
      <c r="C749" s="70"/>
      <c r="D749" s="70"/>
      <c r="E749" s="70"/>
      <c r="F749" s="70"/>
      <c r="H749" s="22" t="s">
        <v>17</v>
      </c>
      <c r="I749" s="23" t="s">
        <v>46</v>
      </c>
      <c r="J749" s="24"/>
      <c r="L749" s="21" t="s">
        <v>74</v>
      </c>
      <c r="M749" s="20"/>
      <c r="N749" s="70"/>
      <c r="O749" s="70"/>
      <c r="P749" s="70"/>
      <c r="Q749" s="70"/>
      <c r="S749" s="22" t="s">
        <v>17</v>
      </c>
      <c r="T749" s="23" t="s">
        <v>44</v>
      </c>
      <c r="U749" s="24"/>
      <c r="W749" s="21" t="s">
        <v>74</v>
      </c>
      <c r="X749" s="20"/>
      <c r="Y749" s="70"/>
      <c r="Z749" s="70"/>
      <c r="AA749" s="70"/>
      <c r="AB749" s="70"/>
      <c r="AD749" s="22" t="s">
        <v>17</v>
      </c>
      <c r="AE749" s="23" t="s">
        <v>47</v>
      </c>
      <c r="AF749" s="24"/>
    </row>
    <row r="750" spans="1:32" x14ac:dyDescent="0.25">
      <c r="B750" s="70"/>
      <c r="C750" s="70"/>
      <c r="D750" s="70"/>
      <c r="E750" s="70"/>
      <c r="F750" s="70"/>
      <c r="M750" s="70"/>
      <c r="N750" s="70"/>
      <c r="O750" s="70"/>
      <c r="P750" s="70"/>
      <c r="Q750" s="70"/>
      <c r="X750" s="70"/>
      <c r="Y750" s="70"/>
      <c r="Z750" s="70"/>
      <c r="AA750" s="70"/>
      <c r="AB750" s="70"/>
    </row>
    <row r="751" spans="1:32" x14ac:dyDescent="0.25">
      <c r="B751" s="25"/>
      <c r="C751" s="26"/>
      <c r="D751" s="79" t="s">
        <v>18</v>
      </c>
      <c r="E751" s="79"/>
      <c r="F751" s="27"/>
      <c r="H751" s="77" t="s">
        <v>19</v>
      </c>
      <c r="I751" s="78"/>
      <c r="J751" s="75" t="s">
        <v>20</v>
      </c>
      <c r="M751" s="25"/>
      <c r="N751" s="26"/>
      <c r="O751" s="79" t="s">
        <v>18</v>
      </c>
      <c r="P751" s="79"/>
      <c r="Q751" s="27"/>
      <c r="S751" s="77" t="s">
        <v>19</v>
      </c>
      <c r="T751" s="78"/>
      <c r="U751" s="75" t="s">
        <v>20</v>
      </c>
      <c r="X751" s="25"/>
      <c r="Y751" s="26"/>
      <c r="Z751" s="79" t="s">
        <v>18</v>
      </c>
      <c r="AA751" s="79"/>
      <c r="AB751" s="27"/>
      <c r="AD751" s="77" t="s">
        <v>19</v>
      </c>
      <c r="AE751" s="78"/>
      <c r="AF751" s="75" t="s">
        <v>20</v>
      </c>
    </row>
    <row r="752" spans="1:32" ht="30" x14ac:dyDescent="0.25">
      <c r="B752" s="28" t="s">
        <v>21</v>
      </c>
      <c r="C752" s="28" t="s">
        <v>22</v>
      </c>
      <c r="D752" s="29" t="s">
        <v>23</v>
      </c>
      <c r="E752" s="30" t="s">
        <v>24</v>
      </c>
      <c r="F752" s="30" t="s">
        <v>25</v>
      </c>
      <c r="H752" s="31" t="s">
        <v>26</v>
      </c>
      <c r="I752" s="31" t="s">
        <v>27</v>
      </c>
      <c r="J752" s="76"/>
      <c r="M752" s="28" t="s">
        <v>21</v>
      </c>
      <c r="N752" s="28" t="s">
        <v>22</v>
      </c>
      <c r="O752" s="29" t="s">
        <v>23</v>
      </c>
      <c r="P752" s="30" t="s">
        <v>24</v>
      </c>
      <c r="Q752" s="30" t="s">
        <v>25</v>
      </c>
      <c r="S752" s="31" t="s">
        <v>26</v>
      </c>
      <c r="T752" s="31" t="s">
        <v>27</v>
      </c>
      <c r="U752" s="76"/>
      <c r="X752" s="28" t="s">
        <v>21</v>
      </c>
      <c r="Y752" s="28" t="s">
        <v>22</v>
      </c>
      <c r="Z752" s="29" t="s">
        <v>23</v>
      </c>
      <c r="AA752" s="30" t="s">
        <v>24</v>
      </c>
      <c r="AB752" s="30" t="s">
        <v>25</v>
      </c>
      <c r="AD752" s="31" t="s">
        <v>26</v>
      </c>
      <c r="AE752" s="31" t="s">
        <v>27</v>
      </c>
      <c r="AF752" s="76"/>
    </row>
    <row r="753" spans="1:32" x14ac:dyDescent="0.25">
      <c r="A753" s="10">
        <v>1</v>
      </c>
      <c r="B753" s="32">
        <v>45674</v>
      </c>
      <c r="C753" s="33">
        <v>7596</v>
      </c>
      <c r="D753" s="34">
        <f>1252+17</f>
        <v>1269</v>
      </c>
      <c r="E753" s="34"/>
      <c r="F753" s="34">
        <f t="shared" ref="F753:F758" si="260">SUM(D753:E753)</f>
        <v>1269</v>
      </c>
      <c r="G753" s="12"/>
      <c r="H753" s="12"/>
      <c r="I753" s="12"/>
      <c r="J753" s="12">
        <f t="shared" ref="J753:J792" si="261">SUM(F753:I753)</f>
        <v>1269</v>
      </c>
      <c r="L753" s="10">
        <v>1</v>
      </c>
      <c r="M753" s="32">
        <v>45674</v>
      </c>
      <c r="N753" s="33">
        <v>7506</v>
      </c>
      <c r="O753" s="34">
        <f>626+614+8.5</f>
        <v>1248.5</v>
      </c>
      <c r="P753" s="34"/>
      <c r="Q753" s="34">
        <f>SUM(O753:P753)</f>
        <v>1248.5</v>
      </c>
      <c r="R753" s="12"/>
      <c r="S753" s="12"/>
      <c r="T753" s="12"/>
      <c r="U753" s="12">
        <f>SUM(Q753:T753)</f>
        <v>1248.5</v>
      </c>
      <c r="W753" s="10">
        <v>1</v>
      </c>
      <c r="X753" s="32">
        <v>45674</v>
      </c>
      <c r="Y753" s="33">
        <v>7148</v>
      </c>
      <c r="Z753" s="34">
        <f>626*216+614*10+674*5+108*596+832*7+205*13</f>
        <v>217583</v>
      </c>
      <c r="AA753" s="34">
        <v>-3231</v>
      </c>
      <c r="AB753" s="34">
        <f>SUM(Z753:AA753)</f>
        <v>214352</v>
      </c>
      <c r="AC753" s="12"/>
      <c r="AD753" s="12">
        <v>19149</v>
      </c>
      <c r="AE753" s="12"/>
      <c r="AF753" s="12">
        <f>SUM(AB753:AE753)</f>
        <v>233501</v>
      </c>
    </row>
    <row r="754" spans="1:32" x14ac:dyDescent="0.25">
      <c r="A754" s="10">
        <v>2</v>
      </c>
      <c r="B754" s="32">
        <v>45674</v>
      </c>
      <c r="C754" s="33">
        <f>C753+1</f>
        <v>7597</v>
      </c>
      <c r="D754" s="34">
        <f>79502+36520+17880+2496+1435</f>
        <v>137833</v>
      </c>
      <c r="E754" s="34">
        <v>-1863</v>
      </c>
      <c r="F754" s="34">
        <f t="shared" si="260"/>
        <v>135970</v>
      </c>
      <c r="G754" s="12"/>
      <c r="H754" s="12">
        <v>4641</v>
      </c>
      <c r="I754" s="12"/>
      <c r="J754" s="12">
        <f t="shared" si="261"/>
        <v>140611</v>
      </c>
      <c r="L754" s="10">
        <v>2</v>
      </c>
      <c r="M754" s="32">
        <v>45674</v>
      </c>
      <c r="N754" s="33">
        <f>N753+1</f>
        <v>7507</v>
      </c>
      <c r="O754" s="34">
        <f>1878+25.5</f>
        <v>1903.5</v>
      </c>
      <c r="P754" s="34"/>
      <c r="Q754" s="34">
        <f t="shared" ref="Q754:Q785" si="262">SUM(O754:P754)</f>
        <v>1903.5</v>
      </c>
      <c r="R754" s="12"/>
      <c r="S754" s="12"/>
      <c r="T754" s="12"/>
      <c r="U754" s="12">
        <f t="shared" ref="U754:U794" si="263">SUM(Q754:T754)</f>
        <v>1903.5</v>
      </c>
      <c r="W754" s="10">
        <v>2</v>
      </c>
      <c r="X754" s="32">
        <v>45674</v>
      </c>
      <c r="Y754" s="33">
        <f>Y753+1</f>
        <v>7149</v>
      </c>
      <c r="Z754" s="34">
        <f>626*15+596*38+205*2</f>
        <v>32448</v>
      </c>
      <c r="AA754" s="34">
        <v>-440</v>
      </c>
      <c r="AB754" s="34">
        <f t="shared" ref="AB754:AB756" si="264">SUM(Z754:AA754)</f>
        <v>32008</v>
      </c>
      <c r="AC754" s="12"/>
      <c r="AD754" s="12"/>
      <c r="AE754" s="12">
        <v>-417</v>
      </c>
      <c r="AF754" s="12">
        <f t="shared" ref="AF754:AF794" si="265">SUM(AB754:AE754)</f>
        <v>31591</v>
      </c>
    </row>
    <row r="755" spans="1:32" x14ac:dyDescent="0.25">
      <c r="A755" s="10">
        <v>3</v>
      </c>
      <c r="B755" s="32">
        <v>45674</v>
      </c>
      <c r="C755" s="33">
        <f t="shared" ref="C755:C768" si="266">C754+1</f>
        <v>7598</v>
      </c>
      <c r="D755" s="35">
        <f>5008+614+596+426+503+76.5</f>
        <v>7223.5</v>
      </c>
      <c r="E755" s="35"/>
      <c r="F755" s="35">
        <f t="shared" si="260"/>
        <v>7223.5</v>
      </c>
      <c r="G755" s="36"/>
      <c r="H755" s="36">
        <v>18</v>
      </c>
      <c r="I755" s="36"/>
      <c r="J755" s="36">
        <f t="shared" si="261"/>
        <v>7241.5</v>
      </c>
      <c r="L755" s="10">
        <v>3</v>
      </c>
      <c r="M755" s="32">
        <v>45674</v>
      </c>
      <c r="N755" s="33">
        <f t="shared" ref="N755:N791" si="267">N754+1</f>
        <v>7508</v>
      </c>
      <c r="O755" s="34">
        <f>626+596+17</f>
        <v>1239</v>
      </c>
      <c r="P755" s="34"/>
      <c r="Q755" s="34">
        <f t="shared" si="262"/>
        <v>1239</v>
      </c>
      <c r="R755" s="12"/>
      <c r="S755" s="12"/>
      <c r="T755" s="12"/>
      <c r="U755" s="12">
        <f t="shared" si="263"/>
        <v>1239</v>
      </c>
      <c r="W755" s="10">
        <v>3</v>
      </c>
      <c r="X755" s="32">
        <v>45674</v>
      </c>
      <c r="Y755" s="33">
        <f t="shared" ref="Y755:Y758" si="268">Y754+1</f>
        <v>7150</v>
      </c>
      <c r="Z755" s="34">
        <f>626*20+596*30+205*2</f>
        <v>30810</v>
      </c>
      <c r="AA755" s="34">
        <v>-400</v>
      </c>
      <c r="AB755" s="34">
        <f t="shared" si="264"/>
        <v>30410</v>
      </c>
      <c r="AC755" s="12"/>
      <c r="AD755" s="12"/>
      <c r="AE755" s="12"/>
      <c r="AF755" s="12">
        <f t="shared" si="265"/>
        <v>30410</v>
      </c>
    </row>
    <row r="756" spans="1:32" x14ac:dyDescent="0.25">
      <c r="A756" s="10">
        <v>4</v>
      </c>
      <c r="B756" s="32">
        <v>45674</v>
      </c>
      <c r="C756" s="33">
        <f t="shared" si="266"/>
        <v>7599</v>
      </c>
      <c r="D756" s="34">
        <f>626*15+596*5+170</f>
        <v>12540</v>
      </c>
      <c r="E756" s="34"/>
      <c r="F756" s="34">
        <f t="shared" si="260"/>
        <v>12540</v>
      </c>
      <c r="G756" s="12"/>
      <c r="H756" s="12"/>
      <c r="I756" s="12">
        <v>-222</v>
      </c>
      <c r="J756" s="12">
        <f t="shared" si="261"/>
        <v>12318</v>
      </c>
      <c r="L756" s="10">
        <v>4</v>
      </c>
      <c r="M756" s="32">
        <v>45674</v>
      </c>
      <c r="N756" s="33">
        <f t="shared" si="267"/>
        <v>7509</v>
      </c>
      <c r="O756" s="34">
        <f>1252+17</f>
        <v>1269</v>
      </c>
      <c r="P756" s="34"/>
      <c r="Q756" s="34">
        <f t="shared" si="262"/>
        <v>1269</v>
      </c>
      <c r="R756" s="12"/>
      <c r="S756" s="12"/>
      <c r="T756" s="12"/>
      <c r="U756" s="12">
        <f t="shared" si="263"/>
        <v>1269</v>
      </c>
      <c r="W756" s="10">
        <v>4</v>
      </c>
      <c r="X756" s="32">
        <v>45674</v>
      </c>
      <c r="Y756" s="33">
        <f t="shared" si="268"/>
        <v>7151</v>
      </c>
      <c r="Z756" s="34">
        <f>614+650</f>
        <v>1264</v>
      </c>
      <c r="AA756" s="34"/>
      <c r="AB756" s="34">
        <f t="shared" si="264"/>
        <v>1264</v>
      </c>
      <c r="AC756" s="12"/>
      <c r="AE756" s="12"/>
      <c r="AF756" s="12">
        <f t="shared" si="265"/>
        <v>1264</v>
      </c>
    </row>
    <row r="757" spans="1:32" x14ac:dyDescent="0.25">
      <c r="A757" s="10">
        <v>5</v>
      </c>
      <c r="B757" s="32">
        <v>45674</v>
      </c>
      <c r="C757" s="33">
        <f t="shared" si="266"/>
        <v>7600</v>
      </c>
      <c r="D757" s="34">
        <f>1252+614+596+25.5</f>
        <v>2487.5</v>
      </c>
      <c r="E757" s="34"/>
      <c r="F757" s="34">
        <f t="shared" si="260"/>
        <v>2487.5</v>
      </c>
      <c r="G757" s="12"/>
      <c r="H757" s="12"/>
      <c r="I757" s="12"/>
      <c r="J757" s="12">
        <f t="shared" si="261"/>
        <v>2487.5</v>
      </c>
      <c r="L757" s="10">
        <v>5</v>
      </c>
      <c r="M757" s="32">
        <v>45674</v>
      </c>
      <c r="N757" s="33">
        <f t="shared" si="267"/>
        <v>7510</v>
      </c>
      <c r="O757" s="34">
        <f>2504+34</f>
        <v>2538</v>
      </c>
      <c r="P757" s="34"/>
      <c r="Q757" s="34">
        <f t="shared" si="262"/>
        <v>2538</v>
      </c>
      <c r="R757" s="12"/>
      <c r="S757" s="12"/>
      <c r="T757" s="12"/>
      <c r="U757" s="12">
        <f t="shared" si="263"/>
        <v>2538</v>
      </c>
      <c r="W757" s="10">
        <v>5</v>
      </c>
      <c r="X757" s="32">
        <v>45674</v>
      </c>
      <c r="Y757" s="33">
        <f t="shared" si="268"/>
        <v>7152</v>
      </c>
      <c r="Z757" s="34">
        <f>416+250</f>
        <v>666</v>
      </c>
      <c r="AA757" s="34"/>
      <c r="AB757" s="34">
        <f t="shared" ref="AB757:AB762" si="269">SUM(Z757:AA757)</f>
        <v>666</v>
      </c>
      <c r="AC757" s="12"/>
      <c r="AD757" s="12"/>
      <c r="AE757" s="12"/>
      <c r="AF757" s="12">
        <f t="shared" si="265"/>
        <v>666</v>
      </c>
    </row>
    <row r="758" spans="1:32" x14ac:dyDescent="0.25">
      <c r="A758" s="10">
        <v>6</v>
      </c>
      <c r="B758" s="32">
        <v>45674</v>
      </c>
      <c r="C758" s="33">
        <f t="shared" si="266"/>
        <v>7601</v>
      </c>
      <c r="D758" s="70">
        <f>31300+1228+4768</f>
        <v>37296</v>
      </c>
      <c r="E758" s="34"/>
      <c r="F758" s="34">
        <f t="shared" si="260"/>
        <v>37296</v>
      </c>
      <c r="G758" s="12"/>
      <c r="H758">
        <v>270</v>
      </c>
      <c r="I758" s="12"/>
      <c r="J758" s="12">
        <f t="shared" si="261"/>
        <v>37566</v>
      </c>
      <c r="L758" s="10">
        <v>6</v>
      </c>
      <c r="M758" s="32">
        <v>45674</v>
      </c>
      <c r="N758" s="33">
        <f t="shared" si="267"/>
        <v>7511</v>
      </c>
      <c r="O758" s="34">
        <f>3756+614+596+59.5</f>
        <v>5025.5</v>
      </c>
      <c r="P758" s="34"/>
      <c r="Q758" s="34">
        <f t="shared" si="262"/>
        <v>5025.5</v>
      </c>
      <c r="R758" s="12"/>
      <c r="S758" s="12"/>
      <c r="T758" s="10"/>
      <c r="U758" s="12">
        <f t="shared" si="263"/>
        <v>5025.5</v>
      </c>
      <c r="W758" s="10">
        <v>6</v>
      </c>
      <c r="X758" s="32">
        <v>45674</v>
      </c>
      <c r="Y758" s="33">
        <f t="shared" si="268"/>
        <v>7153</v>
      </c>
      <c r="Z758" s="34">
        <f>626*5+205*4</f>
        <v>3950</v>
      </c>
      <c r="AA758" s="34"/>
      <c r="AB758" s="34">
        <f t="shared" si="269"/>
        <v>3950</v>
      </c>
      <c r="AC758" s="12"/>
      <c r="AD758" s="12"/>
      <c r="AE758" s="10"/>
      <c r="AF758" s="12">
        <f t="shared" si="265"/>
        <v>3950</v>
      </c>
    </row>
    <row r="759" spans="1:32" x14ac:dyDescent="0.25">
      <c r="A759" s="10">
        <v>7</v>
      </c>
      <c r="B759" s="32">
        <v>45674</v>
      </c>
      <c r="C759" s="33">
        <f t="shared" si="266"/>
        <v>7602</v>
      </c>
      <c r="D759" s="34">
        <f>1252+8.5</f>
        <v>1260.5</v>
      </c>
      <c r="E759" s="34"/>
      <c r="F759" s="34">
        <f>SUM(D759:E759)</f>
        <v>1260.5</v>
      </c>
      <c r="G759" s="12"/>
      <c r="H759" s="12"/>
      <c r="I759" s="12"/>
      <c r="J759" s="12">
        <f t="shared" si="261"/>
        <v>1260.5</v>
      </c>
      <c r="L759" s="10">
        <v>7</v>
      </c>
      <c r="M759" s="32">
        <v>45674</v>
      </c>
      <c r="N759" s="33">
        <f t="shared" si="267"/>
        <v>7512</v>
      </c>
      <c r="O759" s="34">
        <f>614</f>
        <v>614</v>
      </c>
      <c r="P759" s="34"/>
      <c r="Q759" s="34">
        <f t="shared" si="262"/>
        <v>614</v>
      </c>
      <c r="R759" s="12"/>
      <c r="S759" s="12"/>
      <c r="T759" s="12"/>
      <c r="U759" s="12">
        <f t="shared" si="263"/>
        <v>614</v>
      </c>
      <c r="W759" s="10">
        <v>7</v>
      </c>
      <c r="X759" s="32"/>
      <c r="Y759" s="11" t="s">
        <v>28</v>
      </c>
      <c r="Z759" s="34"/>
      <c r="AA759" s="34"/>
      <c r="AB759" s="34">
        <f t="shared" si="269"/>
        <v>0</v>
      </c>
      <c r="AC759" s="12"/>
      <c r="AD759" s="66"/>
      <c r="AE759" s="12"/>
      <c r="AF759" s="12">
        <f t="shared" si="265"/>
        <v>0</v>
      </c>
    </row>
    <row r="760" spans="1:32" x14ac:dyDescent="0.25">
      <c r="A760" s="10">
        <v>8</v>
      </c>
      <c r="B760" s="32">
        <v>45674</v>
      </c>
      <c r="C760" s="33">
        <f t="shared" si="266"/>
        <v>7603</v>
      </c>
      <c r="D760" s="34">
        <f>626*150+596*50+205*8</f>
        <v>125340</v>
      </c>
      <c r="E760" s="34">
        <v>-1872</v>
      </c>
      <c r="F760" s="34">
        <f t="shared" ref="F760:F793" si="270">SUM(D760:E760)</f>
        <v>123468</v>
      </c>
      <c r="G760" s="12"/>
      <c r="H760" s="12">
        <v>6228</v>
      </c>
      <c r="I760" s="12"/>
      <c r="J760" s="12">
        <f t="shared" si="261"/>
        <v>129696</v>
      </c>
      <c r="L760" s="10">
        <v>8</v>
      </c>
      <c r="M760" s="32">
        <v>45674</v>
      </c>
      <c r="N760" s="33">
        <f t="shared" si="267"/>
        <v>7513</v>
      </c>
      <c r="O760" s="34">
        <f>1878+25.5</f>
        <v>1903.5</v>
      </c>
      <c r="P760" s="34">
        <v>1.5</v>
      </c>
      <c r="Q760" s="34">
        <f t="shared" si="262"/>
        <v>1905</v>
      </c>
      <c r="R760" s="12"/>
      <c r="S760" s="12"/>
      <c r="T760" s="12"/>
      <c r="U760" s="12">
        <f t="shared" si="263"/>
        <v>1905</v>
      </c>
      <c r="W760" s="10">
        <v>8</v>
      </c>
      <c r="X760" s="32"/>
      <c r="Y760" s="33"/>
      <c r="Z760" s="34"/>
      <c r="AB760" s="34">
        <f t="shared" si="269"/>
        <v>0</v>
      </c>
      <c r="AC760" s="12"/>
      <c r="AD760" s="12"/>
      <c r="AE760" s="12"/>
      <c r="AF760" s="12">
        <f t="shared" si="265"/>
        <v>0</v>
      </c>
    </row>
    <row r="761" spans="1:32" x14ac:dyDescent="0.25">
      <c r="A761" s="10">
        <v>9</v>
      </c>
      <c r="B761" s="32">
        <v>45674</v>
      </c>
      <c r="C761" s="33">
        <f t="shared" si="266"/>
        <v>7604</v>
      </c>
      <c r="D761" s="34">
        <f>1252+17</f>
        <v>1269</v>
      </c>
      <c r="E761" s="34"/>
      <c r="F761" s="34">
        <f t="shared" si="270"/>
        <v>1269</v>
      </c>
      <c r="G761" s="12"/>
      <c r="H761" s="12"/>
      <c r="I761" s="12"/>
      <c r="J761" s="12">
        <f t="shared" si="261"/>
        <v>1269</v>
      </c>
      <c r="L761" s="10">
        <v>9</v>
      </c>
      <c r="M761" s="32">
        <v>45674</v>
      </c>
      <c r="N761" s="33">
        <f t="shared" si="267"/>
        <v>7514</v>
      </c>
      <c r="O761" s="34">
        <f>626+8.5</f>
        <v>634.5</v>
      </c>
      <c r="P761" s="34"/>
      <c r="Q761" s="34">
        <f t="shared" si="262"/>
        <v>634.5</v>
      </c>
      <c r="R761" s="12"/>
      <c r="S761" s="12"/>
      <c r="T761" s="12"/>
      <c r="U761" s="12">
        <f t="shared" si="263"/>
        <v>634.5</v>
      </c>
      <c r="W761" s="10">
        <v>9</v>
      </c>
      <c r="X761" s="32"/>
      <c r="Y761" s="33"/>
      <c r="AA761" s="34"/>
      <c r="AB761" s="34">
        <f t="shared" si="269"/>
        <v>0</v>
      </c>
      <c r="AC761" s="12"/>
      <c r="AD761" s="66"/>
      <c r="AE761" s="12"/>
      <c r="AF761" s="12">
        <f t="shared" si="265"/>
        <v>0</v>
      </c>
    </row>
    <row r="762" spans="1:32" x14ac:dyDescent="0.25">
      <c r="A762" s="10">
        <v>10</v>
      </c>
      <c r="B762" s="32">
        <v>45674</v>
      </c>
      <c r="C762" s="33">
        <f t="shared" si="266"/>
        <v>7605</v>
      </c>
      <c r="D762" s="34">
        <f>2504+1228+34</f>
        <v>3766</v>
      </c>
      <c r="E762" s="34"/>
      <c r="F762" s="34">
        <f t="shared" si="270"/>
        <v>3766</v>
      </c>
      <c r="G762" s="12"/>
      <c r="H762" s="12"/>
      <c r="I762" s="12"/>
      <c r="J762" s="12">
        <f t="shared" si="261"/>
        <v>3766</v>
      </c>
      <c r="L762" s="10">
        <v>10</v>
      </c>
      <c r="M762" s="32">
        <v>45674</v>
      </c>
      <c r="N762" s="33">
        <f t="shared" si="267"/>
        <v>7515</v>
      </c>
      <c r="O762" s="34">
        <f>13146+205</f>
        <v>13351</v>
      </c>
      <c r="P762" s="34"/>
      <c r="Q762" s="34">
        <f t="shared" si="262"/>
        <v>13351</v>
      </c>
      <c r="R762" s="12"/>
      <c r="S762" s="12">
        <v>78</v>
      </c>
      <c r="T762" s="12"/>
      <c r="U762" s="12">
        <f t="shared" si="263"/>
        <v>13429</v>
      </c>
      <c r="W762" s="10">
        <v>10</v>
      </c>
      <c r="X762" s="32"/>
      <c r="Y762" s="33"/>
      <c r="Z762" s="34"/>
      <c r="AA762" s="34"/>
      <c r="AB762" s="34">
        <f t="shared" si="269"/>
        <v>0</v>
      </c>
      <c r="AC762" s="12"/>
      <c r="AD762" s="12"/>
      <c r="AE762" s="12"/>
      <c r="AF762" s="12">
        <f t="shared" si="265"/>
        <v>0</v>
      </c>
    </row>
    <row r="763" spans="1:32" x14ac:dyDescent="0.25">
      <c r="A763" s="10">
        <v>11</v>
      </c>
      <c r="B763" s="32">
        <v>45674</v>
      </c>
      <c r="C763" s="33">
        <f t="shared" si="266"/>
        <v>7606</v>
      </c>
      <c r="D763" s="34">
        <f>2504+34</f>
        <v>2538</v>
      </c>
      <c r="E763" s="34"/>
      <c r="F763" s="34">
        <f t="shared" si="270"/>
        <v>2538</v>
      </c>
      <c r="G763" s="12"/>
      <c r="H763" s="12"/>
      <c r="I763" s="12"/>
      <c r="J763" s="12">
        <f t="shared" si="261"/>
        <v>2538</v>
      </c>
      <c r="L763" s="10">
        <v>11</v>
      </c>
      <c r="M763" s="32">
        <v>45674</v>
      </c>
      <c r="N763" s="33">
        <f t="shared" si="267"/>
        <v>7516</v>
      </c>
      <c r="O763" s="34">
        <f>6260+1228+674+596+93.5</f>
        <v>8851.5</v>
      </c>
      <c r="P763" s="34"/>
      <c r="Q763" s="34">
        <f t="shared" si="262"/>
        <v>8851.5</v>
      </c>
      <c r="R763" s="12"/>
      <c r="S763" s="12"/>
      <c r="T763" s="12"/>
      <c r="U763" s="12">
        <f t="shared" si="263"/>
        <v>8851.5</v>
      </c>
      <c r="W763" s="10">
        <v>11</v>
      </c>
      <c r="X763" s="32"/>
      <c r="Y763" s="33"/>
      <c r="Z763" s="34"/>
      <c r="AA763" s="34"/>
      <c r="AB763" s="34">
        <f t="shared" ref="AB763:AB785" si="271">SUM(Z763:AA763)</f>
        <v>0</v>
      </c>
      <c r="AC763" s="12"/>
      <c r="AD763" s="12"/>
      <c r="AE763" s="12"/>
      <c r="AF763" s="12">
        <f t="shared" si="265"/>
        <v>0</v>
      </c>
    </row>
    <row r="764" spans="1:32" x14ac:dyDescent="0.25">
      <c r="A764" s="10">
        <v>12</v>
      </c>
      <c r="B764" s="32">
        <v>45674</v>
      </c>
      <c r="C764" s="33">
        <f t="shared" si="266"/>
        <v>7607</v>
      </c>
      <c r="D764" s="34">
        <f>1252+17</f>
        <v>1269</v>
      </c>
      <c r="E764" s="34"/>
      <c r="F764" s="34">
        <f t="shared" si="270"/>
        <v>1269</v>
      </c>
      <c r="G764" s="12"/>
      <c r="H764" s="12"/>
      <c r="I764" s="10"/>
      <c r="J764" s="12">
        <f t="shared" si="261"/>
        <v>1269</v>
      </c>
      <c r="L764" s="10">
        <v>12</v>
      </c>
      <c r="M764" s="32">
        <v>45674</v>
      </c>
      <c r="N764" s="33">
        <f t="shared" si="267"/>
        <v>7517</v>
      </c>
      <c r="O764" s="34">
        <f>626+8.5</f>
        <v>634.5</v>
      </c>
      <c r="P764" s="34"/>
      <c r="Q764" s="34">
        <f t="shared" si="262"/>
        <v>634.5</v>
      </c>
      <c r="R764" s="12"/>
      <c r="S764" s="12"/>
      <c r="T764" s="12"/>
      <c r="U764" s="12">
        <f t="shared" si="263"/>
        <v>634.5</v>
      </c>
      <c r="W764" s="10">
        <v>12</v>
      </c>
      <c r="X764" s="32"/>
      <c r="Y764" s="33"/>
      <c r="Z764" s="34"/>
      <c r="AA764" s="34"/>
      <c r="AB764" s="34">
        <f t="shared" si="271"/>
        <v>0</v>
      </c>
      <c r="AC764" s="12"/>
      <c r="AD764" s="12"/>
      <c r="AE764" s="12"/>
      <c r="AF764" s="12">
        <f t="shared" si="265"/>
        <v>0</v>
      </c>
    </row>
    <row r="765" spans="1:32" x14ac:dyDescent="0.25">
      <c r="A765" s="10">
        <v>13</v>
      </c>
      <c r="B765" s="32">
        <v>45674</v>
      </c>
      <c r="C765" s="33">
        <f t="shared" si="266"/>
        <v>7608</v>
      </c>
      <c r="D765" s="34">
        <f>1252+17</f>
        <v>1269</v>
      </c>
      <c r="E765" s="34"/>
      <c r="F765" s="34">
        <f t="shared" si="270"/>
        <v>1269</v>
      </c>
      <c r="G765" s="12"/>
      <c r="H765" s="12"/>
      <c r="I765" s="12"/>
      <c r="J765" s="12">
        <f t="shared" si="261"/>
        <v>1269</v>
      </c>
      <c r="L765" s="10">
        <v>13</v>
      </c>
      <c r="M765" s="32">
        <v>45674</v>
      </c>
      <c r="N765" s="33">
        <f t="shared" si="267"/>
        <v>7518</v>
      </c>
      <c r="O765" s="34">
        <f>3756+614+596+832+59.5</f>
        <v>5857.5</v>
      </c>
      <c r="P765" s="34"/>
      <c r="Q765" s="34">
        <f t="shared" si="262"/>
        <v>5857.5</v>
      </c>
      <c r="R765" s="12"/>
      <c r="S765" s="12"/>
      <c r="T765" s="12"/>
      <c r="U765" s="12">
        <f t="shared" si="263"/>
        <v>5857.5</v>
      </c>
      <c r="W765" s="10">
        <v>13</v>
      </c>
      <c r="X765" s="32"/>
      <c r="Y765" s="33"/>
      <c r="Z765" s="34"/>
      <c r="AA765" s="34"/>
      <c r="AB765" s="34">
        <f t="shared" si="271"/>
        <v>0</v>
      </c>
      <c r="AC765" s="12"/>
      <c r="AD765" s="12"/>
      <c r="AE765" s="12"/>
      <c r="AF765" s="12">
        <f t="shared" si="265"/>
        <v>0</v>
      </c>
    </row>
    <row r="766" spans="1:32" x14ac:dyDescent="0.25">
      <c r="A766" s="10">
        <v>14</v>
      </c>
      <c r="B766" s="32">
        <v>45674</v>
      </c>
      <c r="C766" s="33">
        <f t="shared" si="266"/>
        <v>7609</v>
      </c>
      <c r="D766" s="34">
        <f>2504+34</f>
        <v>2538</v>
      </c>
      <c r="E766" s="34"/>
      <c r="F766" s="34">
        <f t="shared" si="270"/>
        <v>2538</v>
      </c>
      <c r="G766" s="12"/>
      <c r="H766" s="12"/>
      <c r="I766" s="12"/>
      <c r="J766" s="12">
        <f t="shared" si="261"/>
        <v>2538</v>
      </c>
      <c r="L766" s="10">
        <v>14</v>
      </c>
      <c r="M766" s="32">
        <v>45674</v>
      </c>
      <c r="N766" s="33">
        <f t="shared" si="267"/>
        <v>7519</v>
      </c>
      <c r="O766" s="34">
        <f>1252+17</f>
        <v>1269</v>
      </c>
      <c r="P766" s="34"/>
      <c r="Q766" s="34">
        <f t="shared" si="262"/>
        <v>1269</v>
      </c>
      <c r="R766" s="12"/>
      <c r="S766" s="12"/>
      <c r="T766" s="12"/>
      <c r="U766" s="12">
        <f t="shared" si="263"/>
        <v>1269</v>
      </c>
      <c r="W766" s="10">
        <v>14</v>
      </c>
      <c r="X766" s="32"/>
      <c r="Y766" s="33"/>
      <c r="AA766" s="34"/>
      <c r="AB766" s="34">
        <f t="shared" si="271"/>
        <v>0</v>
      </c>
      <c r="AC766" s="12"/>
      <c r="AD766" s="12"/>
      <c r="AE766" s="12"/>
      <c r="AF766" s="12">
        <f t="shared" si="265"/>
        <v>0</v>
      </c>
    </row>
    <row r="767" spans="1:32" x14ac:dyDescent="0.25">
      <c r="A767" s="10">
        <v>15</v>
      </c>
      <c r="B767" s="32">
        <v>45674</v>
      </c>
      <c r="C767" s="33">
        <f t="shared" si="266"/>
        <v>7610</v>
      </c>
      <c r="D767" s="34">
        <f>2696</f>
        <v>2696</v>
      </c>
      <c r="E767" s="34"/>
      <c r="F767" s="34">
        <f t="shared" si="270"/>
        <v>2696</v>
      </c>
      <c r="G767" s="12"/>
      <c r="H767" s="12">
        <v>9</v>
      </c>
      <c r="I767" s="12"/>
      <c r="J767" s="12">
        <f t="shared" si="261"/>
        <v>2705</v>
      </c>
      <c r="L767" s="10">
        <v>15</v>
      </c>
      <c r="M767" s="32">
        <v>45674</v>
      </c>
      <c r="N767" s="33">
        <f t="shared" si="267"/>
        <v>7520</v>
      </c>
      <c r="O767" s="34">
        <f>1252+614+17</f>
        <v>1883</v>
      </c>
      <c r="P767" s="34"/>
      <c r="Q767" s="34">
        <f t="shared" si="262"/>
        <v>1883</v>
      </c>
      <c r="R767" s="12"/>
      <c r="S767" s="12"/>
      <c r="T767" s="12"/>
      <c r="U767" s="12">
        <f t="shared" si="263"/>
        <v>1883</v>
      </c>
      <c r="W767" s="10">
        <v>15</v>
      </c>
      <c r="X767" s="32"/>
      <c r="Y767" s="33"/>
      <c r="Z767" s="34"/>
      <c r="AA767" s="34"/>
      <c r="AB767" s="34">
        <f t="shared" si="271"/>
        <v>0</v>
      </c>
      <c r="AC767" s="12"/>
      <c r="AD767" s="12"/>
      <c r="AE767" s="12"/>
      <c r="AF767" s="12">
        <f t="shared" si="265"/>
        <v>0</v>
      </c>
    </row>
    <row r="768" spans="1:32" x14ac:dyDescent="0.25">
      <c r="A768" s="10">
        <v>16</v>
      </c>
      <c r="B768" s="32">
        <v>45674</v>
      </c>
      <c r="C768" s="33">
        <f t="shared" si="266"/>
        <v>7611</v>
      </c>
      <c r="D768" s="34">
        <f>410</f>
        <v>410</v>
      </c>
      <c r="E768" s="34"/>
      <c r="F768" s="34">
        <f t="shared" si="270"/>
        <v>410</v>
      </c>
      <c r="G768" s="12"/>
      <c r="H768" s="12">
        <v>156</v>
      </c>
      <c r="I768" s="12"/>
      <c r="J768" s="12">
        <f t="shared" si="261"/>
        <v>566</v>
      </c>
      <c r="L768" s="10">
        <v>16</v>
      </c>
      <c r="M768" s="32">
        <v>45674</v>
      </c>
      <c r="N768" s="33">
        <f t="shared" si="267"/>
        <v>7521</v>
      </c>
      <c r="O768" s="34">
        <f>626+8.5</f>
        <v>634.5</v>
      </c>
      <c r="P768" s="34"/>
      <c r="Q768" s="34">
        <f t="shared" si="262"/>
        <v>634.5</v>
      </c>
      <c r="R768" s="12"/>
      <c r="S768" s="12"/>
      <c r="T768" s="12"/>
      <c r="U768" s="12">
        <f t="shared" si="263"/>
        <v>634.5</v>
      </c>
      <c r="W768" s="10">
        <v>16</v>
      </c>
      <c r="X768" s="32"/>
      <c r="Y768" s="33"/>
      <c r="Z768" s="34"/>
      <c r="AA768" s="34"/>
      <c r="AB768" s="34">
        <f t="shared" si="271"/>
        <v>0</v>
      </c>
      <c r="AC768" s="12"/>
      <c r="AD768" s="12"/>
      <c r="AE768" s="12"/>
      <c r="AF768" s="12">
        <f t="shared" si="265"/>
        <v>0</v>
      </c>
    </row>
    <row r="769" spans="1:32" x14ac:dyDescent="0.25">
      <c r="A769" s="10">
        <v>17</v>
      </c>
      <c r="B769" s="32"/>
      <c r="C769" s="11" t="s">
        <v>28</v>
      </c>
      <c r="D769" s="34"/>
      <c r="E769" s="34"/>
      <c r="F769" s="34">
        <f t="shared" si="270"/>
        <v>0</v>
      </c>
      <c r="G769" s="12"/>
      <c r="H769" s="12"/>
      <c r="I769" s="12"/>
      <c r="J769" s="12">
        <f t="shared" si="261"/>
        <v>0</v>
      </c>
      <c r="L769" s="10">
        <v>17</v>
      </c>
      <c r="M769" s="32">
        <v>45674</v>
      </c>
      <c r="N769" s="33">
        <f t="shared" si="267"/>
        <v>7522</v>
      </c>
      <c r="O769" s="37">
        <f>1252+17</f>
        <v>1269</v>
      </c>
      <c r="P769" s="34"/>
      <c r="Q769" s="34">
        <f t="shared" si="262"/>
        <v>1269</v>
      </c>
      <c r="R769" s="12"/>
      <c r="S769" s="12"/>
      <c r="T769" s="12"/>
      <c r="U769" s="12">
        <f t="shared" si="263"/>
        <v>1269</v>
      </c>
      <c r="W769" s="10">
        <v>17</v>
      </c>
      <c r="X769" s="32"/>
      <c r="Y769" s="33"/>
      <c r="Z769" s="37"/>
      <c r="AA769" s="34"/>
      <c r="AB769" s="34">
        <f t="shared" si="271"/>
        <v>0</v>
      </c>
      <c r="AC769" s="12"/>
      <c r="AD769" s="12"/>
      <c r="AE769" s="12"/>
      <c r="AF769" s="12">
        <f t="shared" si="265"/>
        <v>0</v>
      </c>
    </row>
    <row r="770" spans="1:32" x14ac:dyDescent="0.25">
      <c r="A770" s="10">
        <v>18</v>
      </c>
      <c r="B770" s="32"/>
      <c r="C770" s="33"/>
      <c r="D770" s="34"/>
      <c r="E770" s="34"/>
      <c r="F770" s="34">
        <f t="shared" si="270"/>
        <v>0</v>
      </c>
      <c r="G770" s="12"/>
      <c r="H770" s="12"/>
      <c r="I770" s="12"/>
      <c r="J770" s="12">
        <f t="shared" si="261"/>
        <v>0</v>
      </c>
      <c r="L770" s="10">
        <v>18</v>
      </c>
      <c r="M770" s="32">
        <v>45674</v>
      </c>
      <c r="N770" s="33">
        <f t="shared" si="267"/>
        <v>7523</v>
      </c>
      <c r="O770" s="34">
        <f>8138+1192+127.5</f>
        <v>9457.5</v>
      </c>
      <c r="P770" s="34"/>
      <c r="Q770" s="34">
        <f t="shared" si="262"/>
        <v>9457.5</v>
      </c>
      <c r="R770" s="12"/>
      <c r="S770" s="12"/>
      <c r="T770" s="12"/>
      <c r="U770" s="12">
        <f t="shared" si="263"/>
        <v>9457.5</v>
      </c>
      <c r="W770" s="10">
        <v>18</v>
      </c>
      <c r="X770" s="32"/>
      <c r="Y770" s="33"/>
      <c r="Z770" s="34"/>
      <c r="AA770" s="34"/>
      <c r="AB770" s="34">
        <f t="shared" si="271"/>
        <v>0</v>
      </c>
      <c r="AC770" s="12"/>
      <c r="AD770" s="12"/>
      <c r="AE770" s="12"/>
      <c r="AF770" s="12">
        <f t="shared" si="265"/>
        <v>0</v>
      </c>
    </row>
    <row r="771" spans="1:32" x14ac:dyDescent="0.25">
      <c r="A771" s="10">
        <v>19</v>
      </c>
      <c r="B771" s="32"/>
      <c r="C771" s="33"/>
      <c r="D771" s="34"/>
      <c r="E771" s="34"/>
      <c r="F771" s="34">
        <f t="shared" si="270"/>
        <v>0</v>
      </c>
      <c r="G771" s="12"/>
      <c r="H771" s="12"/>
      <c r="I771" s="12"/>
      <c r="J771" s="12">
        <f t="shared" si="261"/>
        <v>0</v>
      </c>
      <c r="L771" s="10">
        <v>19</v>
      </c>
      <c r="M771" s="32">
        <v>45674</v>
      </c>
      <c r="N771" s="33">
        <f t="shared" si="267"/>
        <v>7524</v>
      </c>
      <c r="O771" s="34">
        <f>626+8.5</f>
        <v>634.5</v>
      </c>
      <c r="P771" s="34"/>
      <c r="Q771" s="34">
        <f t="shared" si="262"/>
        <v>634.5</v>
      </c>
      <c r="R771" s="12"/>
      <c r="S771" s="12"/>
      <c r="T771" s="12"/>
      <c r="U771" s="12">
        <f t="shared" si="263"/>
        <v>634.5</v>
      </c>
      <c r="W771" s="10">
        <v>19</v>
      </c>
      <c r="X771" s="32"/>
      <c r="Y771" s="33"/>
      <c r="Z771" s="34"/>
      <c r="AA771" s="34"/>
      <c r="AB771" s="34">
        <f t="shared" si="271"/>
        <v>0</v>
      </c>
      <c r="AC771" s="12"/>
      <c r="AD771" s="12"/>
      <c r="AE771" s="12"/>
      <c r="AF771" s="12">
        <f t="shared" si="265"/>
        <v>0</v>
      </c>
    </row>
    <row r="772" spans="1:32" x14ac:dyDescent="0.25">
      <c r="A772" s="10">
        <v>20</v>
      </c>
      <c r="B772" s="32"/>
      <c r="C772" s="33"/>
      <c r="D772" s="34"/>
      <c r="E772" s="34"/>
      <c r="F772" s="34">
        <f t="shared" si="270"/>
        <v>0</v>
      </c>
      <c r="G772" s="12"/>
      <c r="H772" s="12"/>
      <c r="I772" s="12"/>
      <c r="J772" s="12">
        <f t="shared" si="261"/>
        <v>0</v>
      </c>
      <c r="L772" s="10">
        <v>20</v>
      </c>
      <c r="M772" s="32">
        <v>45674</v>
      </c>
      <c r="N772" s="33">
        <f t="shared" si="267"/>
        <v>7525</v>
      </c>
      <c r="O772" s="34">
        <f>626+8.5</f>
        <v>634.5</v>
      </c>
      <c r="P772" s="34"/>
      <c r="Q772" s="34">
        <f t="shared" si="262"/>
        <v>634.5</v>
      </c>
      <c r="R772" s="12"/>
      <c r="S772" s="12"/>
      <c r="T772" s="12"/>
      <c r="U772" s="12">
        <f t="shared" si="263"/>
        <v>634.5</v>
      </c>
      <c r="W772" s="10">
        <v>20</v>
      </c>
      <c r="X772" s="32"/>
      <c r="Y772" s="33"/>
      <c r="Z772" s="34"/>
      <c r="AA772" s="34"/>
      <c r="AB772" s="34">
        <f t="shared" si="271"/>
        <v>0</v>
      </c>
      <c r="AC772" s="12"/>
      <c r="AD772" s="12"/>
      <c r="AE772" s="12"/>
      <c r="AF772" s="12">
        <f t="shared" si="265"/>
        <v>0</v>
      </c>
    </row>
    <row r="773" spans="1:32" x14ac:dyDescent="0.25">
      <c r="A773" s="10">
        <v>21</v>
      </c>
      <c r="B773" s="32"/>
      <c r="C773" s="33"/>
      <c r="D773" s="34"/>
      <c r="E773" s="34"/>
      <c r="F773" s="34">
        <f t="shared" si="270"/>
        <v>0</v>
      </c>
      <c r="G773" s="10"/>
      <c r="H773" s="10"/>
      <c r="I773" s="10"/>
      <c r="J773" s="12">
        <f t="shared" si="261"/>
        <v>0</v>
      </c>
      <c r="L773" s="10">
        <v>21</v>
      </c>
      <c r="M773" s="32">
        <v>45674</v>
      </c>
      <c r="N773" s="33">
        <f t="shared" si="267"/>
        <v>7526</v>
      </c>
      <c r="O773" s="50">
        <f>626*4+596+42.5</f>
        <v>3142.5</v>
      </c>
      <c r="P773" s="33"/>
      <c r="Q773" s="34">
        <f t="shared" si="262"/>
        <v>3142.5</v>
      </c>
      <c r="R773" s="10"/>
      <c r="S773" s="10"/>
      <c r="T773" s="10"/>
      <c r="U773" s="12">
        <f t="shared" si="263"/>
        <v>3142.5</v>
      </c>
      <c r="W773" s="10">
        <v>21</v>
      </c>
      <c r="X773" s="32"/>
      <c r="Y773" s="33"/>
      <c r="Z773" s="50"/>
      <c r="AA773" s="33"/>
      <c r="AB773" s="34">
        <f t="shared" si="271"/>
        <v>0</v>
      </c>
      <c r="AC773" s="10"/>
      <c r="AD773" s="10"/>
      <c r="AE773" s="10"/>
      <c r="AF773" s="12">
        <f t="shared" si="265"/>
        <v>0</v>
      </c>
    </row>
    <row r="774" spans="1:32" x14ac:dyDescent="0.25">
      <c r="A774" s="10">
        <v>22</v>
      </c>
      <c r="B774" s="32"/>
      <c r="C774" s="33"/>
      <c r="D774" s="34"/>
      <c r="E774" s="34"/>
      <c r="F774" s="34">
        <f t="shared" si="270"/>
        <v>0</v>
      </c>
      <c r="G774" s="10"/>
      <c r="H774" s="10"/>
      <c r="I774" s="10"/>
      <c r="J774" s="12">
        <f t="shared" si="261"/>
        <v>0</v>
      </c>
      <c r="L774" s="10">
        <v>22</v>
      </c>
      <c r="M774" s="32">
        <v>45674</v>
      </c>
      <c r="N774" s="33">
        <f t="shared" si="267"/>
        <v>7527</v>
      </c>
      <c r="O774" s="49">
        <f>1878+25.5</f>
        <v>1903.5</v>
      </c>
      <c r="P774" s="33"/>
      <c r="Q774" s="34">
        <f t="shared" si="262"/>
        <v>1903.5</v>
      </c>
      <c r="R774" s="10"/>
      <c r="S774" s="10">
        <v>13.5</v>
      </c>
      <c r="T774" s="10"/>
      <c r="U774" s="12">
        <f t="shared" si="263"/>
        <v>1917</v>
      </c>
      <c r="W774" s="10">
        <v>22</v>
      </c>
      <c r="X774" s="32"/>
      <c r="Z774" s="49"/>
      <c r="AA774" s="33"/>
      <c r="AB774" s="34">
        <f t="shared" si="271"/>
        <v>0</v>
      </c>
      <c r="AC774" s="10"/>
      <c r="AD774" s="10"/>
      <c r="AE774" s="10"/>
      <c r="AF774" s="12">
        <f t="shared" si="265"/>
        <v>0</v>
      </c>
    </row>
    <row r="775" spans="1:32" x14ac:dyDescent="0.25">
      <c r="A775" s="10">
        <v>23</v>
      </c>
      <c r="B775" s="32"/>
      <c r="C775" s="33"/>
      <c r="D775" s="34"/>
      <c r="E775" s="34"/>
      <c r="F775" s="34">
        <f t="shared" si="270"/>
        <v>0</v>
      </c>
      <c r="G775" s="10"/>
      <c r="H775" s="10"/>
      <c r="I775" s="12"/>
      <c r="J775" s="12">
        <f t="shared" si="261"/>
        <v>0</v>
      </c>
      <c r="L775" s="10">
        <v>23</v>
      </c>
      <c r="M775" s="32">
        <v>45674</v>
      </c>
      <c r="N775" s="33">
        <f t="shared" si="267"/>
        <v>7528</v>
      </c>
      <c r="O775" s="51">
        <f>626+8.5</f>
        <v>634.5</v>
      </c>
      <c r="Q775" s="34">
        <f t="shared" si="262"/>
        <v>634.5</v>
      </c>
      <c r="R775" s="10"/>
      <c r="S775" s="10"/>
      <c r="T775" s="10"/>
      <c r="U775" s="12">
        <f t="shared" si="263"/>
        <v>634.5</v>
      </c>
      <c r="W775" s="10">
        <v>23</v>
      </c>
      <c r="X775" s="32"/>
      <c r="Y775" s="33"/>
      <c r="Z775" s="51"/>
      <c r="AB775" s="34">
        <f t="shared" si="271"/>
        <v>0</v>
      </c>
      <c r="AC775" s="10"/>
      <c r="AD775" s="10"/>
      <c r="AE775" s="10"/>
      <c r="AF775" s="12">
        <f t="shared" si="265"/>
        <v>0</v>
      </c>
    </row>
    <row r="776" spans="1:32" x14ac:dyDescent="0.25">
      <c r="A776" s="10">
        <v>24</v>
      </c>
      <c r="B776" s="32"/>
      <c r="C776" s="33"/>
      <c r="D776" s="34"/>
      <c r="E776" s="34"/>
      <c r="F776" s="34">
        <f t="shared" si="270"/>
        <v>0</v>
      </c>
      <c r="G776" s="10"/>
      <c r="H776" s="10"/>
      <c r="I776" s="10"/>
      <c r="J776" s="12">
        <f t="shared" si="261"/>
        <v>0</v>
      </c>
      <c r="L776" s="10">
        <v>24</v>
      </c>
      <c r="M776" s="32">
        <v>45674</v>
      </c>
      <c r="N776" s="33">
        <f t="shared" si="267"/>
        <v>7529</v>
      </c>
      <c r="O776" s="51">
        <f>1252+17</f>
        <v>1269</v>
      </c>
      <c r="P776" s="33"/>
      <c r="Q776" s="34">
        <f t="shared" si="262"/>
        <v>1269</v>
      </c>
      <c r="R776" s="10"/>
      <c r="S776" s="10"/>
      <c r="T776" s="10"/>
      <c r="U776" s="12">
        <f t="shared" si="263"/>
        <v>1269</v>
      </c>
      <c r="W776" s="10">
        <v>24</v>
      </c>
      <c r="X776" s="32"/>
      <c r="Y776" s="33"/>
      <c r="Z776" s="51"/>
      <c r="AA776" s="33"/>
      <c r="AB776" s="34">
        <f t="shared" si="271"/>
        <v>0</v>
      </c>
      <c r="AC776" s="10"/>
      <c r="AD776" s="10"/>
      <c r="AE776" s="10"/>
      <c r="AF776" s="12">
        <f t="shared" si="265"/>
        <v>0</v>
      </c>
    </row>
    <row r="777" spans="1:32" x14ac:dyDescent="0.25">
      <c r="A777" s="10">
        <v>25</v>
      </c>
      <c r="B777" s="32"/>
      <c r="C777" s="33"/>
      <c r="D777" s="34"/>
      <c r="E777" s="34"/>
      <c r="F777" s="34">
        <f t="shared" si="270"/>
        <v>0</v>
      </c>
      <c r="G777" s="10"/>
      <c r="H777" s="10"/>
      <c r="I777" s="10"/>
      <c r="J777" s="12">
        <f t="shared" si="261"/>
        <v>0</v>
      </c>
      <c r="L777" s="10">
        <v>25</v>
      </c>
      <c r="M777" s="32">
        <v>45674</v>
      </c>
      <c r="N777" s="33">
        <f t="shared" si="267"/>
        <v>7530</v>
      </c>
      <c r="O777" s="51">
        <f>626*3+25.5</f>
        <v>1903.5</v>
      </c>
      <c r="P777" s="33"/>
      <c r="Q777" s="34">
        <f t="shared" si="262"/>
        <v>1903.5</v>
      </c>
      <c r="R777" s="10"/>
      <c r="S777" s="10">
        <v>333</v>
      </c>
      <c r="T777" s="10"/>
      <c r="U777" s="12">
        <f t="shared" si="263"/>
        <v>2236.5</v>
      </c>
      <c r="W777" s="10">
        <v>25</v>
      </c>
      <c r="X777" s="32"/>
      <c r="Y777" s="33"/>
      <c r="Z777" s="51"/>
      <c r="AA777" s="33"/>
      <c r="AB777" s="34">
        <f t="shared" si="271"/>
        <v>0</v>
      </c>
      <c r="AC777" s="10"/>
      <c r="AD777" s="10"/>
      <c r="AE777" s="10"/>
      <c r="AF777" s="12">
        <f t="shared" si="265"/>
        <v>0</v>
      </c>
    </row>
    <row r="778" spans="1:32" x14ac:dyDescent="0.25">
      <c r="A778" s="10">
        <v>26</v>
      </c>
      <c r="B778" s="32"/>
      <c r="C778" s="33"/>
      <c r="D778" s="34"/>
      <c r="E778" s="34"/>
      <c r="F778" s="34">
        <f t="shared" si="270"/>
        <v>0</v>
      </c>
      <c r="G778" s="10"/>
      <c r="H778" s="10"/>
      <c r="I778" s="10"/>
      <c r="J778" s="12">
        <f t="shared" si="261"/>
        <v>0</v>
      </c>
      <c r="L778" s="10">
        <v>26</v>
      </c>
      <c r="M778" s="32">
        <v>45674</v>
      </c>
      <c r="N778" s="33">
        <f t="shared" si="267"/>
        <v>7531</v>
      </c>
      <c r="O778" s="51">
        <f>3130+42.5</f>
        <v>3172.5</v>
      </c>
      <c r="P778" s="33"/>
      <c r="Q778" s="34">
        <f t="shared" si="262"/>
        <v>3172.5</v>
      </c>
      <c r="R778" s="10"/>
      <c r="S778" s="10">
        <v>555</v>
      </c>
      <c r="T778" s="10"/>
      <c r="U778" s="12">
        <f t="shared" si="263"/>
        <v>3727.5</v>
      </c>
      <c r="W778" s="10">
        <v>26</v>
      </c>
      <c r="X778" s="32"/>
      <c r="Y778" s="33"/>
      <c r="Z778" s="51"/>
      <c r="AA778" s="33"/>
      <c r="AB778" s="34">
        <f t="shared" si="271"/>
        <v>0</v>
      </c>
      <c r="AC778" s="10"/>
      <c r="AD778" s="10"/>
      <c r="AE778" s="10"/>
      <c r="AF778" s="12">
        <f t="shared" si="265"/>
        <v>0</v>
      </c>
    </row>
    <row r="779" spans="1:32" x14ac:dyDescent="0.25">
      <c r="A779" s="10">
        <v>27</v>
      </c>
      <c r="B779" s="32"/>
      <c r="C779" s="33"/>
      <c r="D779" s="34"/>
      <c r="E779" s="34"/>
      <c r="F779" s="34">
        <f t="shared" si="270"/>
        <v>0</v>
      </c>
      <c r="G779" s="10"/>
      <c r="H779" s="10"/>
      <c r="I779" s="10"/>
      <c r="J779" s="12">
        <f t="shared" si="261"/>
        <v>0</v>
      </c>
      <c r="L779" s="10">
        <v>27</v>
      </c>
      <c r="M779" s="32">
        <v>45674</v>
      </c>
      <c r="N779" s="33">
        <f t="shared" si="267"/>
        <v>7532</v>
      </c>
      <c r="O779" s="51">
        <f>416</f>
        <v>416</v>
      </c>
      <c r="P779" s="33"/>
      <c r="Q779" s="34">
        <f t="shared" si="262"/>
        <v>416</v>
      </c>
      <c r="R779" s="10"/>
      <c r="S779" s="10"/>
      <c r="T779" s="10"/>
      <c r="U779" s="12">
        <f t="shared" si="263"/>
        <v>416</v>
      </c>
      <c r="W779" s="10">
        <v>27</v>
      </c>
      <c r="X779" s="32"/>
      <c r="Y779" s="33"/>
      <c r="Z779" s="51"/>
      <c r="AA779" s="33"/>
      <c r="AB779" s="34">
        <f t="shared" si="271"/>
        <v>0</v>
      </c>
      <c r="AC779" s="10"/>
      <c r="AD779" s="10"/>
      <c r="AE779" s="10"/>
      <c r="AF779" s="12">
        <f t="shared" si="265"/>
        <v>0</v>
      </c>
    </row>
    <row r="780" spans="1:32" x14ac:dyDescent="0.25">
      <c r="A780" s="10">
        <v>28</v>
      </c>
      <c r="B780" s="32"/>
      <c r="D780" s="34"/>
      <c r="E780" s="34"/>
      <c r="F780" s="34">
        <f t="shared" si="270"/>
        <v>0</v>
      </c>
      <c r="G780" s="10"/>
      <c r="H780" s="10"/>
      <c r="I780" s="10"/>
      <c r="J780" s="12">
        <f t="shared" si="261"/>
        <v>0</v>
      </c>
      <c r="L780" s="10">
        <v>28</v>
      </c>
      <c r="M780" s="32">
        <v>45674</v>
      </c>
      <c r="N780" s="33">
        <f t="shared" si="267"/>
        <v>7533</v>
      </c>
      <c r="O780" s="51">
        <f>626+8.5</f>
        <v>634.5</v>
      </c>
      <c r="P780" s="33"/>
      <c r="Q780" s="34">
        <f t="shared" si="262"/>
        <v>634.5</v>
      </c>
      <c r="R780" s="10"/>
      <c r="S780" s="10"/>
      <c r="T780" s="10"/>
      <c r="U780" s="12">
        <f t="shared" si="263"/>
        <v>634.5</v>
      </c>
      <c r="W780" s="10">
        <v>28</v>
      </c>
      <c r="X780" s="32"/>
      <c r="Z780" s="51"/>
      <c r="AA780" s="33"/>
      <c r="AB780" s="34">
        <f t="shared" si="271"/>
        <v>0</v>
      </c>
      <c r="AC780" s="10"/>
      <c r="AD780" s="10"/>
      <c r="AE780" s="10"/>
      <c r="AF780" s="12">
        <f t="shared" si="265"/>
        <v>0</v>
      </c>
    </row>
    <row r="781" spans="1:32" x14ac:dyDescent="0.25">
      <c r="A781" s="10">
        <v>29</v>
      </c>
      <c r="B781" s="32"/>
      <c r="C781" s="33"/>
      <c r="D781" s="34"/>
      <c r="E781" s="34"/>
      <c r="F781" s="34">
        <f t="shared" si="270"/>
        <v>0</v>
      </c>
      <c r="G781" s="10"/>
      <c r="H781" s="10"/>
      <c r="I781" s="10"/>
      <c r="J781" s="12">
        <f t="shared" si="261"/>
        <v>0</v>
      </c>
      <c r="L781" s="10">
        <v>29</v>
      </c>
      <c r="M781" s="32">
        <v>45674</v>
      </c>
      <c r="N781" s="33">
        <f t="shared" si="267"/>
        <v>7534</v>
      </c>
      <c r="O781" s="51">
        <f>626*5+42.5</f>
        <v>3172.5</v>
      </c>
      <c r="P781" s="33"/>
      <c r="Q781" s="34">
        <f t="shared" si="262"/>
        <v>3172.5</v>
      </c>
      <c r="R781" s="10"/>
      <c r="S781" s="10"/>
      <c r="T781" s="10"/>
      <c r="U781" s="12">
        <f t="shared" si="263"/>
        <v>3172.5</v>
      </c>
      <c r="W781" s="10">
        <v>29</v>
      </c>
      <c r="X781" s="32"/>
      <c r="Z781" s="51"/>
      <c r="AA781" s="33"/>
      <c r="AB781" s="34">
        <f t="shared" si="271"/>
        <v>0</v>
      </c>
      <c r="AC781" s="10"/>
      <c r="AD781" s="10"/>
      <c r="AE781" s="10"/>
      <c r="AF781" s="12">
        <f t="shared" si="265"/>
        <v>0</v>
      </c>
    </row>
    <row r="782" spans="1:32" x14ac:dyDescent="0.25">
      <c r="A782" s="10">
        <v>30</v>
      </c>
      <c r="B782" s="32"/>
      <c r="C782" s="33"/>
      <c r="D782" s="34"/>
      <c r="E782" s="34"/>
      <c r="F782" s="34">
        <f t="shared" si="270"/>
        <v>0</v>
      </c>
      <c r="G782" s="10"/>
      <c r="H782" s="10"/>
      <c r="I782" s="10"/>
      <c r="J782" s="12">
        <f t="shared" si="261"/>
        <v>0</v>
      </c>
      <c r="L782" s="10">
        <v>30</v>
      </c>
      <c r="M782" s="32">
        <v>45674</v>
      </c>
      <c r="N782" s="33">
        <f t="shared" si="267"/>
        <v>7535</v>
      </c>
      <c r="O782" s="51">
        <f>1252+17</f>
        <v>1269</v>
      </c>
      <c r="P782" s="33"/>
      <c r="Q782" s="34">
        <f t="shared" si="262"/>
        <v>1269</v>
      </c>
      <c r="R782" s="10"/>
      <c r="S782" s="10"/>
      <c r="T782" s="10"/>
      <c r="U782" s="12">
        <f t="shared" si="263"/>
        <v>1269</v>
      </c>
      <c r="W782" s="10">
        <v>30</v>
      </c>
      <c r="X782" s="32"/>
      <c r="Y782" s="33"/>
      <c r="Z782" s="51"/>
      <c r="AA782" s="33"/>
      <c r="AB782" s="34">
        <f t="shared" si="271"/>
        <v>0</v>
      </c>
      <c r="AC782" s="10"/>
      <c r="AD782" s="10"/>
      <c r="AE782" s="10"/>
      <c r="AF782" s="12">
        <f t="shared" si="265"/>
        <v>0</v>
      </c>
    </row>
    <row r="783" spans="1:32" x14ac:dyDescent="0.25">
      <c r="A783" s="10">
        <v>31</v>
      </c>
      <c r="B783" s="32"/>
      <c r="C783" s="33"/>
      <c r="D783" s="34"/>
      <c r="E783" s="34"/>
      <c r="F783" s="34">
        <f t="shared" si="270"/>
        <v>0</v>
      </c>
      <c r="G783" s="10"/>
      <c r="H783" s="10"/>
      <c r="I783" s="10"/>
      <c r="J783" s="12">
        <f t="shared" si="261"/>
        <v>0</v>
      </c>
      <c r="L783" s="10">
        <v>31</v>
      </c>
      <c r="M783" s="32">
        <v>45674</v>
      </c>
      <c r="N783" s="33">
        <f t="shared" si="267"/>
        <v>7536</v>
      </c>
      <c r="O783" s="51">
        <f>3130+42.5</f>
        <v>3172.5</v>
      </c>
      <c r="P783" s="33"/>
      <c r="Q783" s="34">
        <f t="shared" si="262"/>
        <v>3172.5</v>
      </c>
      <c r="R783" s="10"/>
      <c r="S783" s="10"/>
      <c r="T783" s="10"/>
      <c r="U783" s="12">
        <f t="shared" si="263"/>
        <v>3172.5</v>
      </c>
      <c r="W783" s="10">
        <v>31</v>
      </c>
      <c r="X783" s="32"/>
      <c r="Z783" s="51"/>
      <c r="AA783" s="33"/>
      <c r="AB783" s="34">
        <f t="shared" si="271"/>
        <v>0</v>
      </c>
      <c r="AC783" s="10"/>
      <c r="AD783" s="10"/>
      <c r="AE783" s="10"/>
      <c r="AF783" s="12">
        <f t="shared" si="265"/>
        <v>0</v>
      </c>
    </row>
    <row r="784" spans="1:32" x14ac:dyDescent="0.25">
      <c r="A784" s="10">
        <v>32</v>
      </c>
      <c r="B784" s="32"/>
      <c r="C784" s="33"/>
      <c r="D784" s="34"/>
      <c r="E784" s="34"/>
      <c r="F784" s="34">
        <f t="shared" si="270"/>
        <v>0</v>
      </c>
      <c r="G784" s="10"/>
      <c r="H784" s="10"/>
      <c r="I784" s="10"/>
      <c r="J784" s="12">
        <f t="shared" si="261"/>
        <v>0</v>
      </c>
      <c r="L784" s="10">
        <v>32</v>
      </c>
      <c r="M784" s="32">
        <v>45674</v>
      </c>
      <c r="N784" s="33">
        <f t="shared" si="267"/>
        <v>7537</v>
      </c>
      <c r="O784" s="51">
        <f>1878+25.5</f>
        <v>1903.5</v>
      </c>
      <c r="P784" s="33"/>
      <c r="Q784" s="34">
        <f t="shared" si="262"/>
        <v>1903.5</v>
      </c>
      <c r="R784" s="10"/>
      <c r="S784" s="10"/>
      <c r="T784" s="10"/>
      <c r="U784" s="12">
        <f t="shared" si="263"/>
        <v>1903.5</v>
      </c>
      <c r="W784" s="10">
        <v>32</v>
      </c>
      <c r="X784" s="32"/>
      <c r="Y784" s="33"/>
      <c r="Z784" s="51"/>
      <c r="AA784" s="33"/>
      <c r="AB784" s="34">
        <f t="shared" si="271"/>
        <v>0</v>
      </c>
      <c r="AC784" s="10"/>
      <c r="AD784" s="10"/>
      <c r="AE784" s="10"/>
      <c r="AF784" s="12">
        <f t="shared" si="265"/>
        <v>0</v>
      </c>
    </row>
    <row r="785" spans="1:32" x14ac:dyDescent="0.25">
      <c r="A785" s="10">
        <v>33</v>
      </c>
      <c r="B785" s="32"/>
      <c r="C785" s="70"/>
      <c r="D785" s="34"/>
      <c r="E785" s="34"/>
      <c r="F785" s="34">
        <f t="shared" si="270"/>
        <v>0</v>
      </c>
      <c r="G785" s="10"/>
      <c r="H785" s="10"/>
      <c r="I785" s="10"/>
      <c r="J785" s="12">
        <f t="shared" si="261"/>
        <v>0</v>
      </c>
      <c r="L785" s="10">
        <v>33</v>
      </c>
      <c r="M785" s="32">
        <v>45674</v>
      </c>
      <c r="N785" s="33">
        <f t="shared" si="267"/>
        <v>7538</v>
      </c>
      <c r="O785" s="51">
        <f>1252+17</f>
        <v>1269</v>
      </c>
      <c r="P785" s="33"/>
      <c r="Q785" s="34">
        <f t="shared" si="262"/>
        <v>1269</v>
      </c>
      <c r="R785" s="10"/>
      <c r="S785" s="10"/>
      <c r="T785" s="10"/>
      <c r="U785" s="12">
        <f t="shared" si="263"/>
        <v>1269</v>
      </c>
      <c r="W785" s="10">
        <v>33</v>
      </c>
      <c r="X785" s="32"/>
      <c r="Y785" s="33"/>
      <c r="Z785" s="51"/>
      <c r="AA785" s="33"/>
      <c r="AB785" s="34">
        <f t="shared" si="271"/>
        <v>0</v>
      </c>
      <c r="AC785" s="10"/>
      <c r="AD785" s="10"/>
      <c r="AE785" s="10"/>
      <c r="AF785" s="12">
        <f t="shared" si="265"/>
        <v>0</v>
      </c>
    </row>
    <row r="786" spans="1:32" x14ac:dyDescent="0.25">
      <c r="A786" s="10"/>
      <c r="B786" s="32"/>
      <c r="C786" s="33"/>
      <c r="D786" s="34"/>
      <c r="E786" s="34"/>
      <c r="F786" s="34">
        <f t="shared" si="270"/>
        <v>0</v>
      </c>
      <c r="G786" s="10"/>
      <c r="H786" s="10"/>
      <c r="I786" s="10"/>
      <c r="J786" s="12">
        <f t="shared" si="261"/>
        <v>0</v>
      </c>
      <c r="L786" s="10">
        <v>34</v>
      </c>
      <c r="M786" s="32">
        <v>45674</v>
      </c>
      <c r="N786" s="33">
        <f t="shared" si="267"/>
        <v>7539</v>
      </c>
      <c r="O786" s="51">
        <f>626*100+854</f>
        <v>63454</v>
      </c>
      <c r="P786" s="33">
        <v>-832</v>
      </c>
      <c r="Q786" s="34">
        <f t="shared" ref="Q786:Q791" si="272">SUM(O786:P786)</f>
        <v>62622</v>
      </c>
      <c r="R786" s="10"/>
      <c r="S786" s="10">
        <v>144</v>
      </c>
      <c r="T786" s="10"/>
      <c r="U786" s="12">
        <f t="shared" si="263"/>
        <v>62766</v>
      </c>
      <c r="W786" s="10">
        <v>34</v>
      </c>
      <c r="X786" s="32"/>
      <c r="Y786" s="33"/>
      <c r="Z786" s="51"/>
      <c r="AA786" s="33"/>
      <c r="AB786" s="34">
        <f t="shared" ref="AB786:AB791" si="273">SUM(Z786:AA786)</f>
        <v>0</v>
      </c>
      <c r="AC786" s="10"/>
      <c r="AD786" s="10"/>
      <c r="AE786" s="10"/>
      <c r="AF786" s="12">
        <f t="shared" si="265"/>
        <v>0</v>
      </c>
    </row>
    <row r="787" spans="1:32" x14ac:dyDescent="0.25">
      <c r="A787" s="10"/>
      <c r="B787" s="32"/>
      <c r="C787" s="33"/>
      <c r="D787" s="34"/>
      <c r="E787" s="34"/>
      <c r="F787" s="34">
        <f t="shared" si="270"/>
        <v>0</v>
      </c>
      <c r="G787" s="10"/>
      <c r="H787" s="10"/>
      <c r="I787" s="10"/>
      <c r="J787" s="12">
        <f t="shared" si="261"/>
        <v>0</v>
      </c>
      <c r="L787" s="10">
        <v>35</v>
      </c>
      <c r="M787" s="32">
        <v>45674</v>
      </c>
      <c r="N787" s="33">
        <f t="shared" si="267"/>
        <v>7540</v>
      </c>
      <c r="O787" s="51">
        <f>596+8.5</f>
        <v>604.5</v>
      </c>
      <c r="P787" s="33"/>
      <c r="Q787" s="34">
        <f t="shared" si="272"/>
        <v>604.5</v>
      </c>
      <c r="R787" s="10"/>
      <c r="S787" s="10"/>
      <c r="T787" s="10"/>
      <c r="U787" s="12">
        <f t="shared" si="263"/>
        <v>604.5</v>
      </c>
      <c r="W787" s="10">
        <v>35</v>
      </c>
      <c r="X787" s="32"/>
      <c r="Y787" s="33"/>
      <c r="Z787" s="51"/>
      <c r="AA787" s="33"/>
      <c r="AB787" s="34">
        <f t="shared" si="273"/>
        <v>0</v>
      </c>
      <c r="AC787" s="10"/>
      <c r="AD787" s="10"/>
      <c r="AE787" s="10"/>
      <c r="AF787" s="12">
        <f t="shared" si="265"/>
        <v>0</v>
      </c>
    </row>
    <row r="788" spans="1:32" x14ac:dyDescent="0.25">
      <c r="A788" s="10"/>
      <c r="B788" s="32"/>
      <c r="C788" s="70"/>
      <c r="D788" s="34"/>
      <c r="E788" s="34"/>
      <c r="F788" s="34">
        <f t="shared" si="270"/>
        <v>0</v>
      </c>
      <c r="G788" s="10"/>
      <c r="H788" s="10"/>
      <c r="I788" s="10"/>
      <c r="J788" s="12">
        <f t="shared" si="261"/>
        <v>0</v>
      </c>
      <c r="L788" s="10">
        <v>36</v>
      </c>
      <c r="M788" s="32">
        <v>45674</v>
      </c>
      <c r="N788" s="33">
        <f t="shared" si="267"/>
        <v>7541</v>
      </c>
      <c r="O788" s="51">
        <f>596+8.5</f>
        <v>604.5</v>
      </c>
      <c r="P788" s="33"/>
      <c r="Q788" s="34">
        <f t="shared" si="272"/>
        <v>604.5</v>
      </c>
      <c r="R788" s="10"/>
      <c r="S788" s="10"/>
      <c r="T788" s="10">
        <v>-333</v>
      </c>
      <c r="U788" s="12">
        <f t="shared" si="263"/>
        <v>271.5</v>
      </c>
      <c r="W788" s="10">
        <v>36</v>
      </c>
      <c r="X788" s="32"/>
      <c r="Y788" s="33"/>
      <c r="Z788" s="51"/>
      <c r="AA788" s="33"/>
      <c r="AB788" s="34">
        <f t="shared" si="273"/>
        <v>0</v>
      </c>
      <c r="AC788" s="10"/>
      <c r="AD788" s="10"/>
      <c r="AE788" s="10"/>
      <c r="AF788" s="12">
        <f t="shared" si="265"/>
        <v>0</v>
      </c>
    </row>
    <row r="789" spans="1:32" x14ac:dyDescent="0.25">
      <c r="A789" s="10"/>
      <c r="B789" s="32"/>
      <c r="C789" s="33"/>
      <c r="D789" s="34"/>
      <c r="E789" s="34"/>
      <c r="F789" s="34">
        <f t="shared" si="270"/>
        <v>0</v>
      </c>
      <c r="G789" s="10"/>
      <c r="H789" s="10"/>
      <c r="I789" s="10"/>
      <c r="J789" s="12">
        <f t="shared" si="261"/>
        <v>0</v>
      </c>
      <c r="L789" s="10">
        <v>37</v>
      </c>
      <c r="M789" s="32">
        <v>45674</v>
      </c>
      <c r="N789" s="33">
        <f t="shared" si="267"/>
        <v>7542</v>
      </c>
      <c r="O789" s="51">
        <f>626+1228+8.5</f>
        <v>1862.5</v>
      </c>
      <c r="P789" s="33"/>
      <c r="Q789" s="34">
        <f t="shared" si="272"/>
        <v>1862.5</v>
      </c>
      <c r="R789" s="10"/>
      <c r="S789" s="10"/>
      <c r="T789" s="10"/>
      <c r="U789" s="12">
        <f t="shared" si="263"/>
        <v>1862.5</v>
      </c>
      <c r="W789" s="10">
        <v>37</v>
      </c>
      <c r="X789" s="32"/>
      <c r="Y789" s="33"/>
      <c r="Z789" s="51"/>
      <c r="AA789" s="33"/>
      <c r="AB789" s="34">
        <f t="shared" si="273"/>
        <v>0</v>
      </c>
      <c r="AC789" s="10"/>
      <c r="AD789" s="10"/>
      <c r="AE789" s="10"/>
      <c r="AF789" s="12">
        <f t="shared" si="265"/>
        <v>0</v>
      </c>
    </row>
    <row r="790" spans="1:32" x14ac:dyDescent="0.25">
      <c r="A790" s="10"/>
      <c r="B790" s="32"/>
      <c r="C790" s="70"/>
      <c r="D790" s="34"/>
      <c r="E790" s="34"/>
      <c r="F790" s="34">
        <f t="shared" si="270"/>
        <v>0</v>
      </c>
      <c r="G790" s="10"/>
      <c r="H790" s="10"/>
      <c r="I790" s="10"/>
      <c r="J790" s="12">
        <f t="shared" si="261"/>
        <v>0</v>
      </c>
      <c r="L790" s="10">
        <v>38</v>
      </c>
      <c r="M790" s="32">
        <v>45674</v>
      </c>
      <c r="N790" s="33">
        <f t="shared" si="267"/>
        <v>7543</v>
      </c>
      <c r="O790" s="51">
        <f>674+596+8.5</f>
        <v>1278.5</v>
      </c>
      <c r="P790" s="33"/>
      <c r="Q790" s="34">
        <f t="shared" si="272"/>
        <v>1278.5</v>
      </c>
      <c r="R790" s="10"/>
      <c r="S790" s="10"/>
      <c r="T790" s="10"/>
      <c r="U790" s="12">
        <f t="shared" si="263"/>
        <v>1278.5</v>
      </c>
      <c r="W790" s="10">
        <v>38</v>
      </c>
      <c r="X790" s="32"/>
      <c r="Y790" s="33"/>
      <c r="Z790" s="51"/>
      <c r="AA790" s="33"/>
      <c r="AB790" s="34">
        <f t="shared" si="273"/>
        <v>0</v>
      </c>
      <c r="AC790" s="10"/>
      <c r="AD790" s="10"/>
      <c r="AE790" s="10"/>
      <c r="AF790" s="12">
        <f t="shared" si="265"/>
        <v>0</v>
      </c>
    </row>
    <row r="791" spans="1:32" x14ac:dyDescent="0.25">
      <c r="A791" s="10"/>
      <c r="B791" s="32"/>
      <c r="C791" s="33"/>
      <c r="D791" s="34"/>
      <c r="E791" s="34"/>
      <c r="F791" s="34">
        <f t="shared" si="270"/>
        <v>0</v>
      </c>
      <c r="G791" s="10"/>
      <c r="H791" s="10"/>
      <c r="I791" s="10"/>
      <c r="J791" s="12">
        <f t="shared" si="261"/>
        <v>0</v>
      </c>
      <c r="L791" s="10">
        <v>39</v>
      </c>
      <c r="M791" s="32">
        <v>45674</v>
      </c>
      <c r="N791" s="33">
        <f t="shared" si="267"/>
        <v>7544</v>
      </c>
      <c r="O791" s="51">
        <f>1252+596+25.5</f>
        <v>1873.5</v>
      </c>
      <c r="P791" s="33"/>
      <c r="Q791" s="34">
        <f t="shared" si="272"/>
        <v>1873.5</v>
      </c>
      <c r="R791" s="10"/>
      <c r="S791" s="10">
        <v>4.5</v>
      </c>
      <c r="T791" s="10"/>
      <c r="U791" s="12">
        <f t="shared" si="263"/>
        <v>1878</v>
      </c>
      <c r="W791" s="10">
        <v>39</v>
      </c>
      <c r="X791" s="32"/>
      <c r="Y791" s="33"/>
      <c r="Z791" s="51"/>
      <c r="AA791" s="33"/>
      <c r="AB791" s="34">
        <f t="shared" si="273"/>
        <v>0</v>
      </c>
      <c r="AC791" s="10"/>
      <c r="AD791" s="10"/>
      <c r="AE791" s="10"/>
      <c r="AF791" s="12">
        <f t="shared" si="265"/>
        <v>0</v>
      </c>
    </row>
    <row r="792" spans="1:32" x14ac:dyDescent="0.25">
      <c r="A792" s="10"/>
      <c r="B792" s="32"/>
      <c r="C792" s="33"/>
      <c r="D792" s="34"/>
      <c r="E792" s="34"/>
      <c r="F792" s="34">
        <f t="shared" si="270"/>
        <v>0</v>
      </c>
      <c r="G792" s="10"/>
      <c r="H792" s="10"/>
      <c r="I792" s="10"/>
      <c r="J792" s="12">
        <f t="shared" si="261"/>
        <v>0</v>
      </c>
      <c r="L792" s="10"/>
      <c r="M792" s="32"/>
      <c r="N792" s="11" t="s">
        <v>28</v>
      </c>
      <c r="O792" s="51"/>
      <c r="P792" s="33"/>
      <c r="Q792" s="34"/>
      <c r="R792" s="10"/>
      <c r="S792" s="10"/>
      <c r="T792" s="10"/>
      <c r="U792" s="12">
        <f t="shared" si="263"/>
        <v>0</v>
      </c>
      <c r="W792" s="10"/>
      <c r="X792" s="32"/>
      <c r="Z792" s="51"/>
      <c r="AA792" s="33"/>
      <c r="AB792" s="34"/>
      <c r="AC792" s="10"/>
      <c r="AD792" s="10"/>
      <c r="AE792" s="10"/>
      <c r="AF792" s="12">
        <f t="shared" si="265"/>
        <v>0</v>
      </c>
    </row>
    <row r="793" spans="1:32" x14ac:dyDescent="0.25">
      <c r="A793" s="10"/>
      <c r="B793" s="32"/>
      <c r="C793" s="70"/>
      <c r="D793" s="34"/>
      <c r="E793" s="34"/>
      <c r="F793" s="34">
        <f t="shared" si="270"/>
        <v>0</v>
      </c>
      <c r="G793" s="10"/>
      <c r="H793" s="10"/>
      <c r="I793" s="10"/>
      <c r="J793" s="12">
        <f t="shared" ref="J793" si="274">SUM(F793:I793)</f>
        <v>0</v>
      </c>
      <c r="L793" s="10"/>
      <c r="M793" s="32"/>
      <c r="N793" s="33"/>
      <c r="O793" s="51"/>
      <c r="P793" s="33"/>
      <c r="Q793" s="34">
        <f t="shared" ref="Q793" si="275">SUM(O793:P793)</f>
        <v>0</v>
      </c>
      <c r="R793" s="10"/>
      <c r="S793" s="10"/>
      <c r="T793" s="10"/>
      <c r="U793" s="12">
        <f t="shared" si="263"/>
        <v>0</v>
      </c>
      <c r="W793" s="10"/>
      <c r="X793" s="32"/>
      <c r="Y793" s="33"/>
      <c r="Z793" s="51"/>
      <c r="AA793" s="33"/>
      <c r="AB793" s="34">
        <f t="shared" ref="AB793" si="276">SUM(Z793:AA793)</f>
        <v>0</v>
      </c>
      <c r="AC793" s="10"/>
      <c r="AD793" s="10"/>
      <c r="AE793" s="10"/>
      <c r="AF793" s="12">
        <f t="shared" si="265"/>
        <v>0</v>
      </c>
    </row>
    <row r="794" spans="1:32" x14ac:dyDescent="0.25">
      <c r="A794" s="10"/>
      <c r="B794" s="32"/>
      <c r="C794" s="32"/>
      <c r="D794" s="34"/>
      <c r="E794" s="34"/>
      <c r="F794" s="34"/>
      <c r="G794" s="10"/>
      <c r="H794" s="10"/>
      <c r="I794" s="10"/>
      <c r="J794" s="12"/>
      <c r="L794" s="10"/>
      <c r="M794" s="33"/>
      <c r="N794" s="33"/>
      <c r="O794" s="33"/>
      <c r="P794" s="33"/>
      <c r="Q794" s="33"/>
      <c r="R794" s="10"/>
      <c r="S794" s="10"/>
      <c r="T794" s="10"/>
      <c r="U794" s="12">
        <f t="shared" si="263"/>
        <v>0</v>
      </c>
      <c r="W794" s="10"/>
      <c r="X794" s="33"/>
      <c r="Y794" s="33"/>
      <c r="Z794" s="33"/>
      <c r="AA794" s="33"/>
      <c r="AB794" s="33"/>
      <c r="AC794" s="10"/>
      <c r="AD794" s="10"/>
      <c r="AE794" s="10"/>
      <c r="AF794" s="12">
        <f t="shared" si="265"/>
        <v>0</v>
      </c>
    </row>
    <row r="795" spans="1:32" x14ac:dyDescent="0.25">
      <c r="B795" s="70"/>
      <c r="C795" s="70"/>
      <c r="D795" s="38"/>
      <c r="E795" s="38"/>
      <c r="F795" s="38"/>
      <c r="G795" s="39"/>
      <c r="H795" s="39"/>
      <c r="I795" s="39"/>
      <c r="J795" s="39"/>
      <c r="M795" s="70"/>
      <c r="N795" s="70"/>
      <c r="O795" s="38"/>
      <c r="P795" s="38"/>
      <c r="Q795" s="38"/>
      <c r="R795" s="39"/>
      <c r="S795" s="39"/>
      <c r="T795" s="39"/>
      <c r="U795" s="39"/>
      <c r="X795" s="70"/>
      <c r="Y795" s="70"/>
      <c r="Z795" s="38"/>
      <c r="AA795" s="38"/>
      <c r="AB795" s="38"/>
      <c r="AC795" s="39"/>
      <c r="AD795" s="39"/>
      <c r="AE795" s="39"/>
      <c r="AF795" s="39"/>
    </row>
    <row r="796" spans="1:32" x14ac:dyDescent="0.25">
      <c r="B796" s="70"/>
      <c r="C796" s="70"/>
      <c r="D796" s="40">
        <f>SUM(D753:D795)</f>
        <v>341004.5</v>
      </c>
      <c r="E796" s="40">
        <f t="shared" ref="E796" si="277">SUM(E753:E793)</f>
        <v>-3735</v>
      </c>
      <c r="F796" s="40">
        <f>SUM(F753:F795)</f>
        <v>337269.5</v>
      </c>
      <c r="G796" s="4"/>
      <c r="H796" s="41">
        <f>SUM(H753:H795)</f>
        <v>11322</v>
      </c>
      <c r="I796" s="41">
        <f>SUM(I753:I795)</f>
        <v>-222</v>
      </c>
      <c r="J796" s="42">
        <f>SUM(J753:J795)</f>
        <v>348369.5</v>
      </c>
      <c r="M796" s="70"/>
      <c r="N796" s="70"/>
      <c r="O796" s="40">
        <f>SUM(O753:O795)</f>
        <v>154392</v>
      </c>
      <c r="P796" s="40">
        <f>SUM(P753:P777)</f>
        <v>1.5</v>
      </c>
      <c r="Q796" s="40">
        <f>SUM(Q753:Q795)</f>
        <v>153561.5</v>
      </c>
      <c r="R796" s="4"/>
      <c r="S796" s="43">
        <f>SUM(S753:S795)</f>
        <v>1128</v>
      </c>
      <c r="T796" s="43">
        <f>SUM(T753:T777)</f>
        <v>0</v>
      </c>
      <c r="U796" s="44">
        <f>SUM(U753:U795)</f>
        <v>154356.5</v>
      </c>
      <c r="X796" s="70"/>
      <c r="Y796" s="70"/>
      <c r="Z796" s="40">
        <f>SUM(Z753:Z795)</f>
        <v>286721</v>
      </c>
      <c r="AA796" s="40">
        <f>SUM(AA753:AA777)</f>
        <v>-4071</v>
      </c>
      <c r="AB796" s="40">
        <f>SUM(AB753:AB795)</f>
        <v>282650</v>
      </c>
      <c r="AC796" s="4"/>
      <c r="AD796" s="43">
        <f>SUM(AD753:AD795)</f>
        <v>19149</v>
      </c>
      <c r="AE796" s="43">
        <f>SUM(AE753:AE777)</f>
        <v>-417</v>
      </c>
      <c r="AF796" s="44">
        <f>SUM(AF753:AF795)</f>
        <v>301382</v>
      </c>
    </row>
    <row r="797" spans="1:32" x14ac:dyDescent="0.25">
      <c r="B797" s="70"/>
      <c r="C797" s="70"/>
      <c r="D797" s="70"/>
      <c r="E797" s="70"/>
      <c r="F797" s="70"/>
      <c r="M797" s="70"/>
      <c r="N797" s="70"/>
      <c r="O797" s="45"/>
      <c r="P797" s="70"/>
      <c r="Q797" s="70"/>
      <c r="X797" s="70"/>
      <c r="Y797" s="70"/>
      <c r="Z797" s="45"/>
      <c r="AA797" s="70"/>
      <c r="AB797" s="70"/>
    </row>
    <row r="798" spans="1:32" x14ac:dyDescent="0.25">
      <c r="B798" s="70"/>
      <c r="C798" s="70"/>
      <c r="D798" s="70"/>
      <c r="E798" s="70"/>
      <c r="F798" s="70"/>
      <c r="M798" s="70"/>
      <c r="N798" s="70"/>
      <c r="O798" s="70"/>
      <c r="P798" s="70"/>
      <c r="Q798" s="70"/>
      <c r="X798" s="70"/>
      <c r="Y798" s="70"/>
      <c r="Z798" s="70"/>
      <c r="AA798" s="70"/>
      <c r="AB798" s="70"/>
    </row>
    <row r="799" spans="1:32" x14ac:dyDescent="0.25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</row>
    <row r="800" spans="1:32" x14ac:dyDescent="0.25">
      <c r="A800" t="s">
        <v>0</v>
      </c>
      <c r="B800" s="70"/>
      <c r="C800" s="70"/>
      <c r="D800" s="70"/>
      <c r="E800" s="70"/>
      <c r="F800" s="70"/>
      <c r="L800" t="s">
        <v>0</v>
      </c>
      <c r="M800" s="70"/>
      <c r="N800" s="70"/>
      <c r="O800" s="70"/>
      <c r="P800" s="70"/>
      <c r="Q800" s="70"/>
      <c r="W800" t="s">
        <v>0</v>
      </c>
      <c r="X800" s="70"/>
      <c r="Y800" s="70"/>
      <c r="Z800" s="70"/>
      <c r="AA800" s="70"/>
      <c r="AB800" s="70"/>
    </row>
    <row r="801" spans="1:32" x14ac:dyDescent="0.25">
      <c r="A801" t="s">
        <v>30</v>
      </c>
      <c r="B801" s="70"/>
      <c r="C801" s="70"/>
      <c r="D801" s="70"/>
      <c r="E801" s="70"/>
      <c r="F801" s="70"/>
      <c r="L801" t="s">
        <v>30</v>
      </c>
      <c r="M801" s="70"/>
      <c r="N801" s="70"/>
      <c r="O801" s="70"/>
      <c r="P801" s="70"/>
      <c r="Q801" s="70"/>
      <c r="W801" t="s">
        <v>30</v>
      </c>
      <c r="X801" s="70"/>
      <c r="Y801" s="70"/>
      <c r="Z801" s="70"/>
      <c r="AA801" s="70"/>
      <c r="AB801" s="70"/>
    </row>
    <row r="802" spans="1:32" x14ac:dyDescent="0.25">
      <c r="B802" s="70"/>
      <c r="C802" s="70"/>
      <c r="D802" s="70"/>
      <c r="E802" s="70"/>
      <c r="F802" s="70"/>
      <c r="M802" s="70"/>
      <c r="N802" s="70"/>
      <c r="O802" s="70"/>
      <c r="P802" s="70"/>
      <c r="Q802" s="70"/>
      <c r="X802" s="70"/>
      <c r="Y802" s="70"/>
      <c r="Z802" s="70"/>
      <c r="AA802" s="70"/>
      <c r="AB802" s="70"/>
    </row>
    <row r="803" spans="1:32" x14ac:dyDescent="0.25">
      <c r="A803" s="4" t="s">
        <v>15</v>
      </c>
      <c r="B803" s="70"/>
      <c r="C803" s="70"/>
      <c r="D803" s="70"/>
      <c r="E803" s="70"/>
      <c r="F803" s="70"/>
      <c r="L803" s="4" t="s">
        <v>15</v>
      </c>
      <c r="M803" s="70"/>
      <c r="N803" s="70"/>
      <c r="O803" s="70"/>
      <c r="P803" s="70"/>
      <c r="Q803" s="70"/>
      <c r="W803" s="4" t="s">
        <v>15</v>
      </c>
      <c r="X803" s="70"/>
      <c r="Y803" s="70"/>
      <c r="Z803" s="70"/>
      <c r="AA803" s="70"/>
      <c r="AB803" s="70"/>
    </row>
    <row r="804" spans="1:32" x14ac:dyDescent="0.25">
      <c r="B804" s="70"/>
      <c r="C804" s="70"/>
      <c r="D804" s="70"/>
      <c r="E804" s="70"/>
      <c r="F804" s="70"/>
      <c r="M804" s="70"/>
      <c r="N804" s="70"/>
      <c r="O804" s="70"/>
      <c r="P804" s="70"/>
      <c r="Q804" s="70"/>
      <c r="X804" s="70"/>
      <c r="Y804" s="70"/>
      <c r="Z804" s="70"/>
      <c r="AA804" s="70"/>
      <c r="AB804" s="70"/>
    </row>
    <row r="805" spans="1:32" ht="15.75" x14ac:dyDescent="0.25">
      <c r="A805" t="s">
        <v>39</v>
      </c>
      <c r="B805" s="70"/>
      <c r="C805" s="70"/>
      <c r="D805" s="70"/>
      <c r="E805" s="70"/>
      <c r="F805" s="70"/>
      <c r="H805" s="70" t="s">
        <v>16</v>
      </c>
      <c r="I805" s="19">
        <v>1</v>
      </c>
      <c r="L805" t="s">
        <v>39</v>
      </c>
      <c r="M805" s="70"/>
      <c r="N805" s="70"/>
      <c r="O805" s="70"/>
      <c r="P805" s="70"/>
      <c r="Q805" s="70"/>
      <c r="S805" s="70" t="s">
        <v>16</v>
      </c>
      <c r="T805" s="19">
        <v>2</v>
      </c>
      <c r="W805" t="s">
        <v>39</v>
      </c>
      <c r="X805" s="70"/>
      <c r="Y805" s="70"/>
      <c r="Z805" s="70"/>
      <c r="AA805" s="70"/>
      <c r="AB805" s="70"/>
      <c r="AD805" s="70" t="s">
        <v>16</v>
      </c>
      <c r="AE805" s="20">
        <v>3</v>
      </c>
    </row>
    <row r="806" spans="1:32" x14ac:dyDescent="0.25">
      <c r="A806" s="21" t="s">
        <v>76</v>
      </c>
      <c r="B806" s="20"/>
      <c r="C806" s="70"/>
      <c r="D806" s="70"/>
      <c r="E806" s="70"/>
      <c r="F806" s="70"/>
      <c r="H806" s="22" t="s">
        <v>17</v>
      </c>
      <c r="I806" s="23" t="s">
        <v>46</v>
      </c>
      <c r="J806" s="24"/>
      <c r="L806" s="21" t="s">
        <v>76</v>
      </c>
      <c r="M806" s="20"/>
      <c r="N806" s="70"/>
      <c r="O806" s="70"/>
      <c r="P806" s="70"/>
      <c r="Q806" s="70"/>
      <c r="S806" s="22" t="s">
        <v>17</v>
      </c>
      <c r="T806" s="23" t="s">
        <v>34</v>
      </c>
      <c r="U806" s="24"/>
      <c r="W806" s="21" t="s">
        <v>76</v>
      </c>
      <c r="X806" s="20"/>
      <c r="Y806" s="70"/>
      <c r="Z806" s="70"/>
      <c r="AA806" s="70"/>
      <c r="AB806" s="70"/>
      <c r="AD806" s="22" t="s">
        <v>17</v>
      </c>
      <c r="AE806" s="23" t="s">
        <v>47</v>
      </c>
      <c r="AF806" s="24"/>
    </row>
    <row r="807" spans="1:32" x14ac:dyDescent="0.25">
      <c r="B807" s="70"/>
      <c r="C807" s="70"/>
      <c r="D807" s="70"/>
      <c r="E807" s="70"/>
      <c r="F807" s="70"/>
      <c r="M807" s="70"/>
      <c r="N807" s="70"/>
      <c r="O807" s="70"/>
      <c r="P807" s="70"/>
      <c r="Q807" s="70"/>
      <c r="X807" s="70"/>
      <c r="Y807" s="70"/>
      <c r="Z807" s="70"/>
      <c r="AA807" s="70"/>
      <c r="AB807" s="70"/>
    </row>
    <row r="808" spans="1:32" x14ac:dyDescent="0.25">
      <c r="B808" s="25"/>
      <c r="C808" s="26"/>
      <c r="D808" s="79" t="s">
        <v>18</v>
      </c>
      <c r="E808" s="79"/>
      <c r="F808" s="27"/>
      <c r="H808" s="77" t="s">
        <v>19</v>
      </c>
      <c r="I808" s="78"/>
      <c r="J808" s="75" t="s">
        <v>20</v>
      </c>
      <c r="M808" s="25"/>
      <c r="N808" s="26"/>
      <c r="O808" s="79" t="s">
        <v>18</v>
      </c>
      <c r="P808" s="79"/>
      <c r="Q808" s="27"/>
      <c r="S808" s="77" t="s">
        <v>19</v>
      </c>
      <c r="T808" s="78"/>
      <c r="U808" s="75" t="s">
        <v>20</v>
      </c>
      <c r="X808" s="25"/>
      <c r="Y808" s="26"/>
      <c r="Z808" s="79" t="s">
        <v>18</v>
      </c>
      <c r="AA808" s="79"/>
      <c r="AB808" s="27"/>
      <c r="AD808" s="77" t="s">
        <v>19</v>
      </c>
      <c r="AE808" s="78"/>
      <c r="AF808" s="75" t="s">
        <v>20</v>
      </c>
    </row>
    <row r="809" spans="1:32" ht="30" x14ac:dyDescent="0.25">
      <c r="B809" s="28" t="s">
        <v>21</v>
      </c>
      <c r="C809" s="28" t="s">
        <v>22</v>
      </c>
      <c r="D809" s="29" t="s">
        <v>23</v>
      </c>
      <c r="E809" s="30" t="s">
        <v>24</v>
      </c>
      <c r="F809" s="30" t="s">
        <v>25</v>
      </c>
      <c r="H809" s="31" t="s">
        <v>26</v>
      </c>
      <c r="I809" s="31" t="s">
        <v>27</v>
      </c>
      <c r="J809" s="76"/>
      <c r="M809" s="28" t="s">
        <v>21</v>
      </c>
      <c r="N809" s="28" t="s">
        <v>22</v>
      </c>
      <c r="O809" s="29" t="s">
        <v>23</v>
      </c>
      <c r="P809" s="30" t="s">
        <v>24</v>
      </c>
      <c r="Q809" s="30" t="s">
        <v>25</v>
      </c>
      <c r="S809" s="31" t="s">
        <v>26</v>
      </c>
      <c r="T809" s="31" t="s">
        <v>27</v>
      </c>
      <c r="U809" s="76"/>
      <c r="X809" s="28" t="s">
        <v>21</v>
      </c>
      <c r="Y809" s="28" t="s">
        <v>22</v>
      </c>
      <c r="Z809" s="29" t="s">
        <v>23</v>
      </c>
      <c r="AA809" s="30" t="s">
        <v>24</v>
      </c>
      <c r="AB809" s="30" t="s">
        <v>25</v>
      </c>
      <c r="AD809" s="31" t="s">
        <v>26</v>
      </c>
      <c r="AE809" s="31" t="s">
        <v>27</v>
      </c>
      <c r="AF809" s="76"/>
    </row>
    <row r="810" spans="1:32" x14ac:dyDescent="0.25">
      <c r="A810" s="10">
        <v>1</v>
      </c>
      <c r="B810" s="32">
        <v>45675</v>
      </c>
      <c r="C810" s="33">
        <v>6760</v>
      </c>
      <c r="D810" s="34">
        <f>852</f>
        <v>852</v>
      </c>
      <c r="E810" s="34"/>
      <c r="F810" s="34">
        <f t="shared" ref="F810:F815" si="278">SUM(D810:E810)</f>
        <v>852</v>
      </c>
      <c r="G810" s="12"/>
      <c r="H810" s="12"/>
      <c r="I810" s="12"/>
      <c r="J810" s="12">
        <f t="shared" ref="J810:J849" si="279">SUM(F810:I810)</f>
        <v>852</v>
      </c>
      <c r="L810" s="10">
        <v>1</v>
      </c>
      <c r="M810" s="32">
        <v>45675</v>
      </c>
      <c r="N810" s="33">
        <v>7623</v>
      </c>
      <c r="O810" s="34">
        <f>626+596+17</f>
        <v>1239</v>
      </c>
      <c r="P810" s="34"/>
      <c r="Q810" s="34">
        <f>SUM(O810:P810)</f>
        <v>1239</v>
      </c>
      <c r="R810" s="12"/>
      <c r="S810" s="12"/>
      <c r="T810" s="12"/>
      <c r="U810" s="12">
        <f>SUM(Q810:T810)</f>
        <v>1239</v>
      </c>
      <c r="W810" s="10">
        <v>1</v>
      </c>
      <c r="X810" s="32">
        <v>45675</v>
      </c>
      <c r="Y810" s="33">
        <f>6885</f>
        <v>6885</v>
      </c>
      <c r="Z810" s="34">
        <f>1878+614+205+500</f>
        <v>3197</v>
      </c>
      <c r="AA810" s="34"/>
      <c r="AB810" s="34">
        <f>SUM(Z810:AA810)</f>
        <v>3197</v>
      </c>
      <c r="AC810" s="12"/>
      <c r="AD810" s="12"/>
      <c r="AE810" s="12"/>
      <c r="AF810" s="12">
        <f>SUM(AB810:AE810)</f>
        <v>3197</v>
      </c>
    </row>
    <row r="811" spans="1:32" x14ac:dyDescent="0.25">
      <c r="A811" s="10">
        <v>2</v>
      </c>
      <c r="B811" s="32">
        <v>45675</v>
      </c>
      <c r="C811" s="33">
        <f>C810+1</f>
        <v>6761</v>
      </c>
      <c r="D811" s="34">
        <f>1192+17</f>
        <v>1209</v>
      </c>
      <c r="E811" s="34"/>
      <c r="F811" s="34">
        <f t="shared" si="278"/>
        <v>1209</v>
      </c>
      <c r="G811" s="12"/>
      <c r="H811" s="12"/>
      <c r="I811" s="12">
        <v>-538.5</v>
      </c>
      <c r="J811" s="12">
        <f t="shared" si="279"/>
        <v>670.5</v>
      </c>
      <c r="L811" s="10">
        <v>2</v>
      </c>
      <c r="M811" s="32">
        <v>45675</v>
      </c>
      <c r="N811" s="33">
        <f>N810+1</f>
        <v>7624</v>
      </c>
      <c r="O811" s="34">
        <f>2504+410</f>
        <v>2914</v>
      </c>
      <c r="P811" s="34"/>
      <c r="Q811" s="34">
        <f t="shared" ref="Q811:Q842" si="280">SUM(O811:P811)</f>
        <v>2914</v>
      </c>
      <c r="R811" s="12"/>
      <c r="S811" s="12"/>
      <c r="T811" s="12"/>
      <c r="U811" s="12">
        <f t="shared" ref="U811:U851" si="281">SUM(Q811:T811)</f>
        <v>2914</v>
      </c>
      <c r="W811" s="10">
        <v>2</v>
      </c>
      <c r="X811" s="32">
        <v>45675</v>
      </c>
      <c r="Y811" s="33">
        <f>Y810+1</f>
        <v>6886</v>
      </c>
      <c r="Z811" s="34">
        <f>626*8+596*2+85</f>
        <v>6285</v>
      </c>
      <c r="AA811" s="34"/>
      <c r="AB811" s="34">
        <f t="shared" ref="AB811:AB813" si="282">SUM(Z811:AA811)</f>
        <v>6285</v>
      </c>
      <c r="AC811" s="12"/>
      <c r="AD811" s="12"/>
      <c r="AE811" s="12">
        <v>-570</v>
      </c>
      <c r="AF811" s="12">
        <f t="shared" ref="AF811:AF851" si="283">SUM(AB811:AE811)</f>
        <v>5715</v>
      </c>
    </row>
    <row r="812" spans="1:32" x14ac:dyDescent="0.25">
      <c r="A812" s="10">
        <v>3</v>
      </c>
      <c r="B812" s="32">
        <v>45675</v>
      </c>
      <c r="C812" s="33">
        <f t="shared" ref="C812:C830" si="284">C811+1</f>
        <v>6762</v>
      </c>
      <c r="D812" s="35">
        <f>626*213+205*9</f>
        <v>135183</v>
      </c>
      <c r="E812" s="35">
        <v>-1917</v>
      </c>
      <c r="F812" s="35">
        <f t="shared" si="278"/>
        <v>133266</v>
      </c>
      <c r="G812" s="36"/>
      <c r="H812" s="36"/>
      <c r="I812" s="36">
        <f>-4626</f>
        <v>-4626</v>
      </c>
      <c r="J812" s="36">
        <f t="shared" si="279"/>
        <v>128640</v>
      </c>
      <c r="L812" s="10">
        <v>3</v>
      </c>
      <c r="M812" s="32">
        <v>45675</v>
      </c>
      <c r="N812" s="33">
        <f t="shared" ref="N812:N825" si="285">N811+1</f>
        <v>7625</v>
      </c>
      <c r="O812" s="34">
        <f>2504+34</f>
        <v>2538</v>
      </c>
      <c r="P812" s="34"/>
      <c r="Q812" s="34">
        <f t="shared" si="280"/>
        <v>2538</v>
      </c>
      <c r="R812" s="12"/>
      <c r="S812" s="12"/>
      <c r="T812" s="12"/>
      <c r="U812" s="12">
        <f t="shared" si="281"/>
        <v>2538</v>
      </c>
      <c r="W812" s="10">
        <v>3</v>
      </c>
      <c r="X812" s="32">
        <v>45675</v>
      </c>
      <c r="Y812" s="33">
        <f t="shared" ref="Y812:Y817" si="286">Y811+1</f>
        <v>6887</v>
      </c>
      <c r="Z812" s="34">
        <f>626*50+1582+1587+1102+1102+410+650</f>
        <v>37733</v>
      </c>
      <c r="AA812" s="34">
        <v>-456</v>
      </c>
      <c r="AB812" s="34">
        <f t="shared" si="282"/>
        <v>37277</v>
      </c>
      <c r="AC812" s="12"/>
      <c r="AD812" s="12"/>
      <c r="AE812" s="12">
        <v>-11100</v>
      </c>
      <c r="AF812" s="12">
        <f t="shared" si="283"/>
        <v>26177</v>
      </c>
    </row>
    <row r="813" spans="1:32" x14ac:dyDescent="0.25">
      <c r="A813" s="10">
        <v>4</v>
      </c>
      <c r="B813" s="32">
        <v>45675</v>
      </c>
      <c r="C813" s="33">
        <f t="shared" si="284"/>
        <v>6763</v>
      </c>
      <c r="D813" s="34">
        <f>1878+25.5</f>
        <v>1903.5</v>
      </c>
      <c r="E813" s="34"/>
      <c r="F813" s="34">
        <f t="shared" si="278"/>
        <v>1903.5</v>
      </c>
      <c r="G813" s="12"/>
      <c r="H813" s="12"/>
      <c r="I813" s="12"/>
      <c r="J813" s="12">
        <f t="shared" si="279"/>
        <v>1903.5</v>
      </c>
      <c r="L813" s="10">
        <v>4</v>
      </c>
      <c r="M813" s="32">
        <v>45675</v>
      </c>
      <c r="N813" s="33">
        <f t="shared" si="285"/>
        <v>7626</v>
      </c>
      <c r="O813" s="34">
        <f>1878+596+416+205</f>
        <v>3095</v>
      </c>
      <c r="P813" s="34"/>
      <c r="Q813" s="34">
        <f t="shared" si="280"/>
        <v>3095</v>
      </c>
      <c r="R813" s="12"/>
      <c r="S813" s="12"/>
      <c r="T813" s="12"/>
      <c r="U813" s="12">
        <f t="shared" si="281"/>
        <v>3095</v>
      </c>
      <c r="W813" s="10">
        <v>4</v>
      </c>
      <c r="X813" s="32">
        <v>45675</v>
      </c>
      <c r="Y813" s="33">
        <f t="shared" si="286"/>
        <v>6888</v>
      </c>
      <c r="Z813" s="34">
        <f>626*30+614*5+596*15+205*2</f>
        <v>31200</v>
      </c>
      <c r="AA813" s="34">
        <v>-400</v>
      </c>
      <c r="AB813" s="34">
        <f t="shared" si="282"/>
        <v>30800</v>
      </c>
      <c r="AC813" s="12"/>
      <c r="AE813" s="12"/>
      <c r="AF813" s="12">
        <f t="shared" si="283"/>
        <v>30800</v>
      </c>
    </row>
    <row r="814" spans="1:32" x14ac:dyDescent="0.25">
      <c r="A814" s="10">
        <v>5</v>
      </c>
      <c r="B814" s="32">
        <v>45675</v>
      </c>
      <c r="C814" s="33">
        <f t="shared" si="284"/>
        <v>6764</v>
      </c>
      <c r="D814" s="34">
        <f>3756+51</f>
        <v>3807</v>
      </c>
      <c r="E814" s="34"/>
      <c r="F814" s="34">
        <f t="shared" si="278"/>
        <v>3807</v>
      </c>
      <c r="G814" s="12"/>
      <c r="H814" s="12"/>
      <c r="I814" s="12"/>
      <c r="J814" s="12">
        <f t="shared" si="279"/>
        <v>3807</v>
      </c>
      <c r="L814" s="10">
        <v>5</v>
      </c>
      <c r="M814" s="32">
        <v>45675</v>
      </c>
      <c r="N814" s="33">
        <f t="shared" si="285"/>
        <v>7627</v>
      </c>
      <c r="O814" s="34">
        <f>626*165+614*5+596*30+820+674*10</f>
        <v>131800</v>
      </c>
      <c r="P814" s="34"/>
      <c r="Q814" s="34">
        <f t="shared" si="280"/>
        <v>131800</v>
      </c>
      <c r="R814" s="12"/>
      <c r="S814" s="12">
        <v>126</v>
      </c>
      <c r="T814" s="12"/>
      <c r="U814" s="12">
        <f t="shared" si="281"/>
        <v>131926</v>
      </c>
      <c r="W814" s="10">
        <v>5</v>
      </c>
      <c r="X814" s="32">
        <v>45675</v>
      </c>
      <c r="Y814" s="33">
        <f t="shared" si="286"/>
        <v>6889</v>
      </c>
      <c r="Z814" s="34">
        <f>626*25+205</f>
        <v>15855</v>
      </c>
      <c r="AA814" s="34">
        <v>-200</v>
      </c>
      <c r="AB814" s="34">
        <f t="shared" ref="AB814:AB819" si="287">SUM(Z814:AA814)</f>
        <v>15655</v>
      </c>
      <c r="AC814" s="12"/>
      <c r="AD814" s="12"/>
      <c r="AE814" s="12"/>
      <c r="AF814" s="12">
        <f t="shared" si="283"/>
        <v>15655</v>
      </c>
    </row>
    <row r="815" spans="1:32" x14ac:dyDescent="0.25">
      <c r="A815" s="10">
        <v>6</v>
      </c>
      <c r="B815" s="32">
        <v>45675</v>
      </c>
      <c r="C815" s="33">
        <f t="shared" si="284"/>
        <v>6765</v>
      </c>
      <c r="D815" s="70">
        <f>626*7+59.5</f>
        <v>4441.5</v>
      </c>
      <c r="E815" s="34"/>
      <c r="F815" s="34">
        <f t="shared" si="278"/>
        <v>4441.5</v>
      </c>
      <c r="G815" s="12"/>
      <c r="H815">
        <v>28.5</v>
      </c>
      <c r="I815" s="12"/>
      <c r="J815" s="12">
        <f t="shared" si="279"/>
        <v>4470</v>
      </c>
      <c r="L815" s="10">
        <v>6</v>
      </c>
      <c r="M815" s="32">
        <v>45675</v>
      </c>
      <c r="N815" s="33">
        <f t="shared" si="285"/>
        <v>7628</v>
      </c>
      <c r="O815" s="34">
        <f>626*22+596*2+205</f>
        <v>15169</v>
      </c>
      <c r="P815" s="34"/>
      <c r="Q815" s="34">
        <f t="shared" si="280"/>
        <v>15169</v>
      </c>
      <c r="R815" s="12"/>
      <c r="S815" s="12"/>
      <c r="T815" s="10">
        <v>-6</v>
      </c>
      <c r="U815" s="12">
        <f t="shared" si="281"/>
        <v>15163</v>
      </c>
      <c r="W815" s="10">
        <v>6</v>
      </c>
      <c r="X815" s="32">
        <v>45675</v>
      </c>
      <c r="Y815" s="33">
        <f t="shared" si="286"/>
        <v>6890</v>
      </c>
      <c r="Z815" s="34">
        <f>626*5+596*5+85</f>
        <v>6195</v>
      </c>
      <c r="AA815" s="34"/>
      <c r="AB815" s="34">
        <f t="shared" si="287"/>
        <v>6195</v>
      </c>
      <c r="AC815" s="12"/>
      <c r="AD815" s="12"/>
      <c r="AE815" s="10"/>
      <c r="AF815" s="12">
        <f t="shared" si="283"/>
        <v>6195</v>
      </c>
    </row>
    <row r="816" spans="1:32" x14ac:dyDescent="0.25">
      <c r="A816" s="10">
        <v>7</v>
      </c>
      <c r="B816" s="32">
        <v>45675</v>
      </c>
      <c r="C816" s="33">
        <f t="shared" si="284"/>
        <v>6766</v>
      </c>
      <c r="D816" s="34">
        <f>1878+26</f>
        <v>1904</v>
      </c>
      <c r="E816" s="34"/>
      <c r="F816" s="34">
        <f>SUM(D816:E816)</f>
        <v>1904</v>
      </c>
      <c r="G816" s="12"/>
      <c r="H816" s="12"/>
      <c r="I816" s="12"/>
      <c r="J816" s="12">
        <f t="shared" si="279"/>
        <v>1904</v>
      </c>
      <c r="L816" s="10">
        <v>7</v>
      </c>
      <c r="M816" s="32">
        <v>45675</v>
      </c>
      <c r="N816" s="33">
        <f t="shared" si="285"/>
        <v>7629</v>
      </c>
      <c r="O816" s="34">
        <f>3756+596+59.5</f>
        <v>4411.5</v>
      </c>
      <c r="P816" s="34"/>
      <c r="Q816" s="34">
        <f t="shared" si="280"/>
        <v>4411.5</v>
      </c>
      <c r="R816" s="12"/>
      <c r="S816" s="12"/>
      <c r="T816" s="12"/>
      <c r="U816" s="12">
        <f t="shared" si="281"/>
        <v>4411.5</v>
      </c>
      <c r="W816" s="10">
        <v>7</v>
      </c>
      <c r="X816" s="32">
        <v>45675</v>
      </c>
      <c r="Y816" s="33">
        <f t="shared" si="286"/>
        <v>6891</v>
      </c>
      <c r="Z816" s="34">
        <f>626*216+205*9</f>
        <v>137061</v>
      </c>
      <c r="AA816" s="34">
        <v>-1944</v>
      </c>
      <c r="AB816" s="34">
        <f t="shared" si="287"/>
        <v>135117</v>
      </c>
      <c r="AC816" s="12"/>
      <c r="AD816" s="66"/>
      <c r="AE816" s="12"/>
      <c r="AF816" s="12">
        <f t="shared" si="283"/>
        <v>135117</v>
      </c>
    </row>
    <row r="817" spans="1:32" x14ac:dyDescent="0.25">
      <c r="A817" s="10">
        <v>8</v>
      </c>
      <c r="B817" s="32">
        <v>45675</v>
      </c>
      <c r="C817" s="33">
        <f t="shared" si="284"/>
        <v>6767</v>
      </c>
      <c r="D817" s="34">
        <f>626+9</f>
        <v>635</v>
      </c>
      <c r="E817" s="34"/>
      <c r="F817" s="34">
        <f t="shared" ref="F817:F850" si="288">SUM(D817:E817)</f>
        <v>635</v>
      </c>
      <c r="G817" s="12"/>
      <c r="H817" s="12"/>
      <c r="I817" s="12"/>
      <c r="J817" s="12">
        <f t="shared" si="279"/>
        <v>635</v>
      </c>
      <c r="L817" s="10">
        <v>8</v>
      </c>
      <c r="M817" s="32">
        <v>45675</v>
      </c>
      <c r="N817" s="33">
        <f t="shared" si="285"/>
        <v>7630</v>
      </c>
      <c r="O817" s="34">
        <f>4382+59.5</f>
        <v>4441.5</v>
      </c>
      <c r="P817" s="34"/>
      <c r="Q817" s="34">
        <f t="shared" si="280"/>
        <v>4441.5</v>
      </c>
      <c r="R817" s="12"/>
      <c r="S817" s="12"/>
      <c r="T817" s="12"/>
      <c r="U817" s="12">
        <f t="shared" si="281"/>
        <v>4441.5</v>
      </c>
      <c r="W817" s="10">
        <v>8</v>
      </c>
      <c r="X817" s="32">
        <v>45675</v>
      </c>
      <c r="Y817" s="33">
        <f t="shared" si="286"/>
        <v>6892</v>
      </c>
      <c r="Z817" s="34">
        <f>205</f>
        <v>205</v>
      </c>
      <c r="AB817" s="34">
        <f t="shared" si="287"/>
        <v>205</v>
      </c>
      <c r="AC817" s="12"/>
      <c r="AD817" s="12"/>
      <c r="AE817" s="12"/>
      <c r="AF817" s="12">
        <f t="shared" si="283"/>
        <v>205</v>
      </c>
    </row>
    <row r="818" spans="1:32" x14ac:dyDescent="0.25">
      <c r="A818" s="10">
        <v>9</v>
      </c>
      <c r="B818" s="32">
        <v>45675</v>
      </c>
      <c r="C818" s="33">
        <f t="shared" si="284"/>
        <v>6768</v>
      </c>
      <c r="D818" s="34">
        <f>626*16+8.5</f>
        <v>10024.5</v>
      </c>
      <c r="E818" s="34"/>
      <c r="F818" s="34">
        <f t="shared" si="288"/>
        <v>10024.5</v>
      </c>
      <c r="G818" s="12"/>
      <c r="H818" s="12"/>
      <c r="I818" s="12"/>
      <c r="J818" s="12">
        <f t="shared" si="279"/>
        <v>10024.5</v>
      </c>
      <c r="L818" s="10">
        <v>9</v>
      </c>
      <c r="M818" s="32">
        <v>45675</v>
      </c>
      <c r="N818" s="33">
        <f t="shared" si="285"/>
        <v>7631</v>
      </c>
      <c r="O818" s="34">
        <f>626+8.5</f>
        <v>634.5</v>
      </c>
      <c r="P818" s="34"/>
      <c r="Q818" s="34">
        <f t="shared" si="280"/>
        <v>634.5</v>
      </c>
      <c r="R818" s="12"/>
      <c r="S818" s="12"/>
      <c r="T818" s="12"/>
      <c r="U818" s="12">
        <f t="shared" si="281"/>
        <v>634.5</v>
      </c>
      <c r="W818" s="10">
        <v>9</v>
      </c>
      <c r="X818" s="32"/>
      <c r="Y818" s="11" t="s">
        <v>28</v>
      </c>
      <c r="AA818" s="34"/>
      <c r="AB818" s="34">
        <f t="shared" si="287"/>
        <v>0</v>
      </c>
      <c r="AC818" s="12"/>
      <c r="AD818" s="66"/>
      <c r="AE818" s="12"/>
      <c r="AF818" s="12">
        <f t="shared" si="283"/>
        <v>0</v>
      </c>
    </row>
    <row r="819" spans="1:32" x14ac:dyDescent="0.25">
      <c r="A819" s="10">
        <v>10</v>
      </c>
      <c r="B819" s="32">
        <v>45675</v>
      </c>
      <c r="C819" s="33">
        <f t="shared" si="284"/>
        <v>6769</v>
      </c>
      <c r="D819" s="34">
        <f>626*16+136</f>
        <v>10152</v>
      </c>
      <c r="E819" s="34"/>
      <c r="F819" s="34">
        <f t="shared" si="288"/>
        <v>10152</v>
      </c>
      <c r="G819" s="12"/>
      <c r="H819" s="12"/>
      <c r="I819" s="12"/>
      <c r="J819" s="12">
        <f t="shared" si="279"/>
        <v>10152</v>
      </c>
      <c r="L819" s="10">
        <v>10</v>
      </c>
      <c r="M819" s="32">
        <v>45675</v>
      </c>
      <c r="N819" s="33">
        <f t="shared" si="285"/>
        <v>7632</v>
      </c>
      <c r="O819" s="34">
        <f>1252+614+17</f>
        <v>1883</v>
      </c>
      <c r="P819" s="34"/>
      <c r="Q819" s="34">
        <f t="shared" si="280"/>
        <v>1883</v>
      </c>
      <c r="R819" s="12"/>
      <c r="S819" s="12"/>
      <c r="T819" s="12"/>
      <c r="U819" s="12">
        <f t="shared" si="281"/>
        <v>1883</v>
      </c>
      <c r="W819" s="10">
        <v>10</v>
      </c>
      <c r="X819" s="32"/>
      <c r="Y819" s="33"/>
      <c r="Z819" s="34"/>
      <c r="AA819" s="34"/>
      <c r="AB819" s="34">
        <f t="shared" si="287"/>
        <v>0</v>
      </c>
      <c r="AC819" s="12"/>
      <c r="AD819" s="12"/>
      <c r="AE819" s="12"/>
      <c r="AF819" s="12">
        <f t="shared" si="283"/>
        <v>0</v>
      </c>
    </row>
    <row r="820" spans="1:32" x14ac:dyDescent="0.25">
      <c r="A820" s="10">
        <v>11</v>
      </c>
      <c r="B820" s="32">
        <v>45675</v>
      </c>
      <c r="C820" s="33">
        <f t="shared" si="284"/>
        <v>6770</v>
      </c>
      <c r="D820" s="34">
        <f>626*13+110.5</f>
        <v>8248.5</v>
      </c>
      <c r="E820" s="34"/>
      <c r="F820" s="34">
        <f t="shared" si="288"/>
        <v>8248.5</v>
      </c>
      <c r="G820" s="12"/>
      <c r="H820" s="12"/>
      <c r="I820" s="12"/>
      <c r="J820" s="12">
        <f t="shared" si="279"/>
        <v>8248.5</v>
      </c>
      <c r="L820" s="10">
        <v>11</v>
      </c>
      <c r="M820" s="32">
        <v>45675</v>
      </c>
      <c r="N820" s="33">
        <f t="shared" si="285"/>
        <v>7633</v>
      </c>
      <c r="O820" s="34">
        <f>852+2010+1664+410</f>
        <v>4936</v>
      </c>
      <c r="P820" s="34"/>
      <c r="Q820" s="34">
        <f t="shared" si="280"/>
        <v>4936</v>
      </c>
      <c r="R820" s="12"/>
      <c r="S820" s="12"/>
      <c r="T820" s="12"/>
      <c r="U820" s="12">
        <f t="shared" si="281"/>
        <v>4936</v>
      </c>
      <c r="W820" s="10">
        <v>11</v>
      </c>
      <c r="X820" s="32"/>
      <c r="Y820" s="33"/>
      <c r="Z820" s="34"/>
      <c r="AA820" s="34"/>
      <c r="AB820" s="34">
        <f t="shared" ref="AB820:AB842" si="289">SUM(Z820:AA820)</f>
        <v>0</v>
      </c>
      <c r="AC820" s="12"/>
      <c r="AD820" s="12"/>
      <c r="AE820" s="12"/>
      <c r="AF820" s="12">
        <f t="shared" si="283"/>
        <v>0</v>
      </c>
    </row>
    <row r="821" spans="1:32" x14ac:dyDescent="0.25">
      <c r="A821" s="10">
        <v>12</v>
      </c>
      <c r="B821" s="32">
        <v>45675</v>
      </c>
      <c r="C821" s="33">
        <f t="shared" si="284"/>
        <v>6771</v>
      </c>
      <c r="D821" s="34">
        <f>626+8.5</f>
        <v>634.5</v>
      </c>
      <c r="E821" s="34"/>
      <c r="F821" s="34">
        <f t="shared" si="288"/>
        <v>634.5</v>
      </c>
      <c r="G821" s="12"/>
      <c r="H821" s="12"/>
      <c r="I821" s="10"/>
      <c r="J821" s="12">
        <f t="shared" si="279"/>
        <v>634.5</v>
      </c>
      <c r="L821" s="10">
        <v>12</v>
      </c>
      <c r="M821" s="32">
        <v>45675</v>
      </c>
      <c r="N821" s="33">
        <f t="shared" si="285"/>
        <v>7634</v>
      </c>
      <c r="O821" s="34">
        <f>1878+25.5</f>
        <v>1903.5</v>
      </c>
      <c r="P821" s="34"/>
      <c r="Q821" s="34">
        <f t="shared" si="280"/>
        <v>1903.5</v>
      </c>
      <c r="R821" s="12"/>
      <c r="S821" s="12"/>
      <c r="T821" s="12"/>
      <c r="U821" s="12">
        <f t="shared" si="281"/>
        <v>1903.5</v>
      </c>
      <c r="W821" s="10">
        <v>12</v>
      </c>
      <c r="X821" s="32"/>
      <c r="Y821" s="33"/>
      <c r="Z821" s="34"/>
      <c r="AA821" s="34"/>
      <c r="AB821" s="34">
        <f t="shared" si="289"/>
        <v>0</v>
      </c>
      <c r="AC821" s="12"/>
      <c r="AD821" s="12"/>
      <c r="AE821" s="12"/>
      <c r="AF821" s="12">
        <f t="shared" si="283"/>
        <v>0</v>
      </c>
    </row>
    <row r="822" spans="1:32" x14ac:dyDescent="0.25">
      <c r="A822" s="10">
        <v>13</v>
      </c>
      <c r="B822" s="32">
        <v>45675</v>
      </c>
      <c r="C822" s="33">
        <f t="shared" si="284"/>
        <v>6772</v>
      </c>
      <c r="D822" s="34">
        <f>626*5+42.5</f>
        <v>3172.5</v>
      </c>
      <c r="E822" s="34"/>
      <c r="F822" s="34">
        <f t="shared" si="288"/>
        <v>3172.5</v>
      </c>
      <c r="G822" s="12"/>
      <c r="H822" s="12"/>
      <c r="I822" s="12">
        <v>-777</v>
      </c>
      <c r="J822" s="12">
        <f t="shared" si="279"/>
        <v>2395.5</v>
      </c>
      <c r="L822" s="10">
        <v>13</v>
      </c>
      <c r="M822" s="32">
        <v>45675</v>
      </c>
      <c r="N822" s="33">
        <f t="shared" si="285"/>
        <v>7635</v>
      </c>
      <c r="O822" s="34">
        <f>1878+25.5</f>
        <v>1903.5</v>
      </c>
      <c r="P822" s="34"/>
      <c r="Q822" s="34">
        <f t="shared" si="280"/>
        <v>1903.5</v>
      </c>
      <c r="R822" s="12"/>
      <c r="S822" s="12"/>
      <c r="T822" s="12"/>
      <c r="U822" s="12">
        <f t="shared" si="281"/>
        <v>1903.5</v>
      </c>
      <c r="W822" s="10">
        <v>13</v>
      </c>
      <c r="X822" s="32"/>
      <c r="Y822" s="33"/>
      <c r="Z822" s="34"/>
      <c r="AA822" s="34"/>
      <c r="AB822" s="34">
        <f t="shared" si="289"/>
        <v>0</v>
      </c>
      <c r="AC822" s="12"/>
      <c r="AD822" s="12"/>
      <c r="AE822" s="12"/>
      <c r="AF822" s="12">
        <f t="shared" si="283"/>
        <v>0</v>
      </c>
    </row>
    <row r="823" spans="1:32" x14ac:dyDescent="0.25">
      <c r="A823" s="10">
        <v>14</v>
      </c>
      <c r="B823" s="32">
        <v>45675</v>
      </c>
      <c r="C823" s="33">
        <f t="shared" si="284"/>
        <v>6773</v>
      </c>
      <c r="D823" s="34">
        <f>626*4+614+416+34</f>
        <v>3568</v>
      </c>
      <c r="E823" s="34"/>
      <c r="F823" s="34">
        <f t="shared" si="288"/>
        <v>3568</v>
      </c>
      <c r="G823" s="12"/>
      <c r="H823" s="12"/>
      <c r="I823" s="12"/>
      <c r="J823" s="12">
        <f t="shared" si="279"/>
        <v>3568</v>
      </c>
      <c r="L823" s="10">
        <v>14</v>
      </c>
      <c r="M823" s="32">
        <v>45675</v>
      </c>
      <c r="N823" s="33">
        <f t="shared" si="285"/>
        <v>7636</v>
      </c>
      <c r="O823" s="34">
        <f>1878+25.5</f>
        <v>1903.5</v>
      </c>
      <c r="P823" s="34"/>
      <c r="Q823" s="34">
        <f t="shared" si="280"/>
        <v>1903.5</v>
      </c>
      <c r="R823" s="12"/>
      <c r="S823" s="12"/>
      <c r="T823" s="12"/>
      <c r="U823" s="12">
        <f t="shared" si="281"/>
        <v>1903.5</v>
      </c>
      <c r="W823" s="10">
        <v>14</v>
      </c>
      <c r="X823" s="32"/>
      <c r="Y823" s="33"/>
      <c r="AA823" s="34"/>
      <c r="AB823" s="34">
        <f t="shared" si="289"/>
        <v>0</v>
      </c>
      <c r="AC823" s="12"/>
      <c r="AD823" s="12"/>
      <c r="AE823" s="12"/>
      <c r="AF823" s="12">
        <f t="shared" si="283"/>
        <v>0</v>
      </c>
    </row>
    <row r="824" spans="1:32" x14ac:dyDescent="0.25">
      <c r="A824" s="10">
        <v>15</v>
      </c>
      <c r="B824" s="32">
        <v>45675</v>
      </c>
      <c r="C824" s="33">
        <f t="shared" si="284"/>
        <v>6774</v>
      </c>
      <c r="D824" s="34">
        <f>626*11+614+596+102</f>
        <v>8198</v>
      </c>
      <c r="E824" s="34"/>
      <c r="F824" s="34">
        <f t="shared" si="288"/>
        <v>8198</v>
      </c>
      <c r="G824" s="12"/>
      <c r="H824" s="12">
        <v>14</v>
      </c>
      <c r="I824" s="12"/>
      <c r="J824" s="12">
        <f t="shared" si="279"/>
        <v>8212</v>
      </c>
      <c r="L824" s="10">
        <v>15</v>
      </c>
      <c r="M824" s="32">
        <v>45675</v>
      </c>
      <c r="N824" s="33">
        <f t="shared" si="285"/>
        <v>7637</v>
      </c>
      <c r="O824" s="34">
        <f>1878+1228+596+34</f>
        <v>3736</v>
      </c>
      <c r="P824" s="34"/>
      <c r="Q824" s="34">
        <f t="shared" si="280"/>
        <v>3736</v>
      </c>
      <c r="R824" s="12"/>
      <c r="S824" s="12"/>
      <c r="T824" s="12"/>
      <c r="U824" s="12">
        <f t="shared" si="281"/>
        <v>3736</v>
      </c>
      <c r="W824" s="10">
        <v>15</v>
      </c>
      <c r="X824" s="32"/>
      <c r="Y824" s="33"/>
      <c r="Z824" s="34"/>
      <c r="AA824" s="34"/>
      <c r="AB824" s="34">
        <f t="shared" si="289"/>
        <v>0</v>
      </c>
      <c r="AC824" s="12"/>
      <c r="AD824" s="12"/>
      <c r="AE824" s="12"/>
      <c r="AF824" s="12">
        <f t="shared" si="283"/>
        <v>0</v>
      </c>
    </row>
    <row r="825" spans="1:32" x14ac:dyDescent="0.25">
      <c r="A825" s="10">
        <v>16</v>
      </c>
      <c r="B825" s="32">
        <v>45675</v>
      </c>
      <c r="C825" s="33">
        <f t="shared" si="284"/>
        <v>6775</v>
      </c>
      <c r="D825" s="34">
        <f>626*40+614*5+205+136</f>
        <v>28451</v>
      </c>
      <c r="E825" s="34"/>
      <c r="F825" s="34">
        <f t="shared" si="288"/>
        <v>28451</v>
      </c>
      <c r="G825" s="12"/>
      <c r="H825" s="12">
        <v>33</v>
      </c>
      <c r="I825" s="12"/>
      <c r="J825" s="12">
        <f t="shared" si="279"/>
        <v>28484</v>
      </c>
      <c r="L825" s="10">
        <v>16</v>
      </c>
      <c r="M825" s="32">
        <v>45675</v>
      </c>
      <c r="N825" s="33">
        <f t="shared" si="285"/>
        <v>7638</v>
      </c>
      <c r="O825" s="34">
        <f>614</f>
        <v>614</v>
      </c>
      <c r="P825" s="34"/>
      <c r="Q825" s="34">
        <f t="shared" si="280"/>
        <v>614</v>
      </c>
      <c r="R825" s="12"/>
      <c r="S825" s="12"/>
      <c r="T825" s="12">
        <v>-390</v>
      </c>
      <c r="U825" s="12">
        <f t="shared" si="281"/>
        <v>224</v>
      </c>
      <c r="W825" s="10">
        <v>16</v>
      </c>
      <c r="X825" s="32"/>
      <c r="Y825" s="33"/>
      <c r="Z825" s="34"/>
      <c r="AA825" s="34"/>
      <c r="AB825" s="34">
        <f t="shared" si="289"/>
        <v>0</v>
      </c>
      <c r="AC825" s="12"/>
      <c r="AD825" s="12"/>
      <c r="AE825" s="12"/>
      <c r="AF825" s="12">
        <f t="shared" si="283"/>
        <v>0</v>
      </c>
    </row>
    <row r="826" spans="1:32" x14ac:dyDescent="0.25">
      <c r="A826" s="10">
        <v>17</v>
      </c>
      <c r="B826" s="32">
        <v>45675</v>
      </c>
      <c r="C826" s="33">
        <f t="shared" si="284"/>
        <v>6776</v>
      </c>
      <c r="D826" s="34">
        <f>626*55+614*2+205*2+650*2</f>
        <v>37368</v>
      </c>
      <c r="E826" s="34"/>
      <c r="F826" s="34">
        <f t="shared" si="288"/>
        <v>37368</v>
      </c>
      <c r="G826" s="12"/>
      <c r="H826" s="12">
        <v>156</v>
      </c>
      <c r="I826" s="12">
        <f>-333+-21</f>
        <v>-354</v>
      </c>
      <c r="J826" s="12">
        <f t="shared" si="279"/>
        <v>37170</v>
      </c>
      <c r="L826" s="10">
        <v>17</v>
      </c>
      <c r="M826" s="32"/>
      <c r="N826" s="11" t="s">
        <v>28</v>
      </c>
      <c r="O826" s="37"/>
      <c r="P826" s="34"/>
      <c r="Q826" s="34">
        <f t="shared" si="280"/>
        <v>0</v>
      </c>
      <c r="R826" s="12"/>
      <c r="S826" s="12"/>
      <c r="T826" s="12"/>
      <c r="U826" s="12">
        <f t="shared" si="281"/>
        <v>0</v>
      </c>
      <c r="W826" s="10">
        <v>17</v>
      </c>
      <c r="X826" s="32"/>
      <c r="Y826" s="33"/>
      <c r="Z826" s="37"/>
      <c r="AA826" s="34"/>
      <c r="AB826" s="34">
        <f t="shared" si="289"/>
        <v>0</v>
      </c>
      <c r="AC826" s="12"/>
      <c r="AD826" s="12"/>
      <c r="AE826" s="12"/>
      <c r="AF826" s="12">
        <f t="shared" si="283"/>
        <v>0</v>
      </c>
    </row>
    <row r="827" spans="1:32" x14ac:dyDescent="0.25">
      <c r="A827" s="10">
        <v>18</v>
      </c>
      <c r="B827" s="32">
        <v>45675</v>
      </c>
      <c r="C827" s="33">
        <f t="shared" si="284"/>
        <v>6777</v>
      </c>
      <c r="D827" s="34">
        <f>626*4+34</f>
        <v>2538</v>
      </c>
      <c r="E827" s="34"/>
      <c r="F827" s="34">
        <f t="shared" si="288"/>
        <v>2538</v>
      </c>
      <c r="G827" s="12"/>
      <c r="H827" s="12"/>
      <c r="I827" s="12"/>
      <c r="J827" s="12">
        <f t="shared" si="279"/>
        <v>2538</v>
      </c>
      <c r="L827" s="10">
        <v>18</v>
      </c>
      <c r="M827" s="32"/>
      <c r="N827" s="33"/>
      <c r="O827" s="34"/>
      <c r="P827" s="34"/>
      <c r="Q827" s="34">
        <f t="shared" si="280"/>
        <v>0</v>
      </c>
      <c r="R827" s="12"/>
      <c r="S827" s="12"/>
      <c r="T827" s="12"/>
      <c r="U827" s="12">
        <f t="shared" si="281"/>
        <v>0</v>
      </c>
      <c r="W827" s="10">
        <v>18</v>
      </c>
      <c r="X827" s="32"/>
      <c r="Y827" s="33"/>
      <c r="Z827" s="34"/>
      <c r="AA827" s="34"/>
      <c r="AB827" s="34">
        <f t="shared" si="289"/>
        <v>0</v>
      </c>
      <c r="AC827" s="12"/>
      <c r="AD827" s="12"/>
      <c r="AE827" s="12"/>
      <c r="AF827" s="12">
        <f t="shared" si="283"/>
        <v>0</v>
      </c>
    </row>
    <row r="828" spans="1:32" x14ac:dyDescent="0.25">
      <c r="A828" s="10">
        <v>19</v>
      </c>
      <c r="B828" s="32">
        <v>45675</v>
      </c>
      <c r="C828" s="33">
        <f t="shared" si="284"/>
        <v>6778</v>
      </c>
      <c r="D828" s="34">
        <f>626*20+596*2+187</f>
        <v>13899</v>
      </c>
      <c r="E828" s="34"/>
      <c r="F828" s="34">
        <f t="shared" si="288"/>
        <v>13899</v>
      </c>
      <c r="G828" s="12"/>
      <c r="H828" s="12">
        <v>90</v>
      </c>
      <c r="I828" s="12"/>
      <c r="J828" s="12">
        <f t="shared" si="279"/>
        <v>13989</v>
      </c>
      <c r="L828" s="10">
        <v>19</v>
      </c>
      <c r="M828" s="32"/>
      <c r="N828" s="33"/>
      <c r="O828" s="34"/>
      <c r="P828" s="34"/>
      <c r="Q828" s="34">
        <f t="shared" si="280"/>
        <v>0</v>
      </c>
      <c r="R828" s="12"/>
      <c r="S828" s="12"/>
      <c r="T828" s="12"/>
      <c r="U828" s="12">
        <f t="shared" si="281"/>
        <v>0</v>
      </c>
      <c r="W828" s="10">
        <v>19</v>
      </c>
      <c r="X828" s="32"/>
      <c r="Y828" s="33"/>
      <c r="Z828" s="34"/>
      <c r="AA828" s="34"/>
      <c r="AB828" s="34">
        <f t="shared" si="289"/>
        <v>0</v>
      </c>
      <c r="AC828" s="12"/>
      <c r="AD828" s="12"/>
      <c r="AE828" s="12"/>
      <c r="AF828" s="12">
        <f t="shared" si="283"/>
        <v>0</v>
      </c>
    </row>
    <row r="829" spans="1:32" x14ac:dyDescent="0.25">
      <c r="A829" s="10">
        <v>20</v>
      </c>
      <c r="B829" s="32">
        <v>45675</v>
      </c>
      <c r="C829" s="33">
        <f t="shared" si="284"/>
        <v>6779</v>
      </c>
      <c r="D829" s="34">
        <f>626*3+25.5</f>
        <v>1903.5</v>
      </c>
      <c r="E829" s="34"/>
      <c r="F829" s="34">
        <f t="shared" si="288"/>
        <v>1903.5</v>
      </c>
      <c r="G829" s="12"/>
      <c r="H829" s="12">
        <v>4</v>
      </c>
      <c r="I829" s="12"/>
      <c r="J829" s="12">
        <f t="shared" si="279"/>
        <v>1907.5</v>
      </c>
      <c r="L829" s="10">
        <v>20</v>
      </c>
      <c r="M829" s="32"/>
      <c r="N829" s="33"/>
      <c r="O829" s="34"/>
      <c r="P829" s="34"/>
      <c r="Q829" s="34">
        <f t="shared" si="280"/>
        <v>0</v>
      </c>
      <c r="R829" s="12"/>
      <c r="S829" s="12"/>
      <c r="T829" s="12"/>
      <c r="U829" s="12">
        <f t="shared" si="281"/>
        <v>0</v>
      </c>
      <c r="W829" s="10">
        <v>20</v>
      </c>
      <c r="X829" s="32"/>
      <c r="Y829" s="33"/>
      <c r="Z829" s="34"/>
      <c r="AA829" s="34"/>
      <c r="AB829" s="34">
        <f t="shared" si="289"/>
        <v>0</v>
      </c>
      <c r="AC829" s="12"/>
      <c r="AD829" s="12"/>
      <c r="AE829" s="12"/>
      <c r="AF829" s="12">
        <f t="shared" si="283"/>
        <v>0</v>
      </c>
    </row>
    <row r="830" spans="1:32" x14ac:dyDescent="0.25">
      <c r="A830" s="10">
        <v>21</v>
      </c>
      <c r="B830" s="32">
        <v>45675</v>
      </c>
      <c r="C830" s="33">
        <f t="shared" si="284"/>
        <v>6780</v>
      </c>
      <c r="D830" s="34">
        <f>1878+25.5</f>
        <v>1903.5</v>
      </c>
      <c r="E830" s="34"/>
      <c r="F830" s="34">
        <f t="shared" si="288"/>
        <v>1903.5</v>
      </c>
      <c r="G830" s="10"/>
      <c r="H830" s="10">
        <v>-1.5</v>
      </c>
      <c r="I830" s="10"/>
      <c r="J830" s="12">
        <f t="shared" si="279"/>
        <v>1902</v>
      </c>
      <c r="L830" s="10">
        <v>21</v>
      </c>
      <c r="M830" s="32"/>
      <c r="N830" s="33"/>
      <c r="O830" s="50"/>
      <c r="P830" s="33"/>
      <c r="Q830" s="34">
        <f t="shared" si="280"/>
        <v>0</v>
      </c>
      <c r="R830" s="10"/>
      <c r="S830" s="10"/>
      <c r="T830" s="10"/>
      <c r="U830" s="12">
        <f t="shared" si="281"/>
        <v>0</v>
      </c>
      <c r="W830" s="10">
        <v>21</v>
      </c>
      <c r="X830" s="32"/>
      <c r="Y830" s="33"/>
      <c r="Z830" s="50"/>
      <c r="AA830" s="33"/>
      <c r="AB830" s="34">
        <f t="shared" si="289"/>
        <v>0</v>
      </c>
      <c r="AC830" s="10"/>
      <c r="AD830" s="10"/>
      <c r="AE830" s="10"/>
      <c r="AF830" s="12">
        <f t="shared" si="283"/>
        <v>0</v>
      </c>
    </row>
    <row r="831" spans="1:32" x14ac:dyDescent="0.25">
      <c r="A831" s="10">
        <v>22</v>
      </c>
      <c r="B831" s="32"/>
      <c r="C831" s="11" t="s">
        <v>28</v>
      </c>
      <c r="D831" s="34"/>
      <c r="E831" s="34"/>
      <c r="F831" s="34">
        <f t="shared" si="288"/>
        <v>0</v>
      </c>
      <c r="G831" s="10"/>
      <c r="H831" s="10"/>
      <c r="I831" s="10"/>
      <c r="J831" s="12">
        <f t="shared" si="279"/>
        <v>0</v>
      </c>
      <c r="L831" s="10">
        <v>22</v>
      </c>
      <c r="M831" s="32"/>
      <c r="N831" s="33"/>
      <c r="O831" s="49"/>
      <c r="P831" s="33"/>
      <c r="Q831" s="34">
        <f t="shared" si="280"/>
        <v>0</v>
      </c>
      <c r="R831" s="10"/>
      <c r="S831" s="10"/>
      <c r="T831" s="10"/>
      <c r="U831" s="12">
        <f t="shared" si="281"/>
        <v>0</v>
      </c>
      <c r="W831" s="10">
        <v>22</v>
      </c>
      <c r="X831" s="32"/>
      <c r="Z831" s="49"/>
      <c r="AA831" s="33"/>
      <c r="AB831" s="34">
        <f t="shared" si="289"/>
        <v>0</v>
      </c>
      <c r="AC831" s="10"/>
      <c r="AD831" s="10"/>
      <c r="AE831" s="10"/>
      <c r="AF831" s="12">
        <f t="shared" si="283"/>
        <v>0</v>
      </c>
    </row>
    <row r="832" spans="1:32" x14ac:dyDescent="0.25">
      <c r="A832" s="10">
        <v>23</v>
      </c>
      <c r="B832" s="32"/>
      <c r="C832" s="33"/>
      <c r="D832" s="34"/>
      <c r="E832" s="34"/>
      <c r="F832" s="34">
        <f t="shared" si="288"/>
        <v>0</v>
      </c>
      <c r="G832" s="10"/>
      <c r="H832" s="10"/>
      <c r="I832" s="12"/>
      <c r="J832" s="12">
        <f t="shared" si="279"/>
        <v>0</v>
      </c>
      <c r="L832" s="10">
        <v>23</v>
      </c>
      <c r="M832" s="32"/>
      <c r="N832" s="33"/>
      <c r="O832" s="51"/>
      <c r="Q832" s="34">
        <f t="shared" si="280"/>
        <v>0</v>
      </c>
      <c r="R832" s="10"/>
      <c r="S832" s="10"/>
      <c r="T832" s="10"/>
      <c r="U832" s="12">
        <f t="shared" si="281"/>
        <v>0</v>
      </c>
      <c r="W832" s="10">
        <v>23</v>
      </c>
      <c r="X832" s="32"/>
      <c r="Y832" s="33"/>
      <c r="Z832" s="51"/>
      <c r="AB832" s="34">
        <f t="shared" si="289"/>
        <v>0</v>
      </c>
      <c r="AC832" s="10"/>
      <c r="AD832" s="10"/>
      <c r="AE832" s="10"/>
      <c r="AF832" s="12">
        <f t="shared" si="283"/>
        <v>0</v>
      </c>
    </row>
    <row r="833" spans="1:32" x14ac:dyDescent="0.25">
      <c r="A833" s="10">
        <v>24</v>
      </c>
      <c r="B833" s="32"/>
      <c r="D833" s="34"/>
      <c r="E833" s="34"/>
      <c r="F833" s="34">
        <f t="shared" si="288"/>
        <v>0</v>
      </c>
      <c r="G833" s="10"/>
      <c r="H833" s="10"/>
      <c r="I833" s="10"/>
      <c r="J833" s="12">
        <f t="shared" si="279"/>
        <v>0</v>
      </c>
      <c r="L833" s="10">
        <v>24</v>
      </c>
      <c r="M833" s="32"/>
      <c r="N833" s="33"/>
      <c r="O833" s="51"/>
      <c r="P833" s="33"/>
      <c r="Q833" s="34">
        <f t="shared" si="280"/>
        <v>0</v>
      </c>
      <c r="R833" s="10"/>
      <c r="S833" s="10"/>
      <c r="T833" s="10"/>
      <c r="U833" s="12">
        <f t="shared" si="281"/>
        <v>0</v>
      </c>
      <c r="W833" s="10">
        <v>24</v>
      </c>
      <c r="X833" s="32"/>
      <c r="Y833" s="33"/>
      <c r="Z833" s="51"/>
      <c r="AA833" s="33"/>
      <c r="AB833" s="34">
        <f t="shared" si="289"/>
        <v>0</v>
      </c>
      <c r="AC833" s="10"/>
      <c r="AD833" s="10"/>
      <c r="AE833" s="10"/>
      <c r="AF833" s="12">
        <f t="shared" si="283"/>
        <v>0</v>
      </c>
    </row>
    <row r="834" spans="1:32" x14ac:dyDescent="0.25">
      <c r="A834" s="10">
        <v>25</v>
      </c>
      <c r="B834" s="32"/>
      <c r="C834" s="33"/>
      <c r="D834" s="34"/>
      <c r="E834" s="34"/>
      <c r="F834" s="34">
        <f t="shared" si="288"/>
        <v>0</v>
      </c>
      <c r="G834" s="10"/>
      <c r="H834" s="10"/>
      <c r="I834" s="10"/>
      <c r="J834" s="12">
        <f t="shared" si="279"/>
        <v>0</v>
      </c>
      <c r="L834" s="10">
        <v>25</v>
      </c>
      <c r="M834" s="32"/>
      <c r="N834" s="33"/>
      <c r="O834" s="51"/>
      <c r="P834" s="33"/>
      <c r="Q834" s="34">
        <f t="shared" si="280"/>
        <v>0</v>
      </c>
      <c r="R834" s="10"/>
      <c r="S834" s="10"/>
      <c r="T834" s="10"/>
      <c r="U834" s="12">
        <f t="shared" si="281"/>
        <v>0</v>
      </c>
      <c r="W834" s="10">
        <v>25</v>
      </c>
      <c r="X834" s="32"/>
      <c r="Y834" s="33"/>
      <c r="Z834" s="51"/>
      <c r="AA834" s="33"/>
      <c r="AB834" s="34">
        <f t="shared" si="289"/>
        <v>0</v>
      </c>
      <c r="AC834" s="10"/>
      <c r="AD834" s="10"/>
      <c r="AE834" s="10"/>
      <c r="AF834" s="12">
        <f t="shared" si="283"/>
        <v>0</v>
      </c>
    </row>
    <row r="835" spans="1:32" x14ac:dyDescent="0.25">
      <c r="A835" s="10">
        <v>26</v>
      </c>
      <c r="B835" s="32"/>
      <c r="C835" s="33"/>
      <c r="D835" s="34"/>
      <c r="E835" s="34"/>
      <c r="F835" s="34">
        <f t="shared" si="288"/>
        <v>0</v>
      </c>
      <c r="G835" s="10"/>
      <c r="H835" s="10"/>
      <c r="I835" s="10"/>
      <c r="J835" s="12">
        <f t="shared" si="279"/>
        <v>0</v>
      </c>
      <c r="L835" s="10">
        <v>26</v>
      </c>
      <c r="M835" s="32"/>
      <c r="N835" s="33"/>
      <c r="O835" s="51"/>
      <c r="P835" s="33"/>
      <c r="Q835" s="34">
        <f t="shared" si="280"/>
        <v>0</v>
      </c>
      <c r="R835" s="10"/>
      <c r="S835" s="10"/>
      <c r="T835" s="10"/>
      <c r="U835" s="12">
        <f t="shared" si="281"/>
        <v>0</v>
      </c>
      <c r="W835" s="10">
        <v>26</v>
      </c>
      <c r="X835" s="32"/>
      <c r="Y835" s="33"/>
      <c r="Z835" s="51"/>
      <c r="AA835" s="33"/>
      <c r="AB835" s="34">
        <f t="shared" si="289"/>
        <v>0</v>
      </c>
      <c r="AC835" s="10"/>
      <c r="AD835" s="10"/>
      <c r="AE835" s="10"/>
      <c r="AF835" s="12">
        <f t="shared" si="283"/>
        <v>0</v>
      </c>
    </row>
    <row r="836" spans="1:32" x14ac:dyDescent="0.25">
      <c r="A836" s="10">
        <v>27</v>
      </c>
      <c r="B836" s="32"/>
      <c r="C836" s="33"/>
      <c r="D836" s="34"/>
      <c r="E836" s="34"/>
      <c r="F836" s="34">
        <f t="shared" si="288"/>
        <v>0</v>
      </c>
      <c r="G836" s="10"/>
      <c r="H836" s="10"/>
      <c r="I836" s="10"/>
      <c r="J836" s="12">
        <f t="shared" si="279"/>
        <v>0</v>
      </c>
      <c r="L836" s="10">
        <v>27</v>
      </c>
      <c r="M836" s="32"/>
      <c r="N836" s="33"/>
      <c r="O836" s="51"/>
      <c r="P836" s="33"/>
      <c r="Q836" s="34">
        <f t="shared" si="280"/>
        <v>0</v>
      </c>
      <c r="R836" s="10"/>
      <c r="S836" s="10"/>
      <c r="T836" s="10"/>
      <c r="U836" s="12">
        <f t="shared" si="281"/>
        <v>0</v>
      </c>
      <c r="W836" s="10">
        <v>27</v>
      </c>
      <c r="X836" s="32"/>
      <c r="Y836" s="33"/>
      <c r="Z836" s="51"/>
      <c r="AA836" s="33"/>
      <c r="AB836" s="34">
        <f t="shared" si="289"/>
        <v>0</v>
      </c>
      <c r="AC836" s="10"/>
      <c r="AD836" s="10"/>
      <c r="AE836" s="10"/>
      <c r="AF836" s="12">
        <f t="shared" si="283"/>
        <v>0</v>
      </c>
    </row>
    <row r="837" spans="1:32" x14ac:dyDescent="0.25">
      <c r="A837" s="10">
        <v>28</v>
      </c>
      <c r="B837" s="32"/>
      <c r="C837" s="70"/>
      <c r="D837" s="34"/>
      <c r="E837" s="34"/>
      <c r="F837" s="34">
        <f t="shared" si="288"/>
        <v>0</v>
      </c>
      <c r="G837" s="10"/>
      <c r="H837" s="10"/>
      <c r="I837" s="10"/>
      <c r="J837" s="12">
        <f t="shared" si="279"/>
        <v>0</v>
      </c>
      <c r="L837" s="10">
        <v>28</v>
      </c>
      <c r="M837" s="32"/>
      <c r="N837" s="33"/>
      <c r="O837" s="51"/>
      <c r="P837" s="33"/>
      <c r="Q837" s="34">
        <f t="shared" si="280"/>
        <v>0</v>
      </c>
      <c r="R837" s="10"/>
      <c r="S837" s="10"/>
      <c r="T837" s="10"/>
      <c r="U837" s="12">
        <f t="shared" si="281"/>
        <v>0</v>
      </c>
      <c r="W837" s="10">
        <v>28</v>
      </c>
      <c r="X837" s="32"/>
      <c r="Z837" s="51"/>
      <c r="AA837" s="33"/>
      <c r="AB837" s="34">
        <f t="shared" si="289"/>
        <v>0</v>
      </c>
      <c r="AC837" s="10"/>
      <c r="AD837" s="10"/>
      <c r="AE837" s="10"/>
      <c r="AF837" s="12">
        <f t="shared" si="283"/>
        <v>0</v>
      </c>
    </row>
    <row r="838" spans="1:32" x14ac:dyDescent="0.25">
      <c r="A838" s="10">
        <v>29</v>
      </c>
      <c r="B838" s="32"/>
      <c r="C838" s="33"/>
      <c r="D838" s="34"/>
      <c r="E838" s="34"/>
      <c r="F838" s="34">
        <f t="shared" si="288"/>
        <v>0</v>
      </c>
      <c r="G838" s="10"/>
      <c r="H838" s="10"/>
      <c r="I838" s="10"/>
      <c r="J838" s="12">
        <f t="shared" si="279"/>
        <v>0</v>
      </c>
      <c r="L838" s="10">
        <v>29</v>
      </c>
      <c r="M838" s="32"/>
      <c r="N838" s="33"/>
      <c r="O838" s="51"/>
      <c r="P838" s="33"/>
      <c r="Q838" s="34">
        <f t="shared" si="280"/>
        <v>0</v>
      </c>
      <c r="R838" s="10"/>
      <c r="S838" s="10"/>
      <c r="T838" s="10"/>
      <c r="U838" s="12">
        <f t="shared" si="281"/>
        <v>0</v>
      </c>
      <c r="W838" s="10">
        <v>29</v>
      </c>
      <c r="X838" s="32"/>
      <c r="Z838" s="51"/>
      <c r="AA838" s="33"/>
      <c r="AB838" s="34">
        <f t="shared" si="289"/>
        <v>0</v>
      </c>
      <c r="AC838" s="10"/>
      <c r="AD838" s="10"/>
      <c r="AE838" s="10"/>
      <c r="AF838" s="12">
        <f t="shared" si="283"/>
        <v>0</v>
      </c>
    </row>
    <row r="839" spans="1:32" x14ac:dyDescent="0.25">
      <c r="A839" s="10">
        <v>30</v>
      </c>
      <c r="B839" s="32"/>
      <c r="D839" s="34"/>
      <c r="E839" s="34"/>
      <c r="F839" s="34">
        <f t="shared" si="288"/>
        <v>0</v>
      </c>
      <c r="G839" s="10"/>
      <c r="H839" s="10"/>
      <c r="I839" s="10"/>
      <c r="J839" s="12">
        <f t="shared" si="279"/>
        <v>0</v>
      </c>
      <c r="L839" s="10">
        <v>30</v>
      </c>
      <c r="M839" s="32"/>
      <c r="N839" s="33"/>
      <c r="O839" s="51"/>
      <c r="P839" s="33"/>
      <c r="Q839" s="34">
        <f t="shared" si="280"/>
        <v>0</v>
      </c>
      <c r="R839" s="10"/>
      <c r="S839" s="10"/>
      <c r="T839" s="10"/>
      <c r="U839" s="12">
        <f t="shared" si="281"/>
        <v>0</v>
      </c>
      <c r="W839" s="10">
        <v>30</v>
      </c>
      <c r="X839" s="32"/>
      <c r="Y839" s="33"/>
      <c r="Z839" s="51"/>
      <c r="AA839" s="33"/>
      <c r="AB839" s="34">
        <f t="shared" si="289"/>
        <v>0</v>
      </c>
      <c r="AC839" s="10"/>
      <c r="AD839" s="10"/>
      <c r="AE839" s="10"/>
      <c r="AF839" s="12">
        <f t="shared" si="283"/>
        <v>0</v>
      </c>
    </row>
    <row r="840" spans="1:32" x14ac:dyDescent="0.25">
      <c r="A840" s="10">
        <v>31</v>
      </c>
      <c r="B840" s="32"/>
      <c r="C840" s="33"/>
      <c r="D840" s="34"/>
      <c r="E840" s="34"/>
      <c r="F840" s="34">
        <f t="shared" si="288"/>
        <v>0</v>
      </c>
      <c r="G840" s="10"/>
      <c r="H840" s="10"/>
      <c r="I840" s="10"/>
      <c r="J840" s="12">
        <f t="shared" si="279"/>
        <v>0</v>
      </c>
      <c r="L840" s="10">
        <v>31</v>
      </c>
      <c r="M840" s="32"/>
      <c r="N840" s="33"/>
      <c r="O840" s="51"/>
      <c r="P840" s="33"/>
      <c r="Q840" s="34">
        <f t="shared" si="280"/>
        <v>0</v>
      </c>
      <c r="R840" s="10"/>
      <c r="S840" s="10"/>
      <c r="T840" s="10"/>
      <c r="U840" s="12">
        <f t="shared" si="281"/>
        <v>0</v>
      </c>
      <c r="W840" s="10">
        <v>31</v>
      </c>
      <c r="X840" s="32"/>
      <c r="Z840" s="51"/>
      <c r="AA840" s="33"/>
      <c r="AB840" s="34">
        <f t="shared" si="289"/>
        <v>0</v>
      </c>
      <c r="AC840" s="10"/>
      <c r="AD840" s="10"/>
      <c r="AE840" s="10"/>
      <c r="AF840" s="12">
        <f t="shared" si="283"/>
        <v>0</v>
      </c>
    </row>
    <row r="841" spans="1:32" x14ac:dyDescent="0.25">
      <c r="A841" s="10">
        <v>32</v>
      </c>
      <c r="B841" s="32"/>
      <c r="C841" s="33"/>
      <c r="D841" s="34"/>
      <c r="E841" s="34"/>
      <c r="F841" s="34">
        <f t="shared" si="288"/>
        <v>0</v>
      </c>
      <c r="G841" s="10"/>
      <c r="H841" s="10"/>
      <c r="I841" s="10"/>
      <c r="J841" s="12">
        <f t="shared" si="279"/>
        <v>0</v>
      </c>
      <c r="L841" s="10">
        <v>32</v>
      </c>
      <c r="M841" s="32"/>
      <c r="N841" s="33"/>
      <c r="O841" s="51"/>
      <c r="P841" s="33"/>
      <c r="Q841" s="34">
        <f t="shared" si="280"/>
        <v>0</v>
      </c>
      <c r="R841" s="10"/>
      <c r="S841" s="10"/>
      <c r="T841" s="10"/>
      <c r="U841" s="12">
        <f t="shared" si="281"/>
        <v>0</v>
      </c>
      <c r="W841" s="10">
        <v>32</v>
      </c>
      <c r="X841" s="32"/>
      <c r="Y841" s="33"/>
      <c r="Z841" s="51"/>
      <c r="AA841" s="33"/>
      <c r="AB841" s="34">
        <f t="shared" si="289"/>
        <v>0</v>
      </c>
      <c r="AC841" s="10"/>
      <c r="AD841" s="10"/>
      <c r="AE841" s="10"/>
      <c r="AF841" s="12">
        <f t="shared" si="283"/>
        <v>0</v>
      </c>
    </row>
    <row r="842" spans="1:32" x14ac:dyDescent="0.25">
      <c r="A842" s="10">
        <v>33</v>
      </c>
      <c r="B842" s="32"/>
      <c r="C842" s="70"/>
      <c r="D842" s="34"/>
      <c r="E842" s="34"/>
      <c r="F842" s="34">
        <f t="shared" si="288"/>
        <v>0</v>
      </c>
      <c r="G842" s="10"/>
      <c r="H842" s="10"/>
      <c r="I842" s="10"/>
      <c r="J842" s="12">
        <f t="shared" si="279"/>
        <v>0</v>
      </c>
      <c r="L842" s="10">
        <v>33</v>
      </c>
      <c r="M842" s="32"/>
      <c r="N842" s="33"/>
      <c r="O842" s="51"/>
      <c r="P842" s="33"/>
      <c r="Q842" s="34">
        <f t="shared" si="280"/>
        <v>0</v>
      </c>
      <c r="R842" s="10"/>
      <c r="S842" s="10"/>
      <c r="T842" s="10"/>
      <c r="U842" s="12">
        <f t="shared" si="281"/>
        <v>0</v>
      </c>
      <c r="W842" s="10">
        <v>33</v>
      </c>
      <c r="X842" s="32"/>
      <c r="Y842" s="33"/>
      <c r="Z842" s="51"/>
      <c r="AA842" s="33"/>
      <c r="AB842" s="34">
        <f t="shared" si="289"/>
        <v>0</v>
      </c>
      <c r="AC842" s="10"/>
      <c r="AD842" s="10"/>
      <c r="AE842" s="10"/>
      <c r="AF842" s="12">
        <f t="shared" si="283"/>
        <v>0</v>
      </c>
    </row>
    <row r="843" spans="1:32" x14ac:dyDescent="0.25">
      <c r="A843" s="10"/>
      <c r="B843" s="32"/>
      <c r="C843" s="33"/>
      <c r="D843" s="34"/>
      <c r="E843" s="34"/>
      <c r="F843" s="34">
        <f t="shared" si="288"/>
        <v>0</v>
      </c>
      <c r="G843" s="10"/>
      <c r="H843" s="10"/>
      <c r="I843" s="10"/>
      <c r="J843" s="12">
        <f t="shared" si="279"/>
        <v>0</v>
      </c>
      <c r="L843" s="10">
        <v>34</v>
      </c>
      <c r="M843" s="32"/>
      <c r="N843" s="33"/>
      <c r="O843" s="51"/>
      <c r="P843" s="33"/>
      <c r="Q843" s="34">
        <f t="shared" ref="Q843:Q848" si="290">SUM(O843:P843)</f>
        <v>0</v>
      </c>
      <c r="R843" s="10"/>
      <c r="S843" s="10"/>
      <c r="T843" s="10"/>
      <c r="U843" s="12">
        <f t="shared" si="281"/>
        <v>0</v>
      </c>
      <c r="W843" s="10">
        <v>34</v>
      </c>
      <c r="X843" s="32"/>
      <c r="Y843" s="33"/>
      <c r="Z843" s="51"/>
      <c r="AA843" s="33"/>
      <c r="AB843" s="34">
        <f t="shared" ref="AB843:AB848" si="291">SUM(Z843:AA843)</f>
        <v>0</v>
      </c>
      <c r="AC843" s="10"/>
      <c r="AD843" s="10"/>
      <c r="AE843" s="10"/>
      <c r="AF843" s="12">
        <f t="shared" si="283"/>
        <v>0</v>
      </c>
    </row>
    <row r="844" spans="1:32" x14ac:dyDescent="0.25">
      <c r="A844" s="10"/>
      <c r="B844" s="32"/>
      <c r="C844" s="33"/>
      <c r="D844" s="34"/>
      <c r="E844" s="34"/>
      <c r="F844" s="34">
        <f t="shared" si="288"/>
        <v>0</v>
      </c>
      <c r="G844" s="10"/>
      <c r="H844" s="10"/>
      <c r="I844" s="10"/>
      <c r="J844" s="12">
        <f t="shared" si="279"/>
        <v>0</v>
      </c>
      <c r="L844" s="10">
        <v>35</v>
      </c>
      <c r="M844" s="32"/>
      <c r="N844" s="33"/>
      <c r="O844" s="51"/>
      <c r="P844" s="33"/>
      <c r="Q844" s="34">
        <f t="shared" si="290"/>
        <v>0</v>
      </c>
      <c r="R844" s="10"/>
      <c r="S844" s="10"/>
      <c r="T844" s="10"/>
      <c r="U844" s="12">
        <f t="shared" si="281"/>
        <v>0</v>
      </c>
      <c r="W844" s="10">
        <v>35</v>
      </c>
      <c r="X844" s="32"/>
      <c r="Y844" s="33"/>
      <c r="Z844" s="51"/>
      <c r="AA844" s="33"/>
      <c r="AB844" s="34">
        <f t="shared" si="291"/>
        <v>0</v>
      </c>
      <c r="AC844" s="10"/>
      <c r="AD844" s="10"/>
      <c r="AE844" s="10"/>
      <c r="AF844" s="12">
        <f t="shared" si="283"/>
        <v>0</v>
      </c>
    </row>
    <row r="845" spans="1:32" x14ac:dyDescent="0.25">
      <c r="A845" s="10"/>
      <c r="B845" s="32"/>
      <c r="C845" s="70"/>
      <c r="D845" s="34"/>
      <c r="E845" s="34"/>
      <c r="F845" s="34">
        <f t="shared" si="288"/>
        <v>0</v>
      </c>
      <c r="G845" s="10"/>
      <c r="H845" s="10"/>
      <c r="I845" s="10"/>
      <c r="J845" s="12">
        <f t="shared" si="279"/>
        <v>0</v>
      </c>
      <c r="L845" s="10">
        <v>36</v>
      </c>
      <c r="M845" s="32"/>
      <c r="N845" s="33"/>
      <c r="O845" s="51"/>
      <c r="P845" s="33"/>
      <c r="Q845" s="34">
        <f t="shared" si="290"/>
        <v>0</v>
      </c>
      <c r="R845" s="10"/>
      <c r="S845" s="10"/>
      <c r="T845" s="10"/>
      <c r="U845" s="12">
        <f t="shared" si="281"/>
        <v>0</v>
      </c>
      <c r="W845" s="10">
        <v>36</v>
      </c>
      <c r="X845" s="32"/>
      <c r="Y845" s="33"/>
      <c r="Z845" s="51"/>
      <c r="AA845" s="33"/>
      <c r="AB845" s="34">
        <f t="shared" si="291"/>
        <v>0</v>
      </c>
      <c r="AC845" s="10"/>
      <c r="AD845" s="10"/>
      <c r="AE845" s="10"/>
      <c r="AF845" s="12">
        <f t="shared" si="283"/>
        <v>0</v>
      </c>
    </row>
    <row r="846" spans="1:32" x14ac:dyDescent="0.25">
      <c r="A846" s="10"/>
      <c r="B846" s="32"/>
      <c r="C846" s="33"/>
      <c r="D846" s="34"/>
      <c r="E846" s="34"/>
      <c r="F846" s="34">
        <f t="shared" si="288"/>
        <v>0</v>
      </c>
      <c r="G846" s="10"/>
      <c r="H846" s="10"/>
      <c r="I846" s="10"/>
      <c r="J846" s="12">
        <f t="shared" si="279"/>
        <v>0</v>
      </c>
      <c r="L846" s="10">
        <v>37</v>
      </c>
      <c r="M846" s="32"/>
      <c r="N846" s="33"/>
      <c r="O846" s="51"/>
      <c r="P846" s="33"/>
      <c r="Q846" s="34">
        <f t="shared" si="290"/>
        <v>0</v>
      </c>
      <c r="R846" s="10"/>
      <c r="S846" s="10"/>
      <c r="T846" s="10"/>
      <c r="U846" s="12">
        <f t="shared" si="281"/>
        <v>0</v>
      </c>
      <c r="W846" s="10">
        <v>37</v>
      </c>
      <c r="X846" s="32"/>
      <c r="Y846" s="33"/>
      <c r="Z846" s="51"/>
      <c r="AA846" s="33"/>
      <c r="AB846" s="34">
        <f t="shared" si="291"/>
        <v>0</v>
      </c>
      <c r="AC846" s="10"/>
      <c r="AD846" s="10"/>
      <c r="AE846" s="10"/>
      <c r="AF846" s="12">
        <f t="shared" si="283"/>
        <v>0</v>
      </c>
    </row>
    <row r="847" spans="1:32" x14ac:dyDescent="0.25">
      <c r="A847" s="10"/>
      <c r="B847" s="32"/>
      <c r="C847" s="70"/>
      <c r="D847" s="34"/>
      <c r="E847" s="34"/>
      <c r="F847" s="34">
        <f t="shared" si="288"/>
        <v>0</v>
      </c>
      <c r="G847" s="10"/>
      <c r="H847" s="10"/>
      <c r="I847" s="10"/>
      <c r="J847" s="12">
        <f t="shared" si="279"/>
        <v>0</v>
      </c>
      <c r="L847" s="10">
        <v>38</v>
      </c>
      <c r="M847" s="32"/>
      <c r="N847" s="33"/>
      <c r="O847" s="51"/>
      <c r="P847" s="33"/>
      <c r="Q847" s="34">
        <f t="shared" si="290"/>
        <v>0</v>
      </c>
      <c r="R847" s="10"/>
      <c r="S847" s="10"/>
      <c r="T847" s="10"/>
      <c r="U847" s="12">
        <f t="shared" si="281"/>
        <v>0</v>
      </c>
      <c r="W847" s="10">
        <v>38</v>
      </c>
      <c r="X847" s="32"/>
      <c r="Y847" s="33"/>
      <c r="Z847" s="51"/>
      <c r="AA847" s="33"/>
      <c r="AB847" s="34">
        <f t="shared" si="291"/>
        <v>0</v>
      </c>
      <c r="AC847" s="10"/>
      <c r="AD847" s="10"/>
      <c r="AE847" s="10"/>
      <c r="AF847" s="12">
        <f t="shared" si="283"/>
        <v>0</v>
      </c>
    </row>
    <row r="848" spans="1:32" x14ac:dyDescent="0.25">
      <c r="A848" s="10"/>
      <c r="B848" s="32"/>
      <c r="C848" s="33"/>
      <c r="D848" s="34"/>
      <c r="E848" s="34"/>
      <c r="F848" s="34">
        <f t="shared" si="288"/>
        <v>0</v>
      </c>
      <c r="G848" s="10"/>
      <c r="H848" s="10"/>
      <c r="I848" s="10"/>
      <c r="J848" s="12">
        <f t="shared" si="279"/>
        <v>0</v>
      </c>
      <c r="L848" s="10">
        <v>39</v>
      </c>
      <c r="M848" s="32"/>
      <c r="N848" s="33"/>
      <c r="O848" s="51"/>
      <c r="P848" s="33"/>
      <c r="Q848" s="34">
        <f t="shared" si="290"/>
        <v>0</v>
      </c>
      <c r="R848" s="10"/>
      <c r="S848" s="10"/>
      <c r="T848" s="10"/>
      <c r="U848" s="12">
        <f t="shared" si="281"/>
        <v>0</v>
      </c>
      <c r="W848" s="10">
        <v>39</v>
      </c>
      <c r="X848" s="32"/>
      <c r="Y848" s="33"/>
      <c r="Z848" s="51"/>
      <c r="AA848" s="33"/>
      <c r="AB848" s="34">
        <f t="shared" si="291"/>
        <v>0</v>
      </c>
      <c r="AC848" s="10"/>
      <c r="AD848" s="10"/>
      <c r="AE848" s="10"/>
      <c r="AF848" s="12">
        <f t="shared" si="283"/>
        <v>0</v>
      </c>
    </row>
    <row r="849" spans="1:32" x14ac:dyDescent="0.25">
      <c r="A849" s="10"/>
      <c r="B849" s="32"/>
      <c r="C849" s="33"/>
      <c r="D849" s="34"/>
      <c r="E849" s="34"/>
      <c r="F849" s="34">
        <f t="shared" si="288"/>
        <v>0</v>
      </c>
      <c r="G849" s="10"/>
      <c r="H849" s="10"/>
      <c r="I849" s="10"/>
      <c r="J849" s="12">
        <f t="shared" si="279"/>
        <v>0</v>
      </c>
      <c r="L849" s="10"/>
      <c r="M849" s="32"/>
      <c r="O849" s="51"/>
      <c r="P849" s="33"/>
      <c r="Q849" s="34"/>
      <c r="R849" s="10"/>
      <c r="S849" s="10"/>
      <c r="T849" s="10"/>
      <c r="U849" s="12">
        <f t="shared" si="281"/>
        <v>0</v>
      </c>
      <c r="W849" s="10"/>
      <c r="X849" s="32"/>
      <c r="Z849" s="51"/>
      <c r="AA849" s="33"/>
      <c r="AB849" s="34"/>
      <c r="AC849" s="10"/>
      <c r="AD849" s="10"/>
      <c r="AE849" s="10"/>
      <c r="AF849" s="12">
        <f t="shared" si="283"/>
        <v>0</v>
      </c>
    </row>
    <row r="850" spans="1:32" x14ac:dyDescent="0.25">
      <c r="A850" s="10"/>
      <c r="B850" s="32"/>
      <c r="C850" s="70"/>
      <c r="D850" s="34"/>
      <c r="E850" s="34"/>
      <c r="F850" s="34">
        <f t="shared" si="288"/>
        <v>0</v>
      </c>
      <c r="G850" s="10"/>
      <c r="H850" s="10"/>
      <c r="I850" s="10"/>
      <c r="J850" s="12">
        <f t="shared" ref="J850" si="292">SUM(F850:I850)</f>
        <v>0</v>
      </c>
      <c r="L850" s="10"/>
      <c r="M850" s="32"/>
      <c r="N850" s="33"/>
      <c r="O850" s="51"/>
      <c r="P850" s="33"/>
      <c r="Q850" s="34">
        <f t="shared" ref="Q850" si="293">SUM(O850:P850)</f>
        <v>0</v>
      </c>
      <c r="R850" s="10"/>
      <c r="S850" s="10"/>
      <c r="T850" s="10"/>
      <c r="U850" s="12">
        <f t="shared" si="281"/>
        <v>0</v>
      </c>
      <c r="W850" s="10"/>
      <c r="X850" s="32"/>
      <c r="Y850" s="33"/>
      <c r="Z850" s="51"/>
      <c r="AA850" s="33"/>
      <c r="AB850" s="34">
        <f t="shared" ref="AB850" si="294">SUM(Z850:AA850)</f>
        <v>0</v>
      </c>
      <c r="AC850" s="10"/>
      <c r="AD850" s="10"/>
      <c r="AE850" s="10"/>
      <c r="AF850" s="12">
        <f t="shared" si="283"/>
        <v>0</v>
      </c>
    </row>
    <row r="851" spans="1:32" x14ac:dyDescent="0.25">
      <c r="A851" s="10"/>
      <c r="B851" s="32"/>
      <c r="C851" s="32"/>
      <c r="D851" s="34"/>
      <c r="E851" s="34"/>
      <c r="F851" s="34"/>
      <c r="G851" s="10"/>
      <c r="H851" s="10"/>
      <c r="I851" s="10"/>
      <c r="J851" s="12"/>
      <c r="L851" s="10"/>
      <c r="M851" s="33"/>
      <c r="N851" s="33"/>
      <c r="O851" s="33"/>
      <c r="P851" s="33"/>
      <c r="Q851" s="33"/>
      <c r="R851" s="10"/>
      <c r="S851" s="10"/>
      <c r="T851" s="10"/>
      <c r="U851" s="12">
        <f t="shared" si="281"/>
        <v>0</v>
      </c>
      <c r="W851" s="10"/>
      <c r="X851" s="33"/>
      <c r="Y851" s="33"/>
      <c r="Z851" s="33"/>
      <c r="AA851" s="33"/>
      <c r="AB851" s="33"/>
      <c r="AC851" s="10"/>
      <c r="AD851" s="10"/>
      <c r="AE851" s="10"/>
      <c r="AF851" s="12">
        <f t="shared" si="283"/>
        <v>0</v>
      </c>
    </row>
    <row r="852" spans="1:32" x14ac:dyDescent="0.25">
      <c r="B852" s="70"/>
      <c r="C852" s="70"/>
      <c r="D852" s="38"/>
      <c r="E852" s="38"/>
      <c r="F852" s="38"/>
      <c r="G852" s="39"/>
      <c r="H852" s="39"/>
      <c r="I852" s="39"/>
      <c r="J852" s="39"/>
      <c r="M852" s="70"/>
      <c r="N852" s="70"/>
      <c r="O852" s="38"/>
      <c r="P852" s="38"/>
      <c r="Q852" s="38"/>
      <c r="R852" s="39"/>
      <c r="S852" s="39"/>
      <c r="T852" s="39"/>
      <c r="U852" s="39"/>
      <c r="X852" s="70"/>
      <c r="Y852" s="70"/>
      <c r="Z852" s="38"/>
      <c r="AA852" s="38"/>
      <c r="AB852" s="38"/>
      <c r="AC852" s="39"/>
      <c r="AD852" s="39"/>
      <c r="AE852" s="39"/>
      <c r="AF852" s="39"/>
    </row>
    <row r="853" spans="1:32" x14ac:dyDescent="0.25">
      <c r="B853" s="70"/>
      <c r="C853" s="70"/>
      <c r="D853" s="40">
        <f>SUM(D810:D852)</f>
        <v>279996</v>
      </c>
      <c r="E853" s="40">
        <f t="shared" ref="E853" si="295">SUM(E810:E850)</f>
        <v>-1917</v>
      </c>
      <c r="F853" s="40">
        <f>SUM(F810:F852)</f>
        <v>278079</v>
      </c>
      <c r="G853" s="4"/>
      <c r="H853" s="41">
        <f>SUM(H810:H852)</f>
        <v>324</v>
      </c>
      <c r="I853" s="41">
        <f>SUM(I810:I852)</f>
        <v>-6295.5</v>
      </c>
      <c r="J853" s="42">
        <f>SUM(J810:J852)</f>
        <v>272107.5</v>
      </c>
      <c r="M853" s="70"/>
      <c r="N853" s="70"/>
      <c r="O853" s="40">
        <f>SUM(O810:O852)</f>
        <v>183122</v>
      </c>
      <c r="P853" s="40">
        <f>SUM(P810:P834)</f>
        <v>0</v>
      </c>
      <c r="Q853" s="40">
        <f>SUM(Q810:Q852)</f>
        <v>183122</v>
      </c>
      <c r="R853" s="4"/>
      <c r="S853" s="43">
        <f>SUM(S810:S852)</f>
        <v>126</v>
      </c>
      <c r="T853" s="43">
        <f>SUM(T810:T834)</f>
        <v>-396</v>
      </c>
      <c r="U853" s="44">
        <f>SUM(U810:U852)</f>
        <v>182852</v>
      </c>
      <c r="X853" s="70"/>
      <c r="Y853" s="70"/>
      <c r="Z853" s="40">
        <f>SUM(Z810:Z852)</f>
        <v>237731</v>
      </c>
      <c r="AA853" s="40">
        <f>SUM(AA810:AA834)</f>
        <v>-3000</v>
      </c>
      <c r="AB853" s="40">
        <f>SUM(AB810:AB852)</f>
        <v>234731</v>
      </c>
      <c r="AC853" s="4"/>
      <c r="AD853" s="43">
        <f>SUM(AD810:AD852)</f>
        <v>0</v>
      </c>
      <c r="AE853" s="43">
        <f>SUM(AE810:AE834)</f>
        <v>-11670</v>
      </c>
      <c r="AF853" s="44">
        <f>SUM(AF810:AF852)</f>
        <v>223061</v>
      </c>
    </row>
    <row r="854" spans="1:32" x14ac:dyDescent="0.25">
      <c r="B854" s="70"/>
      <c r="C854" s="70"/>
      <c r="D854" s="70"/>
      <c r="E854" s="70"/>
      <c r="F854" s="70"/>
      <c r="M854" s="70"/>
      <c r="N854" s="70"/>
      <c r="O854" s="45"/>
      <c r="P854" s="70"/>
      <c r="Q854" s="70"/>
      <c r="X854" s="70"/>
      <c r="Y854" s="70"/>
      <c r="Z854" s="45"/>
      <c r="AA854" s="70"/>
      <c r="AB854" s="70"/>
    </row>
    <row r="855" spans="1:32" x14ac:dyDescent="0.25">
      <c r="B855" s="70"/>
      <c r="C855" s="70"/>
      <c r="D855" s="70"/>
      <c r="E855" s="70"/>
      <c r="F855" s="70"/>
      <c r="M855" s="70"/>
      <c r="N855" s="70"/>
      <c r="O855" s="70"/>
      <c r="P855" s="70"/>
      <c r="Q855" s="70"/>
      <c r="X855" s="70"/>
      <c r="Y855" s="70"/>
      <c r="Z855" s="70"/>
      <c r="AA855" s="70"/>
      <c r="AB855" s="70"/>
    </row>
    <row r="856" spans="1:32" x14ac:dyDescent="0.25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</row>
    <row r="857" spans="1:32" x14ac:dyDescent="0.25">
      <c r="A857" t="s">
        <v>0</v>
      </c>
      <c r="B857" s="70"/>
      <c r="C857" s="70"/>
      <c r="D857" s="70"/>
      <c r="E857" s="70"/>
      <c r="F857" s="70"/>
      <c r="L857" t="s">
        <v>0</v>
      </c>
      <c r="M857" s="70"/>
      <c r="N857" s="70"/>
      <c r="O857" s="70"/>
      <c r="P857" s="70"/>
      <c r="Q857" s="70"/>
      <c r="W857" t="s">
        <v>0</v>
      </c>
      <c r="X857" s="70"/>
      <c r="Y857" s="70"/>
      <c r="Z857" s="70"/>
      <c r="AA857" s="70"/>
      <c r="AB857" s="70"/>
    </row>
    <row r="858" spans="1:32" x14ac:dyDescent="0.25">
      <c r="A858" t="s">
        <v>30</v>
      </c>
      <c r="B858" s="70"/>
      <c r="C858" s="70"/>
      <c r="D858" s="70"/>
      <c r="E858" s="70"/>
      <c r="F858" s="70"/>
      <c r="L858" t="s">
        <v>30</v>
      </c>
      <c r="M858" s="70"/>
      <c r="N858" s="70"/>
      <c r="O858" s="70"/>
      <c r="P858" s="70"/>
      <c r="Q858" s="70"/>
      <c r="W858" t="s">
        <v>30</v>
      </c>
      <c r="X858" s="70"/>
      <c r="Y858" s="70"/>
      <c r="Z858" s="70"/>
      <c r="AA858" s="70"/>
      <c r="AB858" s="70"/>
    </row>
    <row r="859" spans="1:32" x14ac:dyDescent="0.25">
      <c r="B859" s="70"/>
      <c r="C859" s="70"/>
      <c r="D859" s="70"/>
      <c r="E859" s="70"/>
      <c r="F859" s="70"/>
      <c r="M859" s="70"/>
      <c r="N859" s="70"/>
      <c r="O859" s="70"/>
      <c r="P859" s="70"/>
      <c r="Q859" s="70"/>
      <c r="X859" s="70"/>
      <c r="Y859" s="70"/>
      <c r="Z859" s="70"/>
      <c r="AA859" s="70"/>
      <c r="AB859" s="70"/>
    </row>
    <row r="860" spans="1:32" x14ac:dyDescent="0.25">
      <c r="A860" s="4" t="s">
        <v>15</v>
      </c>
      <c r="B860" s="70"/>
      <c r="C860" s="70"/>
      <c r="D860" s="70"/>
      <c r="E860" s="70"/>
      <c r="F860" s="70"/>
      <c r="L860" s="4" t="s">
        <v>15</v>
      </c>
      <c r="M860" s="70"/>
      <c r="N860" s="70"/>
      <c r="O860" s="70"/>
      <c r="P860" s="70"/>
      <c r="Q860" s="70"/>
      <c r="W860" s="4" t="s">
        <v>15</v>
      </c>
      <c r="X860" s="70"/>
      <c r="Y860" s="70"/>
      <c r="Z860" s="70"/>
      <c r="AA860" s="70"/>
      <c r="AB860" s="70"/>
    </row>
    <row r="861" spans="1:32" x14ac:dyDescent="0.25">
      <c r="B861" s="70"/>
      <c r="C861" s="70"/>
      <c r="D861" s="70"/>
      <c r="E861" s="70"/>
      <c r="F861" s="70"/>
      <c r="M861" s="70"/>
      <c r="N861" s="70"/>
      <c r="O861" s="70"/>
      <c r="P861" s="70"/>
      <c r="Q861" s="70"/>
      <c r="X861" s="70"/>
      <c r="Y861" s="70"/>
      <c r="Z861" s="70"/>
      <c r="AA861" s="70"/>
      <c r="AB861" s="70"/>
    </row>
    <row r="862" spans="1:32" ht="15.75" x14ac:dyDescent="0.25">
      <c r="A862" t="s">
        <v>32</v>
      </c>
      <c r="B862" s="70"/>
      <c r="C862" s="70"/>
      <c r="D862" s="70"/>
      <c r="E862" s="70"/>
      <c r="F862" s="70"/>
      <c r="H862" s="70" t="s">
        <v>16</v>
      </c>
      <c r="I862" s="19">
        <v>1</v>
      </c>
      <c r="L862" t="s">
        <v>32</v>
      </c>
      <c r="M862" s="70"/>
      <c r="N862" s="70"/>
      <c r="O862" s="70"/>
      <c r="P862" s="70"/>
      <c r="Q862" s="70"/>
      <c r="S862" s="70" t="s">
        <v>16</v>
      </c>
      <c r="T862" s="19">
        <v>2</v>
      </c>
      <c r="W862" t="s">
        <v>32</v>
      </c>
      <c r="X862" s="70"/>
      <c r="Y862" s="70"/>
      <c r="Z862" s="70"/>
      <c r="AA862" s="70"/>
      <c r="AB862" s="70"/>
      <c r="AD862" s="70" t="s">
        <v>16</v>
      </c>
      <c r="AE862" s="20">
        <v>3</v>
      </c>
    </row>
    <row r="863" spans="1:32" x14ac:dyDescent="0.25">
      <c r="A863" s="21" t="s">
        <v>78</v>
      </c>
      <c r="B863" s="20"/>
      <c r="C863" s="70"/>
      <c r="D863" s="70"/>
      <c r="E863" s="70"/>
      <c r="F863" s="70"/>
      <c r="H863" s="22" t="s">
        <v>17</v>
      </c>
      <c r="I863" s="23" t="s">
        <v>46</v>
      </c>
      <c r="J863" s="24"/>
      <c r="L863" s="21" t="s">
        <v>78</v>
      </c>
      <c r="M863" s="20"/>
      <c r="N863" s="70"/>
      <c r="O863" s="70"/>
      <c r="P863" s="70"/>
      <c r="Q863" s="70"/>
      <c r="S863" s="22" t="s">
        <v>17</v>
      </c>
      <c r="T863" s="23" t="s">
        <v>34</v>
      </c>
      <c r="U863" s="24"/>
      <c r="W863" s="21" t="s">
        <v>78</v>
      </c>
      <c r="X863" s="20"/>
      <c r="Y863" s="70"/>
      <c r="Z863" s="70"/>
      <c r="AA863" s="70"/>
      <c r="AB863" s="70"/>
      <c r="AD863" s="22" t="s">
        <v>17</v>
      </c>
      <c r="AE863" s="23" t="s">
        <v>47</v>
      </c>
      <c r="AF863" s="24"/>
    </row>
    <row r="864" spans="1:32" x14ac:dyDescent="0.25">
      <c r="B864" s="70"/>
      <c r="C864" s="70"/>
      <c r="D864" s="70"/>
      <c r="E864" s="70"/>
      <c r="F864" s="70"/>
      <c r="M864" s="70"/>
      <c r="N864" s="70"/>
      <c r="O864" s="70"/>
      <c r="P864" s="70"/>
      <c r="Q864" s="70"/>
      <c r="X864" s="70"/>
      <c r="Y864" s="70"/>
      <c r="Z864" s="70"/>
      <c r="AA864" s="70"/>
      <c r="AB864" s="70"/>
    </row>
    <row r="865" spans="1:32" ht="15" customHeight="1" x14ac:dyDescent="0.25">
      <c r="B865" s="25"/>
      <c r="C865" s="26"/>
      <c r="D865" s="79" t="s">
        <v>18</v>
      </c>
      <c r="E865" s="79"/>
      <c r="F865" s="27"/>
      <c r="H865" s="77" t="s">
        <v>19</v>
      </c>
      <c r="I865" s="78"/>
      <c r="J865" s="75" t="s">
        <v>20</v>
      </c>
      <c r="M865" s="25"/>
      <c r="N865" s="26"/>
      <c r="O865" s="79" t="s">
        <v>18</v>
      </c>
      <c r="P865" s="79"/>
      <c r="Q865" s="27"/>
      <c r="S865" s="77" t="s">
        <v>19</v>
      </c>
      <c r="T865" s="78"/>
      <c r="U865" s="75" t="s">
        <v>20</v>
      </c>
      <c r="X865" s="25"/>
      <c r="Y865" s="26"/>
      <c r="Z865" s="79" t="s">
        <v>18</v>
      </c>
      <c r="AA865" s="79"/>
      <c r="AB865" s="27"/>
      <c r="AD865" s="77" t="s">
        <v>19</v>
      </c>
      <c r="AE865" s="78"/>
      <c r="AF865" s="75" t="s">
        <v>20</v>
      </c>
    </row>
    <row r="866" spans="1:32" ht="30" x14ac:dyDescent="0.25">
      <c r="B866" s="28" t="s">
        <v>21</v>
      </c>
      <c r="C866" s="28" t="s">
        <v>22</v>
      </c>
      <c r="D866" s="29" t="s">
        <v>23</v>
      </c>
      <c r="E866" s="30" t="s">
        <v>24</v>
      </c>
      <c r="F866" s="30" t="s">
        <v>25</v>
      </c>
      <c r="H866" s="31" t="s">
        <v>26</v>
      </c>
      <c r="I866" s="31" t="s">
        <v>27</v>
      </c>
      <c r="J866" s="76"/>
      <c r="M866" s="28" t="s">
        <v>21</v>
      </c>
      <c r="N866" s="28" t="s">
        <v>22</v>
      </c>
      <c r="O866" s="29" t="s">
        <v>23</v>
      </c>
      <c r="P866" s="30" t="s">
        <v>24</v>
      </c>
      <c r="Q866" s="30" t="s">
        <v>25</v>
      </c>
      <c r="S866" s="31" t="s">
        <v>26</v>
      </c>
      <c r="T866" s="31" t="s">
        <v>27</v>
      </c>
      <c r="U866" s="76"/>
      <c r="X866" s="28" t="s">
        <v>21</v>
      </c>
      <c r="Y866" s="28" t="s">
        <v>22</v>
      </c>
      <c r="Z866" s="29" t="s">
        <v>23</v>
      </c>
      <c r="AA866" s="30" t="s">
        <v>24</v>
      </c>
      <c r="AB866" s="30" t="s">
        <v>25</v>
      </c>
      <c r="AD866" s="31" t="s">
        <v>26</v>
      </c>
      <c r="AE866" s="31" t="s">
        <v>27</v>
      </c>
      <c r="AF866" s="76"/>
    </row>
    <row r="867" spans="1:32" x14ac:dyDescent="0.25">
      <c r="A867" s="10">
        <v>1</v>
      </c>
      <c r="B867" s="32">
        <v>45677</v>
      </c>
      <c r="C867" s="33">
        <v>6780</v>
      </c>
      <c r="D867" s="34">
        <f>626*10+614+85+650</f>
        <v>7609</v>
      </c>
      <c r="E867" s="34"/>
      <c r="F867" s="34">
        <f>SUM(D867:E867)</f>
        <v>7609</v>
      </c>
      <c r="G867" s="12"/>
      <c r="H867" s="12">
        <v>27</v>
      </c>
      <c r="I867" s="12"/>
      <c r="J867" s="12">
        <f>SUM(F867:I867)</f>
        <v>7636</v>
      </c>
      <c r="L867" s="10">
        <v>1</v>
      </c>
      <c r="M867" s="32">
        <v>45677</v>
      </c>
      <c r="N867" s="33">
        <v>7639</v>
      </c>
      <c r="O867" s="34">
        <f>5634+3756+59.5+674</f>
        <v>10123.5</v>
      </c>
      <c r="P867" s="34"/>
      <c r="Q867" s="34">
        <f>SUM(O867:P867)</f>
        <v>10123.5</v>
      </c>
      <c r="R867" s="12"/>
      <c r="S867" s="12"/>
      <c r="T867" s="12">
        <v>-666</v>
      </c>
      <c r="U867" s="12">
        <f>SUM(Q867:T867)</f>
        <v>9457.5</v>
      </c>
      <c r="W867" s="10">
        <v>1</v>
      </c>
      <c r="X867" s="32">
        <v>45677</v>
      </c>
      <c r="Y867" s="33">
        <f>6893</f>
        <v>6893</v>
      </c>
      <c r="Z867" s="34">
        <f>626*9+614+1102+832*3</f>
        <v>9846</v>
      </c>
      <c r="AA867" s="34"/>
      <c r="AB867" s="34">
        <f>SUM(Z867:AA867)</f>
        <v>9846</v>
      </c>
      <c r="AC867" s="12"/>
      <c r="AD867" s="12">
        <v>40.5</v>
      </c>
      <c r="AE867" s="12"/>
      <c r="AF867" s="12">
        <f>SUM(AB867:AE867)</f>
        <v>9886.5</v>
      </c>
    </row>
    <row r="868" spans="1:32" x14ac:dyDescent="0.25">
      <c r="A868" s="10">
        <v>2</v>
      </c>
      <c r="B868" s="32">
        <v>45677</v>
      </c>
      <c r="C868" s="33">
        <f>C867+1</f>
        <v>6781</v>
      </c>
      <c r="D868"/>
      <c r="E868" s="34"/>
      <c r="F868" s="34">
        <f t="shared" ref="F868:F871" si="296">SUM(D868:E868)</f>
        <v>0</v>
      </c>
      <c r="G868" s="12"/>
      <c r="H868" s="12"/>
      <c r="I868" s="12"/>
      <c r="J868" s="12">
        <f t="shared" ref="J868:J908" si="297">SUM(F868:I868)</f>
        <v>0</v>
      </c>
      <c r="L868" s="10">
        <v>2</v>
      </c>
      <c r="M868" s="32">
        <v>45677</v>
      </c>
      <c r="N868" s="33">
        <f>N867+1</f>
        <v>7640</v>
      </c>
      <c r="O868">
        <f>1252+17</f>
        <v>1269</v>
      </c>
      <c r="P868" s="34"/>
      <c r="Q868" s="34">
        <f t="shared" ref="Q868:Q899" si="298">SUM(O868:P868)</f>
        <v>1269</v>
      </c>
      <c r="R868" s="12"/>
      <c r="S868" s="12">
        <v>54</v>
      </c>
      <c r="T868" s="12"/>
      <c r="U868" s="12">
        <f t="shared" ref="U868:U908" si="299">SUM(Q868:T868)</f>
        <v>1323</v>
      </c>
      <c r="W868" s="10">
        <v>2</v>
      </c>
      <c r="X868" s="32">
        <v>45677</v>
      </c>
      <c r="Y868" s="33">
        <f>Y867+1</f>
        <v>6894</v>
      </c>
      <c r="Z868" s="34">
        <f>1878+25.5</f>
        <v>1903.5</v>
      </c>
      <c r="AA868" s="34"/>
      <c r="AB868" s="34">
        <f t="shared" ref="AB868:AB870" si="300">SUM(Z868:AA868)</f>
        <v>1903.5</v>
      </c>
      <c r="AC868" s="12"/>
      <c r="AD868" s="12"/>
      <c r="AE868" s="12"/>
      <c r="AF868" s="12">
        <f t="shared" ref="AF868:AF908" si="301">SUM(AB868:AE868)</f>
        <v>1903.5</v>
      </c>
    </row>
    <row r="869" spans="1:32" x14ac:dyDescent="0.25">
      <c r="A869" s="10">
        <v>3</v>
      </c>
      <c r="B869" s="32">
        <v>45677</v>
      </c>
      <c r="C869" s="33">
        <f t="shared" ref="C869:C886" si="302">C868+1</f>
        <v>6782</v>
      </c>
      <c r="D869" s="34">
        <f>205*13</f>
        <v>2665</v>
      </c>
      <c r="E869" s="34"/>
      <c r="F869" s="34">
        <f t="shared" si="296"/>
        <v>2665</v>
      </c>
      <c r="G869" s="12"/>
      <c r="H869" s="12"/>
      <c r="I869" s="12"/>
      <c r="J869" s="12">
        <f t="shared" si="297"/>
        <v>2665</v>
      </c>
      <c r="L869" s="10">
        <v>3</v>
      </c>
      <c r="M869" s="32">
        <v>45677</v>
      </c>
      <c r="N869" s="33">
        <f t="shared" ref="N869:N878" si="303">N868+1</f>
        <v>7641</v>
      </c>
      <c r="O869" s="34">
        <f>3756+1192+68</f>
        <v>5016</v>
      </c>
      <c r="P869" s="34"/>
      <c r="Q869" s="34">
        <f t="shared" si="298"/>
        <v>5016</v>
      </c>
      <c r="R869" s="12"/>
      <c r="S869" s="12"/>
      <c r="T869" s="12">
        <v>-444</v>
      </c>
      <c r="U869" s="12">
        <f t="shared" si="299"/>
        <v>4572</v>
      </c>
      <c r="W869" s="10">
        <v>3</v>
      </c>
      <c r="X869" s="32">
        <v>45677</v>
      </c>
      <c r="Y869" s="33">
        <f t="shared" ref="Y869:Y877" si="304">Y868+1</f>
        <v>6895</v>
      </c>
      <c r="Z869" s="34">
        <f>626*4+614+596+42.5</f>
        <v>3756.5</v>
      </c>
      <c r="AA869" s="34"/>
      <c r="AB869" s="34">
        <f t="shared" si="300"/>
        <v>3756.5</v>
      </c>
      <c r="AC869" s="12"/>
      <c r="AD869" s="12"/>
      <c r="AE869" s="12"/>
      <c r="AF869" s="12">
        <f t="shared" si="301"/>
        <v>3756.5</v>
      </c>
    </row>
    <row r="870" spans="1:32" x14ac:dyDescent="0.25">
      <c r="A870" s="10">
        <v>4</v>
      </c>
      <c r="B870" s="32">
        <v>45677</v>
      </c>
      <c r="C870" s="33">
        <f t="shared" si="302"/>
        <v>6783</v>
      </c>
      <c r="D870" s="34">
        <f>596+8.5</f>
        <v>604.5</v>
      </c>
      <c r="E870" s="34"/>
      <c r="F870" s="34">
        <f t="shared" si="296"/>
        <v>604.5</v>
      </c>
      <c r="G870" s="12"/>
      <c r="H870" s="12"/>
      <c r="I870" s="12"/>
      <c r="J870" s="12">
        <f t="shared" si="297"/>
        <v>604.5</v>
      </c>
      <c r="L870" s="10">
        <v>4</v>
      </c>
      <c r="M870" s="32">
        <v>45677</v>
      </c>
      <c r="N870" s="33">
        <f t="shared" si="303"/>
        <v>7642</v>
      </c>
      <c r="O870" s="34">
        <f>2504+34</f>
        <v>2538</v>
      </c>
      <c r="P870" s="34"/>
      <c r="Q870" s="34">
        <f t="shared" si="298"/>
        <v>2538</v>
      </c>
      <c r="R870" s="12"/>
      <c r="S870" s="12"/>
      <c r="T870" s="12"/>
      <c r="U870" s="12">
        <f t="shared" si="299"/>
        <v>2538</v>
      </c>
      <c r="W870" s="10">
        <v>4</v>
      </c>
      <c r="X870" s="32">
        <v>45677</v>
      </c>
      <c r="Y870" s="33">
        <f t="shared" si="304"/>
        <v>6896</v>
      </c>
      <c r="Z870" s="34">
        <f>626*10+85</f>
        <v>6345</v>
      </c>
      <c r="AA870" s="34"/>
      <c r="AB870" s="34">
        <f t="shared" si="300"/>
        <v>6345</v>
      </c>
      <c r="AC870" s="12"/>
      <c r="AE870" s="12"/>
      <c r="AF870" s="12">
        <f t="shared" si="301"/>
        <v>6345</v>
      </c>
    </row>
    <row r="871" spans="1:32" x14ac:dyDescent="0.25">
      <c r="A871" s="10">
        <v>5</v>
      </c>
      <c r="B871" s="32">
        <v>45677</v>
      </c>
      <c r="C871" s="33">
        <f t="shared" si="302"/>
        <v>6784</v>
      </c>
      <c r="D871" s="34">
        <f>626*5+614+42.5</f>
        <v>3786.5</v>
      </c>
      <c r="E871" s="34"/>
      <c r="F871" s="34">
        <f t="shared" si="296"/>
        <v>3786.5</v>
      </c>
      <c r="G871" s="12"/>
      <c r="H871" s="12"/>
      <c r="I871" s="12"/>
      <c r="J871" s="12">
        <f t="shared" si="297"/>
        <v>3786.5</v>
      </c>
      <c r="L871" s="10">
        <v>5</v>
      </c>
      <c r="M871" s="32">
        <v>45677</v>
      </c>
      <c r="N871" s="33">
        <f t="shared" si="303"/>
        <v>7643</v>
      </c>
      <c r="O871" s="34">
        <f>3130+42.5</f>
        <v>3172.5</v>
      </c>
      <c r="P871" s="34"/>
      <c r="Q871" s="34">
        <f t="shared" si="298"/>
        <v>3172.5</v>
      </c>
      <c r="R871" s="12"/>
      <c r="S871" s="12"/>
      <c r="T871" s="12"/>
      <c r="U871" s="12">
        <f t="shared" si="299"/>
        <v>3172.5</v>
      </c>
      <c r="W871" s="10">
        <v>5</v>
      </c>
      <c r="X871" s="32">
        <v>45677</v>
      </c>
      <c r="Y871" s="33">
        <f t="shared" si="304"/>
        <v>6897</v>
      </c>
      <c r="Z871" s="34">
        <f>205</f>
        <v>205</v>
      </c>
      <c r="AA871" s="34"/>
      <c r="AB871" s="34">
        <f t="shared" ref="AB871:AB876" si="305">SUM(Z871:AA871)</f>
        <v>205</v>
      </c>
      <c r="AC871" s="12"/>
      <c r="AD871" s="12"/>
      <c r="AE871" s="12"/>
      <c r="AF871" s="12">
        <f t="shared" si="301"/>
        <v>205</v>
      </c>
    </row>
    <row r="872" spans="1:32" x14ac:dyDescent="0.25">
      <c r="A872" s="10">
        <v>6</v>
      </c>
      <c r="B872" s="32">
        <v>45677</v>
      </c>
      <c r="C872" s="33">
        <f t="shared" si="302"/>
        <v>6785</v>
      </c>
      <c r="D872" s="34">
        <f>1252+457+503+416+17+250</f>
        <v>2895</v>
      </c>
      <c r="E872" s="34"/>
      <c r="F872" s="34">
        <f>SUM(D872:E872)</f>
        <v>2895</v>
      </c>
      <c r="G872" s="12"/>
      <c r="H872" s="12"/>
      <c r="I872" s="10"/>
      <c r="J872" s="12">
        <f t="shared" si="297"/>
        <v>2895</v>
      </c>
      <c r="L872" s="10">
        <v>6</v>
      </c>
      <c r="M872" s="32">
        <v>45677</v>
      </c>
      <c r="N872" s="33">
        <f t="shared" si="303"/>
        <v>7644</v>
      </c>
      <c r="O872" s="34">
        <f>626*2+596*2+34+674</f>
        <v>3152</v>
      </c>
      <c r="P872" s="34"/>
      <c r="Q872" s="34">
        <f>SUM(O872:P872)</f>
        <v>3152</v>
      </c>
      <c r="R872" s="12"/>
      <c r="S872" s="12"/>
      <c r="T872" s="10">
        <v>-1110</v>
      </c>
      <c r="U872" s="12">
        <f t="shared" si="299"/>
        <v>2042</v>
      </c>
      <c r="W872" s="10">
        <v>6</v>
      </c>
      <c r="X872" s="32">
        <v>45677</v>
      </c>
      <c r="Y872" s="33">
        <f t="shared" si="304"/>
        <v>6898</v>
      </c>
      <c r="Z872" s="34">
        <f>626*3+614+596+34</f>
        <v>3122</v>
      </c>
      <c r="AA872" s="34"/>
      <c r="AB872" s="34">
        <f t="shared" si="305"/>
        <v>3122</v>
      </c>
      <c r="AC872" s="12"/>
      <c r="AD872" s="12"/>
      <c r="AE872" s="10"/>
      <c r="AF872" s="12">
        <f t="shared" si="301"/>
        <v>3122</v>
      </c>
    </row>
    <row r="873" spans="1:32" x14ac:dyDescent="0.25">
      <c r="A873" s="10">
        <v>7</v>
      </c>
      <c r="B873" s="32">
        <v>45677</v>
      </c>
      <c r="C873" s="33">
        <f t="shared" si="302"/>
        <v>6786</v>
      </c>
      <c r="D873" s="34">
        <f>626*45+614+1192+2022</f>
        <v>31998</v>
      </c>
      <c r="E873" s="34"/>
      <c r="F873" s="34">
        <f t="shared" ref="F873:F899" si="306">SUM(D873:E873)</f>
        <v>31998</v>
      </c>
      <c r="G873" s="12"/>
      <c r="H873" s="12">
        <v>108</v>
      </c>
      <c r="I873" s="12"/>
      <c r="J873" s="12">
        <f t="shared" si="297"/>
        <v>32106</v>
      </c>
      <c r="L873" s="10">
        <v>7</v>
      </c>
      <c r="M873" s="32">
        <v>45677</v>
      </c>
      <c r="N873" s="33">
        <f t="shared" si="303"/>
        <v>7645</v>
      </c>
      <c r="O873" s="34">
        <f>3130+614+59.5+1348</f>
        <v>5151.5</v>
      </c>
      <c r="P873" s="34"/>
      <c r="Q873" s="34">
        <f t="shared" si="298"/>
        <v>5151.5</v>
      </c>
      <c r="R873" s="12"/>
      <c r="S873" s="12"/>
      <c r="T873" s="12"/>
      <c r="U873" s="12">
        <f t="shared" si="299"/>
        <v>5151.5</v>
      </c>
      <c r="W873" s="10">
        <v>7</v>
      </c>
      <c r="X873" s="32">
        <v>45677</v>
      </c>
      <c r="Y873" s="33">
        <f t="shared" si="304"/>
        <v>6899</v>
      </c>
      <c r="Z873" s="34">
        <f>626*150+674*2+596*50+832*4+205*8</f>
        <v>130016</v>
      </c>
      <c r="AA873" s="34">
        <v>-1854</v>
      </c>
      <c r="AB873" s="34">
        <f t="shared" si="305"/>
        <v>128162</v>
      </c>
      <c r="AC873" s="12"/>
      <c r="AD873" s="66"/>
      <c r="AE873" s="12"/>
      <c r="AF873" s="12">
        <f t="shared" si="301"/>
        <v>128162</v>
      </c>
    </row>
    <row r="874" spans="1:32" x14ac:dyDescent="0.25">
      <c r="A874" s="10">
        <v>8</v>
      </c>
      <c r="B874" s="32">
        <v>45677</v>
      </c>
      <c r="C874" s="33">
        <f t="shared" si="302"/>
        <v>6787</v>
      </c>
      <c r="D874" s="34">
        <f>1252</f>
        <v>1252</v>
      </c>
      <c r="E874" s="34"/>
      <c r="F874" s="34">
        <f t="shared" si="306"/>
        <v>1252</v>
      </c>
      <c r="G874" s="12"/>
      <c r="H874" s="12"/>
      <c r="I874" s="12"/>
      <c r="J874" s="12">
        <f t="shared" si="297"/>
        <v>1252</v>
      </c>
      <c r="L874" s="10">
        <v>8</v>
      </c>
      <c r="M874" s="32">
        <v>45677</v>
      </c>
      <c r="N874" s="33">
        <f t="shared" si="303"/>
        <v>7646</v>
      </c>
      <c r="O874" s="34">
        <f>2504+34</f>
        <v>2538</v>
      </c>
      <c r="P874" s="34"/>
      <c r="Q874" s="34">
        <f t="shared" si="298"/>
        <v>2538</v>
      </c>
      <c r="R874" s="12"/>
      <c r="S874" s="12"/>
      <c r="T874" s="12"/>
      <c r="U874" s="12">
        <f t="shared" si="299"/>
        <v>2538</v>
      </c>
      <c r="W874" s="10">
        <v>8</v>
      </c>
      <c r="X874" s="32">
        <v>45677</v>
      </c>
      <c r="Y874" s="33">
        <f t="shared" si="304"/>
        <v>6900</v>
      </c>
      <c r="Z874" s="34">
        <f>626*90+596*10+205*4</f>
        <v>63120</v>
      </c>
      <c r="AA874">
        <v>-832</v>
      </c>
      <c r="AB874" s="34">
        <f t="shared" si="305"/>
        <v>62288</v>
      </c>
      <c r="AC874" s="12"/>
      <c r="AD874" s="12"/>
      <c r="AE874" s="12">
        <v>-1221</v>
      </c>
      <c r="AF874" s="12">
        <f t="shared" si="301"/>
        <v>61067</v>
      </c>
    </row>
    <row r="875" spans="1:32" x14ac:dyDescent="0.25">
      <c r="A875" s="10">
        <v>9</v>
      </c>
      <c r="B875" s="32">
        <v>45677</v>
      </c>
      <c r="C875" s="33">
        <f t="shared" si="302"/>
        <v>6788</v>
      </c>
      <c r="D875" s="34">
        <f>626*2+614+674+17+674</f>
        <v>3231</v>
      </c>
      <c r="E875" s="34"/>
      <c r="F875" s="34">
        <f t="shared" si="306"/>
        <v>3231</v>
      </c>
      <c r="G875" s="12"/>
      <c r="H875" s="12">
        <v>57</v>
      </c>
      <c r="I875" s="12"/>
      <c r="J875" s="12">
        <f t="shared" si="297"/>
        <v>3288</v>
      </c>
      <c r="L875" s="10">
        <v>9</v>
      </c>
      <c r="M875" s="32">
        <v>45677</v>
      </c>
      <c r="N875" s="33">
        <f t="shared" si="303"/>
        <v>7647</v>
      </c>
      <c r="O875" s="34">
        <f>2504+614+34</f>
        <v>3152</v>
      </c>
      <c r="P875" s="34"/>
      <c r="Q875" s="34">
        <f t="shared" si="298"/>
        <v>3152</v>
      </c>
      <c r="R875" s="12"/>
      <c r="S875" s="12"/>
      <c r="T875" s="12"/>
      <c r="U875" s="12">
        <f t="shared" si="299"/>
        <v>3152</v>
      </c>
      <c r="W875" s="10">
        <v>9</v>
      </c>
      <c r="X875" s="32">
        <v>45677</v>
      </c>
      <c r="Y875" s="33">
        <f t="shared" si="304"/>
        <v>6901</v>
      </c>
      <c r="Z875">
        <f>626*3+614*2+596*3+51+1102</f>
        <v>6047</v>
      </c>
      <c r="AA875" s="34"/>
      <c r="AB875" s="34">
        <f t="shared" si="305"/>
        <v>6047</v>
      </c>
      <c r="AC875" s="12"/>
      <c r="AD875" s="66"/>
      <c r="AE875" s="12"/>
      <c r="AF875" s="12">
        <f t="shared" si="301"/>
        <v>6047</v>
      </c>
    </row>
    <row r="876" spans="1:32" x14ac:dyDescent="0.25">
      <c r="A876" s="10">
        <v>10</v>
      </c>
      <c r="B876" s="32">
        <v>45677</v>
      </c>
      <c r="C876" s="33">
        <f t="shared" si="302"/>
        <v>6789</v>
      </c>
      <c r="D876" s="34">
        <f>626+9</f>
        <v>635</v>
      </c>
      <c r="E876" s="34"/>
      <c r="F876" s="34">
        <f t="shared" si="306"/>
        <v>635</v>
      </c>
      <c r="G876" s="12"/>
      <c r="H876" s="12"/>
      <c r="I876" s="12"/>
      <c r="J876" s="12">
        <f t="shared" si="297"/>
        <v>635</v>
      </c>
      <c r="L876" s="10">
        <v>10</v>
      </c>
      <c r="M876" s="32">
        <v>45677</v>
      </c>
      <c r="N876" s="33">
        <f t="shared" si="303"/>
        <v>7648</v>
      </c>
      <c r="O876" s="34">
        <f>1878+614+25.5</f>
        <v>2517.5</v>
      </c>
      <c r="P876" s="34"/>
      <c r="Q876" s="34">
        <f t="shared" si="298"/>
        <v>2517.5</v>
      </c>
      <c r="R876" s="12"/>
      <c r="S876" s="12"/>
      <c r="T876" s="12"/>
      <c r="U876" s="12">
        <f t="shared" si="299"/>
        <v>2517.5</v>
      </c>
      <c r="W876" s="10">
        <v>10</v>
      </c>
      <c r="X876" s="32">
        <v>45677</v>
      </c>
      <c r="Y876" s="33">
        <f t="shared" si="304"/>
        <v>6902</v>
      </c>
      <c r="Z876" s="34">
        <f>626*20+596*5+205</f>
        <v>15705</v>
      </c>
      <c r="AA876" s="34"/>
      <c r="AB876" s="34">
        <f t="shared" si="305"/>
        <v>15705</v>
      </c>
      <c r="AC876" s="12"/>
      <c r="AD876" s="12">
        <v>918</v>
      </c>
      <c r="AE876" s="12"/>
      <c r="AF876" s="12">
        <f t="shared" si="301"/>
        <v>16623</v>
      </c>
    </row>
    <row r="877" spans="1:32" x14ac:dyDescent="0.25">
      <c r="A877" s="10">
        <v>11</v>
      </c>
      <c r="B877" s="32">
        <v>45677</v>
      </c>
      <c r="C877" s="33">
        <f t="shared" si="302"/>
        <v>6790</v>
      </c>
      <c r="D877" s="34">
        <f>626*5+614*2+43</f>
        <v>4401</v>
      </c>
      <c r="E877" s="34"/>
      <c r="F877" s="34">
        <f t="shared" si="306"/>
        <v>4401</v>
      </c>
      <c r="G877" s="12"/>
      <c r="H877" s="12"/>
      <c r="I877" s="12"/>
      <c r="J877" s="12">
        <f t="shared" si="297"/>
        <v>4401</v>
      </c>
      <c r="L877" s="10">
        <v>11</v>
      </c>
      <c r="M877" s="32">
        <v>45677</v>
      </c>
      <c r="N877" s="33">
        <f t="shared" si="303"/>
        <v>7649</v>
      </c>
      <c r="O877" s="34">
        <f>626*216+2050</f>
        <v>137266</v>
      </c>
      <c r="P877" s="34">
        <v>-2034</v>
      </c>
      <c r="Q877" s="34">
        <f t="shared" si="298"/>
        <v>135232</v>
      </c>
      <c r="R877" s="12"/>
      <c r="S877" s="12"/>
      <c r="T877" s="12">
        <v>-10191</v>
      </c>
      <c r="U877" s="12">
        <f t="shared" si="299"/>
        <v>125041</v>
      </c>
      <c r="W877" s="10">
        <v>11</v>
      </c>
      <c r="X877" s="32">
        <v>45677</v>
      </c>
      <c r="Y877" s="33">
        <f t="shared" si="304"/>
        <v>6903</v>
      </c>
      <c r="Z877" s="34">
        <f>626*8+614+5960+205</f>
        <v>11787</v>
      </c>
      <c r="AA877" s="34"/>
      <c r="AB877" s="34">
        <f t="shared" ref="AB877:AB899" si="307">SUM(Z877:AA877)</f>
        <v>11787</v>
      </c>
      <c r="AC877" s="12"/>
      <c r="AD877" s="12"/>
      <c r="AE877" s="12">
        <v>-1887</v>
      </c>
      <c r="AF877" s="12">
        <f t="shared" si="301"/>
        <v>9900</v>
      </c>
    </row>
    <row r="878" spans="1:32" x14ac:dyDescent="0.25">
      <c r="A878" s="10">
        <v>12</v>
      </c>
      <c r="B878" s="32">
        <v>45677</v>
      </c>
      <c r="C878" s="33">
        <f t="shared" si="302"/>
        <v>6791</v>
      </c>
      <c r="D878" s="34">
        <f>626*3+26</f>
        <v>1904</v>
      </c>
      <c r="E878" s="34"/>
      <c r="F878" s="34">
        <f t="shared" si="306"/>
        <v>1904</v>
      </c>
      <c r="G878" s="12"/>
      <c r="H878" s="12"/>
      <c r="I878" s="12"/>
      <c r="J878" s="12">
        <f t="shared" si="297"/>
        <v>1904</v>
      </c>
      <c r="L878" s="10">
        <v>12</v>
      </c>
      <c r="M878" s="32">
        <v>45677</v>
      </c>
      <c r="N878" s="33">
        <f t="shared" si="303"/>
        <v>7650</v>
      </c>
      <c r="O878" s="34">
        <f>626*170+913*5+596*30+1708</f>
        <v>130573</v>
      </c>
      <c r="P878" s="34">
        <v>-1917</v>
      </c>
      <c r="Q878" s="34">
        <f t="shared" si="298"/>
        <v>128656</v>
      </c>
      <c r="R878" s="12"/>
      <c r="S878" s="12"/>
      <c r="T878" s="12">
        <f>-18489</f>
        <v>-18489</v>
      </c>
      <c r="U878" s="12">
        <f t="shared" si="299"/>
        <v>110167</v>
      </c>
      <c r="W878" s="10">
        <v>12</v>
      </c>
      <c r="X878" s="32"/>
      <c r="Y878" s="11" t="s">
        <v>28</v>
      </c>
      <c r="Z878" s="34"/>
      <c r="AA878" s="34"/>
      <c r="AB878" s="34">
        <f t="shared" si="307"/>
        <v>0</v>
      </c>
      <c r="AC878" s="12"/>
      <c r="AD878" s="12"/>
      <c r="AE878" s="12"/>
      <c r="AF878" s="12">
        <f t="shared" si="301"/>
        <v>0</v>
      </c>
    </row>
    <row r="879" spans="1:32" x14ac:dyDescent="0.25">
      <c r="A879" s="10">
        <v>13</v>
      </c>
      <c r="B879" s="32">
        <v>45677</v>
      </c>
      <c r="C879" s="33">
        <f t="shared" si="302"/>
        <v>6792</v>
      </c>
      <c r="D879" s="34">
        <f>626*5+614+596+51</f>
        <v>4391</v>
      </c>
      <c r="E879" s="34"/>
      <c r="F879" s="34">
        <f t="shared" si="306"/>
        <v>4391</v>
      </c>
      <c r="G879" s="12"/>
      <c r="H879" s="12"/>
      <c r="I879" s="12"/>
      <c r="J879" s="12">
        <f t="shared" si="297"/>
        <v>4391</v>
      </c>
      <c r="L879" s="10">
        <v>13</v>
      </c>
      <c r="M879" s="32"/>
      <c r="N879" s="11" t="s">
        <v>28</v>
      </c>
      <c r="O879" s="34"/>
      <c r="P879" s="34"/>
      <c r="Q879" s="34">
        <f t="shared" si="298"/>
        <v>0</v>
      </c>
      <c r="R879" s="12"/>
      <c r="S879" s="12"/>
      <c r="T879" s="12"/>
      <c r="U879" s="12">
        <f t="shared" si="299"/>
        <v>0</v>
      </c>
      <c r="W879" s="10">
        <v>13</v>
      </c>
      <c r="X879" s="32"/>
      <c r="Y879" s="33"/>
      <c r="Z879" s="34"/>
      <c r="AA879" s="34"/>
      <c r="AB879" s="34">
        <f t="shared" si="307"/>
        <v>0</v>
      </c>
      <c r="AC879" s="12"/>
      <c r="AD879" s="12"/>
      <c r="AE879" s="12"/>
      <c r="AF879" s="12">
        <f t="shared" si="301"/>
        <v>0</v>
      </c>
    </row>
    <row r="880" spans="1:32" x14ac:dyDescent="0.25">
      <c r="A880" s="10">
        <v>14</v>
      </c>
      <c r="B880" s="32">
        <v>45677</v>
      </c>
      <c r="C880" s="33">
        <f t="shared" si="302"/>
        <v>6793</v>
      </c>
      <c r="D880" s="34">
        <f>1878+26</f>
        <v>1904</v>
      </c>
      <c r="E880" s="34"/>
      <c r="F880" s="34">
        <f t="shared" si="306"/>
        <v>1904</v>
      </c>
      <c r="G880" s="12"/>
      <c r="H880" s="12">
        <v>4.5</v>
      </c>
      <c r="I880" s="12"/>
      <c r="J880" s="12">
        <f t="shared" si="297"/>
        <v>1908.5</v>
      </c>
      <c r="L880" s="10">
        <v>14</v>
      </c>
      <c r="M880" s="32"/>
      <c r="N880" s="33"/>
      <c r="O880" s="34"/>
      <c r="P880" s="34"/>
      <c r="Q880" s="34">
        <f t="shared" si="298"/>
        <v>0</v>
      </c>
      <c r="R880" s="12"/>
      <c r="S880" s="12"/>
      <c r="T880" s="12"/>
      <c r="U880" s="12">
        <f t="shared" si="299"/>
        <v>0</v>
      </c>
      <c r="W880" s="10">
        <v>14</v>
      </c>
      <c r="X880" s="32"/>
      <c r="Y880" s="33"/>
      <c r="AA880" s="34"/>
      <c r="AB880" s="34">
        <f t="shared" si="307"/>
        <v>0</v>
      </c>
      <c r="AC880" s="12"/>
      <c r="AD880" s="12"/>
      <c r="AE880" s="12"/>
      <c r="AF880" s="12">
        <f t="shared" si="301"/>
        <v>0</v>
      </c>
    </row>
    <row r="881" spans="1:32" x14ac:dyDescent="0.25">
      <c r="A881" s="10">
        <v>15</v>
      </c>
      <c r="B881" s="32">
        <v>45677</v>
      </c>
      <c r="C881" s="33">
        <f t="shared" si="302"/>
        <v>6794</v>
      </c>
      <c r="D881" s="34">
        <f>626*2+614+1192+34</f>
        <v>3092</v>
      </c>
      <c r="E881" s="34"/>
      <c r="F881" s="34">
        <f t="shared" si="306"/>
        <v>3092</v>
      </c>
      <c r="G881" s="12"/>
      <c r="H881" s="12"/>
      <c r="I881" s="12"/>
      <c r="J881" s="12">
        <f t="shared" si="297"/>
        <v>3092</v>
      </c>
      <c r="L881" s="10">
        <v>15</v>
      </c>
      <c r="M881" s="32"/>
      <c r="N881" s="33"/>
      <c r="O881" s="34"/>
      <c r="P881" s="34"/>
      <c r="Q881" s="34">
        <f t="shared" si="298"/>
        <v>0</v>
      </c>
      <c r="R881" s="12"/>
      <c r="S881" s="12"/>
      <c r="T881" s="12"/>
      <c r="U881" s="12">
        <f t="shared" si="299"/>
        <v>0</v>
      </c>
      <c r="W881" s="10">
        <v>15</v>
      </c>
      <c r="X881" s="32"/>
      <c r="Y881" s="33"/>
      <c r="Z881" s="34"/>
      <c r="AA881" s="34"/>
      <c r="AB881" s="34">
        <f t="shared" si="307"/>
        <v>0</v>
      </c>
      <c r="AC881" s="12"/>
      <c r="AD881" s="12"/>
      <c r="AE881" s="12"/>
      <c r="AF881" s="12">
        <f t="shared" si="301"/>
        <v>0</v>
      </c>
    </row>
    <row r="882" spans="1:32" x14ac:dyDescent="0.25">
      <c r="A882" s="10">
        <v>16</v>
      </c>
      <c r="B882" s="32">
        <v>45677</v>
      </c>
      <c r="C882" s="33">
        <f t="shared" si="302"/>
        <v>6795</v>
      </c>
      <c r="D882" s="34">
        <f>820</f>
        <v>820</v>
      </c>
      <c r="E882" s="34"/>
      <c r="F882" s="34">
        <f t="shared" si="306"/>
        <v>820</v>
      </c>
      <c r="G882" s="12"/>
      <c r="H882" s="12"/>
      <c r="I882" s="12">
        <v>-156</v>
      </c>
      <c r="J882" s="12">
        <f t="shared" si="297"/>
        <v>664</v>
      </c>
      <c r="L882" s="10">
        <v>16</v>
      </c>
      <c r="M882" s="32"/>
      <c r="N882" s="33"/>
      <c r="O882" s="34"/>
      <c r="P882" s="34"/>
      <c r="Q882" s="34">
        <f t="shared" si="298"/>
        <v>0</v>
      </c>
      <c r="R882" s="12"/>
      <c r="S882" s="12"/>
      <c r="T882" s="12"/>
      <c r="U882" s="12">
        <f t="shared" si="299"/>
        <v>0</v>
      </c>
      <c r="W882" s="10">
        <v>16</v>
      </c>
      <c r="X882" s="32"/>
      <c r="Y882" s="33"/>
      <c r="Z882" s="34"/>
      <c r="AA882" s="34"/>
      <c r="AB882" s="34">
        <f t="shared" si="307"/>
        <v>0</v>
      </c>
      <c r="AC882" s="12"/>
      <c r="AD882" s="12"/>
      <c r="AE882" s="12"/>
      <c r="AF882" s="12">
        <f t="shared" si="301"/>
        <v>0</v>
      </c>
    </row>
    <row r="883" spans="1:32" x14ac:dyDescent="0.25">
      <c r="A883" s="10">
        <v>17</v>
      </c>
      <c r="B883" s="32">
        <v>45677</v>
      </c>
      <c r="C883" s="33">
        <f t="shared" si="302"/>
        <v>6796</v>
      </c>
      <c r="D883" s="37">
        <f>674*3</f>
        <v>2022</v>
      </c>
      <c r="E883" s="34"/>
      <c r="F883" s="34">
        <f t="shared" si="306"/>
        <v>2022</v>
      </c>
      <c r="G883" s="12"/>
      <c r="H883" s="12">
        <v>14</v>
      </c>
      <c r="I883" s="12"/>
      <c r="J883" s="12">
        <f t="shared" si="297"/>
        <v>2036</v>
      </c>
      <c r="L883" s="10">
        <v>17</v>
      </c>
      <c r="M883" s="32"/>
      <c r="N883" s="33"/>
      <c r="O883" s="37"/>
      <c r="P883" s="34"/>
      <c r="Q883" s="34">
        <f t="shared" si="298"/>
        <v>0</v>
      </c>
      <c r="R883" s="12"/>
      <c r="S883" s="12"/>
      <c r="T883" s="12"/>
      <c r="U883" s="12">
        <f t="shared" si="299"/>
        <v>0</v>
      </c>
      <c r="W883" s="10">
        <v>17</v>
      </c>
      <c r="X883" s="32"/>
      <c r="Y883" s="33"/>
      <c r="Z883" s="37"/>
      <c r="AA883" s="34"/>
      <c r="AB883" s="34">
        <f t="shared" si="307"/>
        <v>0</v>
      </c>
      <c r="AC883" s="12"/>
      <c r="AD883" s="12"/>
      <c r="AE883" s="12"/>
      <c r="AF883" s="12">
        <f t="shared" si="301"/>
        <v>0</v>
      </c>
    </row>
    <row r="884" spans="1:32" x14ac:dyDescent="0.25">
      <c r="A884" s="10">
        <v>18</v>
      </c>
      <c r="B884" s="32">
        <v>45677</v>
      </c>
      <c r="C884" s="33">
        <f t="shared" si="302"/>
        <v>6797</v>
      </c>
      <c r="D884" s="34">
        <f>626*150+674*5+596*40+10*852+205*8+650*2</f>
        <v>132570</v>
      </c>
      <c r="E884" s="34">
        <v>-1935</v>
      </c>
      <c r="F884" s="34">
        <f t="shared" si="306"/>
        <v>130635</v>
      </c>
      <c r="G884" s="12"/>
      <c r="H884" s="12">
        <v>1854</v>
      </c>
      <c r="I884" s="12"/>
      <c r="J884" s="12">
        <f t="shared" si="297"/>
        <v>132489</v>
      </c>
      <c r="L884" s="10">
        <v>18</v>
      </c>
      <c r="M884" s="32"/>
      <c r="N884" s="33"/>
      <c r="O884" s="34"/>
      <c r="P884" s="34"/>
      <c r="Q884" s="34">
        <f t="shared" si="298"/>
        <v>0</v>
      </c>
      <c r="R884" s="12"/>
      <c r="S884" s="12"/>
      <c r="T884" s="12"/>
      <c r="U884" s="12">
        <f t="shared" si="299"/>
        <v>0</v>
      </c>
      <c r="W884" s="10">
        <v>18</v>
      </c>
      <c r="X884" s="32"/>
      <c r="Y884" s="33"/>
      <c r="Z884" s="34"/>
      <c r="AA884" s="34"/>
      <c r="AB884" s="34">
        <f t="shared" si="307"/>
        <v>0</v>
      </c>
      <c r="AC884" s="12"/>
      <c r="AD884" s="12"/>
      <c r="AE884" s="12"/>
      <c r="AF884" s="12">
        <f t="shared" si="301"/>
        <v>0</v>
      </c>
    </row>
    <row r="885" spans="1:32" x14ac:dyDescent="0.25">
      <c r="A885" s="10">
        <v>19</v>
      </c>
      <c r="B885" s="32">
        <v>45677</v>
      </c>
      <c r="C885" s="33">
        <f t="shared" si="302"/>
        <v>6798</v>
      </c>
      <c r="D885" s="34">
        <f>626*3+596+34</f>
        <v>2508</v>
      </c>
      <c r="E885" s="34"/>
      <c r="F885" s="34">
        <f t="shared" si="306"/>
        <v>2508</v>
      </c>
      <c r="G885" s="12"/>
      <c r="H885" s="12">
        <v>59</v>
      </c>
      <c r="I885" s="12"/>
      <c r="J885" s="12">
        <f t="shared" si="297"/>
        <v>2567</v>
      </c>
      <c r="L885" s="10">
        <v>19</v>
      </c>
      <c r="M885" s="32"/>
      <c r="N885" s="33"/>
      <c r="O885" s="34"/>
      <c r="P885" s="34"/>
      <c r="Q885" s="34">
        <f t="shared" si="298"/>
        <v>0</v>
      </c>
      <c r="R885" s="12"/>
      <c r="S885" s="12"/>
      <c r="T885" s="12"/>
      <c r="U885" s="12">
        <f t="shared" si="299"/>
        <v>0</v>
      </c>
      <c r="W885" s="10">
        <v>19</v>
      </c>
      <c r="X885" s="32"/>
      <c r="Y885" s="33"/>
      <c r="Z885" s="34"/>
      <c r="AA885" s="34"/>
      <c r="AB885" s="34">
        <f t="shared" si="307"/>
        <v>0</v>
      </c>
      <c r="AC885" s="12"/>
      <c r="AD885" s="12"/>
      <c r="AE885" s="12"/>
      <c r="AF885" s="12">
        <f t="shared" si="301"/>
        <v>0</v>
      </c>
    </row>
    <row r="886" spans="1:32" x14ac:dyDescent="0.25">
      <c r="A886" s="10">
        <v>20</v>
      </c>
      <c r="B886" s="32">
        <v>45677</v>
      </c>
      <c r="C886" s="33">
        <f t="shared" si="302"/>
        <v>6799</v>
      </c>
      <c r="D886" s="34">
        <f>1230</f>
        <v>1230</v>
      </c>
      <c r="E886" s="34"/>
      <c r="F886" s="34">
        <f t="shared" si="306"/>
        <v>1230</v>
      </c>
      <c r="G886" s="12"/>
      <c r="H886" s="12">
        <v>21</v>
      </c>
      <c r="I886" s="12"/>
      <c r="J886" s="12">
        <f t="shared" si="297"/>
        <v>1251</v>
      </c>
      <c r="L886" s="10">
        <v>20</v>
      </c>
      <c r="M886" s="32"/>
      <c r="N886" s="33"/>
      <c r="O886" s="34"/>
      <c r="P886" s="34"/>
      <c r="Q886" s="34">
        <f t="shared" si="298"/>
        <v>0</v>
      </c>
      <c r="R886" s="12"/>
      <c r="S886" s="12"/>
      <c r="T886" s="12"/>
      <c r="U886" s="12">
        <f t="shared" si="299"/>
        <v>0</v>
      </c>
      <c r="W886" s="10">
        <v>20</v>
      </c>
      <c r="X886" s="32"/>
      <c r="Y886" s="33"/>
      <c r="Z886" s="34"/>
      <c r="AA886" s="34"/>
      <c r="AB886" s="34">
        <f t="shared" si="307"/>
        <v>0</v>
      </c>
      <c r="AC886" s="12"/>
      <c r="AD886" s="12"/>
      <c r="AE886" s="12"/>
      <c r="AF886" s="12">
        <f t="shared" si="301"/>
        <v>0</v>
      </c>
    </row>
    <row r="887" spans="1:32" x14ac:dyDescent="0.25">
      <c r="A887" s="10">
        <v>21</v>
      </c>
      <c r="B887" s="32"/>
      <c r="C887" s="11" t="s">
        <v>28</v>
      </c>
      <c r="D887" s="50"/>
      <c r="E887" s="33"/>
      <c r="F887" s="34">
        <f t="shared" si="306"/>
        <v>0</v>
      </c>
      <c r="G887" s="10"/>
      <c r="H887" s="10"/>
      <c r="I887" s="10"/>
      <c r="J887" s="12">
        <f t="shared" si="297"/>
        <v>0</v>
      </c>
      <c r="L887" s="10">
        <v>21</v>
      </c>
      <c r="M887" s="32"/>
      <c r="O887" s="50"/>
      <c r="P887" s="33"/>
      <c r="Q887" s="34">
        <f t="shared" si="298"/>
        <v>0</v>
      </c>
      <c r="R887" s="10"/>
      <c r="S887" s="10"/>
      <c r="T887" s="10"/>
      <c r="U887" s="12">
        <f t="shared" si="299"/>
        <v>0</v>
      </c>
      <c r="W887" s="10">
        <v>21</v>
      </c>
      <c r="X887" s="32"/>
      <c r="Y887" s="33"/>
      <c r="Z887" s="50"/>
      <c r="AA887" s="33"/>
      <c r="AB887" s="34">
        <f t="shared" si="307"/>
        <v>0</v>
      </c>
      <c r="AC887" s="10"/>
      <c r="AD887" s="10"/>
      <c r="AE887" s="10"/>
      <c r="AF887" s="12">
        <f t="shared" si="301"/>
        <v>0</v>
      </c>
    </row>
    <row r="888" spans="1:32" x14ac:dyDescent="0.25">
      <c r="A888" s="10">
        <v>22</v>
      </c>
      <c r="B888" s="32"/>
      <c r="C888" s="33"/>
      <c r="D888" s="49"/>
      <c r="E888" s="33"/>
      <c r="F888" s="34">
        <f t="shared" si="306"/>
        <v>0</v>
      </c>
      <c r="G888" s="10"/>
      <c r="H888" s="10"/>
      <c r="I888" s="10"/>
      <c r="J888" s="12">
        <f t="shared" si="297"/>
        <v>0</v>
      </c>
      <c r="L888" s="10">
        <v>22</v>
      </c>
      <c r="M888" s="32"/>
      <c r="N888" s="33"/>
      <c r="O888" s="49"/>
      <c r="P888" s="33"/>
      <c r="Q888" s="34">
        <f t="shared" si="298"/>
        <v>0</v>
      </c>
      <c r="R888" s="10"/>
      <c r="S888" s="10"/>
      <c r="T888" s="10"/>
      <c r="U888" s="12">
        <f t="shared" si="299"/>
        <v>0</v>
      </c>
      <c r="W888" s="10">
        <v>22</v>
      </c>
      <c r="X888" s="32"/>
      <c r="Z888" s="49"/>
      <c r="AA888" s="33"/>
      <c r="AB888" s="34">
        <f t="shared" si="307"/>
        <v>0</v>
      </c>
      <c r="AC888" s="10"/>
      <c r="AD888" s="10"/>
      <c r="AE888" s="10"/>
      <c r="AF888" s="12">
        <f t="shared" si="301"/>
        <v>0</v>
      </c>
    </row>
    <row r="889" spans="1:32" x14ac:dyDescent="0.25">
      <c r="A889" s="10">
        <v>23</v>
      </c>
      <c r="B889" s="32"/>
      <c r="C889" s="33"/>
      <c r="D889" s="51"/>
      <c r="E889"/>
      <c r="F889" s="34">
        <f t="shared" si="306"/>
        <v>0</v>
      </c>
      <c r="G889" s="10"/>
      <c r="H889" s="10"/>
      <c r="I889" s="10"/>
      <c r="J889" s="12">
        <f t="shared" si="297"/>
        <v>0</v>
      </c>
      <c r="L889" s="10">
        <v>23</v>
      </c>
      <c r="M889" s="32"/>
      <c r="N889" s="33"/>
      <c r="O889" s="51"/>
      <c r="Q889" s="34">
        <f t="shared" si="298"/>
        <v>0</v>
      </c>
      <c r="R889" s="10"/>
      <c r="S889" s="10"/>
      <c r="T889" s="10"/>
      <c r="U889" s="12">
        <f t="shared" si="299"/>
        <v>0</v>
      </c>
      <c r="W889" s="10">
        <v>23</v>
      </c>
      <c r="X889" s="32"/>
      <c r="Y889" s="33"/>
      <c r="Z889" s="51"/>
      <c r="AB889" s="34">
        <f t="shared" si="307"/>
        <v>0</v>
      </c>
      <c r="AC889" s="10"/>
      <c r="AD889" s="10"/>
      <c r="AE889" s="10"/>
      <c r="AF889" s="12">
        <f t="shared" si="301"/>
        <v>0</v>
      </c>
    </row>
    <row r="890" spans="1:32" x14ac:dyDescent="0.25">
      <c r="A890" s="10">
        <v>24</v>
      </c>
      <c r="B890" s="32"/>
      <c r="C890" s="33"/>
      <c r="D890" s="51"/>
      <c r="E890" s="33"/>
      <c r="F890" s="34">
        <f t="shared" si="306"/>
        <v>0</v>
      </c>
      <c r="G890" s="10"/>
      <c r="H890" s="10"/>
      <c r="I890" s="10"/>
      <c r="J890" s="12">
        <f t="shared" si="297"/>
        <v>0</v>
      </c>
      <c r="L890" s="10">
        <v>24</v>
      </c>
      <c r="M890" s="32"/>
      <c r="N890" s="33"/>
      <c r="O890" s="51"/>
      <c r="P890" s="33"/>
      <c r="Q890" s="34">
        <f t="shared" si="298"/>
        <v>0</v>
      </c>
      <c r="R890" s="10"/>
      <c r="S890" s="10"/>
      <c r="T890" s="10"/>
      <c r="U890" s="12">
        <f t="shared" si="299"/>
        <v>0</v>
      </c>
      <c r="W890" s="10">
        <v>24</v>
      </c>
      <c r="X890" s="32"/>
      <c r="Y890" s="33"/>
      <c r="Z890" s="51"/>
      <c r="AA890" s="33"/>
      <c r="AB890" s="34">
        <f t="shared" si="307"/>
        <v>0</v>
      </c>
      <c r="AC890" s="10"/>
      <c r="AD890" s="10"/>
      <c r="AE890" s="10"/>
      <c r="AF890" s="12">
        <f t="shared" si="301"/>
        <v>0</v>
      </c>
    </row>
    <row r="891" spans="1:32" x14ac:dyDescent="0.25">
      <c r="A891" s="10">
        <v>25</v>
      </c>
      <c r="B891" s="32"/>
      <c r="C891" s="33"/>
      <c r="D891" s="51"/>
      <c r="E891" s="33"/>
      <c r="F891" s="34">
        <f t="shared" si="306"/>
        <v>0</v>
      </c>
      <c r="G891" s="10"/>
      <c r="H891" s="10"/>
      <c r="I891" s="10"/>
      <c r="J891" s="12">
        <f t="shared" si="297"/>
        <v>0</v>
      </c>
      <c r="L891" s="10">
        <v>25</v>
      </c>
      <c r="M891" s="32"/>
      <c r="N891" s="33"/>
      <c r="O891" s="51"/>
      <c r="P891" s="33"/>
      <c r="Q891" s="34">
        <f t="shared" si="298"/>
        <v>0</v>
      </c>
      <c r="R891" s="10"/>
      <c r="S891" s="10"/>
      <c r="T891" s="10"/>
      <c r="U891" s="12">
        <f t="shared" si="299"/>
        <v>0</v>
      </c>
      <c r="W891" s="10">
        <v>25</v>
      </c>
      <c r="X891" s="32"/>
      <c r="Y891" s="33"/>
      <c r="Z891" s="51"/>
      <c r="AA891" s="33"/>
      <c r="AB891" s="34">
        <f t="shared" si="307"/>
        <v>0</v>
      </c>
      <c r="AC891" s="10"/>
      <c r="AD891" s="10"/>
      <c r="AE891" s="10"/>
      <c r="AF891" s="12">
        <f t="shared" si="301"/>
        <v>0</v>
      </c>
    </row>
    <row r="892" spans="1:32" x14ac:dyDescent="0.25">
      <c r="A892" s="10">
        <v>26</v>
      </c>
      <c r="B892" s="32"/>
      <c r="C892" s="33"/>
      <c r="D892" s="51"/>
      <c r="E892" s="33"/>
      <c r="F892" s="34">
        <f t="shared" si="306"/>
        <v>0</v>
      </c>
      <c r="G892" s="10"/>
      <c r="H892" s="10"/>
      <c r="I892" s="10"/>
      <c r="J892" s="12">
        <f t="shared" si="297"/>
        <v>0</v>
      </c>
      <c r="L892" s="10">
        <v>26</v>
      </c>
      <c r="M892" s="32"/>
      <c r="N892" s="33"/>
      <c r="O892" s="51"/>
      <c r="P892" s="33"/>
      <c r="Q892" s="34">
        <f t="shared" si="298"/>
        <v>0</v>
      </c>
      <c r="R892" s="10"/>
      <c r="S892" s="10"/>
      <c r="T892" s="10"/>
      <c r="U892" s="12">
        <f t="shared" si="299"/>
        <v>0</v>
      </c>
      <c r="W892" s="10">
        <v>26</v>
      </c>
      <c r="X892" s="32"/>
      <c r="Y892" s="33"/>
      <c r="Z892" s="51"/>
      <c r="AA892" s="33"/>
      <c r="AB892" s="34">
        <f t="shared" si="307"/>
        <v>0</v>
      </c>
      <c r="AC892" s="10"/>
      <c r="AD892" s="10"/>
      <c r="AE892" s="10"/>
      <c r="AF892" s="12">
        <f t="shared" si="301"/>
        <v>0</v>
      </c>
    </row>
    <row r="893" spans="1:32" x14ac:dyDescent="0.25">
      <c r="A893" s="10">
        <v>27</v>
      </c>
      <c r="B893" s="32"/>
      <c r="C893" s="33"/>
      <c r="D893" s="51"/>
      <c r="E893" s="33"/>
      <c r="F893" s="34">
        <f t="shared" si="306"/>
        <v>0</v>
      </c>
      <c r="G893" s="10"/>
      <c r="H893" s="10"/>
      <c r="I893" s="10"/>
      <c r="J893" s="12">
        <f t="shared" si="297"/>
        <v>0</v>
      </c>
      <c r="L893" s="10">
        <v>27</v>
      </c>
      <c r="M893" s="32"/>
      <c r="N893" s="33"/>
      <c r="O893" s="51"/>
      <c r="P893" s="33"/>
      <c r="Q893" s="34">
        <f t="shared" si="298"/>
        <v>0</v>
      </c>
      <c r="R893" s="10"/>
      <c r="S893" s="10"/>
      <c r="T893" s="10"/>
      <c r="U893" s="12">
        <f t="shared" si="299"/>
        <v>0</v>
      </c>
      <c r="W893" s="10">
        <v>27</v>
      </c>
      <c r="X893" s="32"/>
      <c r="Y893" s="33"/>
      <c r="Z893" s="51"/>
      <c r="AA893" s="33"/>
      <c r="AB893" s="34">
        <f t="shared" si="307"/>
        <v>0</v>
      </c>
      <c r="AC893" s="10"/>
      <c r="AD893" s="10"/>
      <c r="AE893" s="10"/>
      <c r="AF893" s="12">
        <f t="shared" si="301"/>
        <v>0</v>
      </c>
    </row>
    <row r="894" spans="1:32" x14ac:dyDescent="0.25">
      <c r="A894" s="10">
        <v>28</v>
      </c>
      <c r="B894" s="32"/>
      <c r="C894" s="33"/>
      <c r="D894" s="51"/>
      <c r="E894" s="33"/>
      <c r="F894" s="34">
        <f t="shared" si="306"/>
        <v>0</v>
      </c>
      <c r="G894" s="10"/>
      <c r="H894" s="10"/>
      <c r="I894" s="10"/>
      <c r="J894" s="12">
        <f t="shared" si="297"/>
        <v>0</v>
      </c>
      <c r="L894" s="10">
        <v>28</v>
      </c>
      <c r="M894" s="32"/>
      <c r="N894" s="33"/>
      <c r="O894" s="51"/>
      <c r="P894" s="33"/>
      <c r="Q894" s="34">
        <f t="shared" si="298"/>
        <v>0</v>
      </c>
      <c r="R894" s="10"/>
      <c r="S894" s="10"/>
      <c r="T894" s="10"/>
      <c r="U894" s="12">
        <f t="shared" si="299"/>
        <v>0</v>
      </c>
      <c r="W894" s="10">
        <v>28</v>
      </c>
      <c r="X894" s="32"/>
      <c r="Z894" s="51"/>
      <c r="AA894" s="33"/>
      <c r="AB894" s="34">
        <f t="shared" si="307"/>
        <v>0</v>
      </c>
      <c r="AC894" s="10"/>
      <c r="AD894" s="10"/>
      <c r="AE894" s="10"/>
      <c r="AF894" s="12">
        <f t="shared" si="301"/>
        <v>0</v>
      </c>
    </row>
    <row r="895" spans="1:32" x14ac:dyDescent="0.25">
      <c r="A895" s="10">
        <v>29</v>
      </c>
      <c r="B895" s="32"/>
      <c r="C895"/>
      <c r="D895" s="51"/>
      <c r="E895" s="33"/>
      <c r="F895" s="34">
        <f t="shared" si="306"/>
        <v>0</v>
      </c>
      <c r="G895" s="10"/>
      <c r="H895" s="10"/>
      <c r="I895" s="10"/>
      <c r="J895" s="12">
        <f t="shared" si="297"/>
        <v>0</v>
      </c>
      <c r="L895" s="10">
        <v>29</v>
      </c>
      <c r="M895" s="32"/>
      <c r="O895" s="51"/>
      <c r="P895" s="33"/>
      <c r="Q895" s="34">
        <f t="shared" si="298"/>
        <v>0</v>
      </c>
      <c r="R895" s="10"/>
      <c r="S895" s="10"/>
      <c r="T895" s="10"/>
      <c r="U895" s="12">
        <f t="shared" si="299"/>
        <v>0</v>
      </c>
      <c r="W895" s="10">
        <v>29</v>
      </c>
      <c r="X895" s="32"/>
      <c r="Z895" s="51"/>
      <c r="AA895" s="33"/>
      <c r="AB895" s="34">
        <f t="shared" si="307"/>
        <v>0</v>
      </c>
      <c r="AC895" s="10"/>
      <c r="AD895" s="10"/>
      <c r="AE895" s="10"/>
      <c r="AF895" s="12">
        <f t="shared" si="301"/>
        <v>0</v>
      </c>
    </row>
    <row r="896" spans="1:32" x14ac:dyDescent="0.25">
      <c r="A896" s="10">
        <v>30</v>
      </c>
      <c r="B896" s="32"/>
      <c r="C896" s="33"/>
      <c r="D896" s="51"/>
      <c r="E896" s="33"/>
      <c r="F896" s="34">
        <f t="shared" si="306"/>
        <v>0</v>
      </c>
      <c r="G896" s="10"/>
      <c r="H896" s="10"/>
      <c r="I896" s="10"/>
      <c r="J896" s="12">
        <f t="shared" si="297"/>
        <v>0</v>
      </c>
      <c r="L896" s="10">
        <v>30</v>
      </c>
      <c r="M896" s="32"/>
      <c r="N896" s="33"/>
      <c r="O896" s="51"/>
      <c r="P896" s="33"/>
      <c r="Q896" s="34">
        <f t="shared" si="298"/>
        <v>0</v>
      </c>
      <c r="R896" s="10"/>
      <c r="S896" s="10"/>
      <c r="T896" s="10"/>
      <c r="U896" s="12">
        <f t="shared" si="299"/>
        <v>0</v>
      </c>
      <c r="W896" s="10">
        <v>30</v>
      </c>
      <c r="X896" s="32"/>
      <c r="Y896" s="33"/>
      <c r="Z896" s="51"/>
      <c r="AA896" s="33"/>
      <c r="AB896" s="34">
        <f t="shared" si="307"/>
        <v>0</v>
      </c>
      <c r="AC896" s="10"/>
      <c r="AD896" s="10"/>
      <c r="AE896" s="10"/>
      <c r="AF896" s="12">
        <f t="shared" si="301"/>
        <v>0</v>
      </c>
    </row>
    <row r="897" spans="1:32" x14ac:dyDescent="0.25">
      <c r="A897" s="10">
        <v>31</v>
      </c>
      <c r="B897" s="32"/>
      <c r="C897" s="33"/>
      <c r="D897" s="51"/>
      <c r="E897" s="33"/>
      <c r="F897" s="34">
        <f t="shared" si="306"/>
        <v>0</v>
      </c>
      <c r="G897" s="10"/>
      <c r="H897" s="10"/>
      <c r="I897" s="10"/>
      <c r="J897" s="12">
        <f t="shared" si="297"/>
        <v>0</v>
      </c>
      <c r="L897" s="10">
        <v>31</v>
      </c>
      <c r="M897" s="32"/>
      <c r="N897" s="33"/>
      <c r="O897" s="51"/>
      <c r="P897" s="33"/>
      <c r="Q897" s="34">
        <f t="shared" si="298"/>
        <v>0</v>
      </c>
      <c r="R897" s="10"/>
      <c r="S897" s="10"/>
      <c r="T897" s="10"/>
      <c r="U897" s="12">
        <f t="shared" si="299"/>
        <v>0</v>
      </c>
      <c r="W897" s="10">
        <v>31</v>
      </c>
      <c r="X897" s="32"/>
      <c r="Z897" s="51"/>
      <c r="AA897" s="33"/>
      <c r="AB897" s="34">
        <f t="shared" si="307"/>
        <v>0</v>
      </c>
      <c r="AC897" s="10"/>
      <c r="AD897" s="10"/>
      <c r="AE897" s="10"/>
      <c r="AF897" s="12">
        <f t="shared" si="301"/>
        <v>0</v>
      </c>
    </row>
    <row r="898" spans="1:32" x14ac:dyDescent="0.25">
      <c r="A898" s="10">
        <v>32</v>
      </c>
      <c r="B898" s="32"/>
      <c r="C898" s="33"/>
      <c r="D898" s="51"/>
      <c r="E898" s="33"/>
      <c r="F898" s="34">
        <f t="shared" si="306"/>
        <v>0</v>
      </c>
      <c r="G898" s="10"/>
      <c r="H898" s="10"/>
      <c r="I898" s="10"/>
      <c r="J898" s="12">
        <f t="shared" si="297"/>
        <v>0</v>
      </c>
      <c r="L898" s="10">
        <v>32</v>
      </c>
      <c r="M898" s="32"/>
      <c r="N898" s="33"/>
      <c r="O898" s="51"/>
      <c r="P898" s="33"/>
      <c r="Q898" s="34">
        <f t="shared" si="298"/>
        <v>0</v>
      </c>
      <c r="R898" s="10"/>
      <c r="S898" s="10"/>
      <c r="T898" s="10"/>
      <c r="U898" s="12">
        <f t="shared" si="299"/>
        <v>0</v>
      </c>
      <c r="W898" s="10">
        <v>32</v>
      </c>
      <c r="X898" s="32"/>
      <c r="Y898" s="33"/>
      <c r="Z898" s="51"/>
      <c r="AA898" s="33"/>
      <c r="AB898" s="34">
        <f t="shared" si="307"/>
        <v>0</v>
      </c>
      <c r="AC898" s="10"/>
      <c r="AD898" s="10"/>
      <c r="AE898" s="10"/>
      <c r="AF898" s="12">
        <f t="shared" si="301"/>
        <v>0</v>
      </c>
    </row>
    <row r="899" spans="1:32" x14ac:dyDescent="0.25">
      <c r="A899" s="10">
        <v>33</v>
      </c>
      <c r="B899" s="32"/>
      <c r="C899" s="33"/>
      <c r="D899" s="51"/>
      <c r="E899" s="33"/>
      <c r="F899" s="34">
        <f t="shared" si="306"/>
        <v>0</v>
      </c>
      <c r="G899" s="10"/>
      <c r="H899" s="10"/>
      <c r="I899" s="10"/>
      <c r="J899" s="12">
        <f t="shared" si="297"/>
        <v>0</v>
      </c>
      <c r="L899" s="10">
        <v>33</v>
      </c>
      <c r="M899" s="32"/>
      <c r="N899" s="33"/>
      <c r="O899" s="51"/>
      <c r="P899" s="33"/>
      <c r="Q899" s="34">
        <f t="shared" si="298"/>
        <v>0</v>
      </c>
      <c r="R899" s="10"/>
      <c r="S899" s="10"/>
      <c r="T899" s="10"/>
      <c r="U899" s="12">
        <f t="shared" si="299"/>
        <v>0</v>
      </c>
      <c r="W899" s="10">
        <v>33</v>
      </c>
      <c r="X899" s="32"/>
      <c r="Y899" s="33"/>
      <c r="Z899" s="51"/>
      <c r="AA899" s="33"/>
      <c r="AB899" s="34">
        <f t="shared" si="307"/>
        <v>0</v>
      </c>
      <c r="AC899" s="10"/>
      <c r="AD899" s="10"/>
      <c r="AE899" s="10"/>
      <c r="AF899" s="12">
        <f t="shared" si="301"/>
        <v>0</v>
      </c>
    </row>
    <row r="900" spans="1:32" x14ac:dyDescent="0.25">
      <c r="A900" s="10">
        <v>34</v>
      </c>
      <c r="B900" s="32"/>
      <c r="C900" s="33"/>
      <c r="D900" s="51"/>
      <c r="E900" s="33"/>
      <c r="F900" s="34">
        <f t="shared" ref="F900:F905" si="308">SUM(D900:E900)</f>
        <v>0</v>
      </c>
      <c r="G900" s="10"/>
      <c r="H900" s="10"/>
      <c r="I900" s="10"/>
      <c r="J900" s="12">
        <f t="shared" si="297"/>
        <v>0</v>
      </c>
      <c r="L900" s="10">
        <v>34</v>
      </c>
      <c r="M900" s="32"/>
      <c r="N900" s="33"/>
      <c r="O900" s="51"/>
      <c r="P900" s="33"/>
      <c r="Q900" s="34">
        <f t="shared" ref="Q900:Q905" si="309">SUM(O900:P900)</f>
        <v>0</v>
      </c>
      <c r="R900" s="10"/>
      <c r="S900" s="10"/>
      <c r="T900" s="10"/>
      <c r="U900" s="12">
        <f t="shared" si="299"/>
        <v>0</v>
      </c>
      <c r="W900" s="10">
        <v>34</v>
      </c>
      <c r="X900" s="32"/>
      <c r="Y900" s="33"/>
      <c r="Z900" s="51"/>
      <c r="AA900" s="33"/>
      <c r="AB900" s="34">
        <f t="shared" ref="AB900:AB905" si="310">SUM(Z900:AA900)</f>
        <v>0</v>
      </c>
      <c r="AC900" s="10"/>
      <c r="AD900" s="10"/>
      <c r="AE900" s="10"/>
      <c r="AF900" s="12">
        <f t="shared" si="301"/>
        <v>0</v>
      </c>
    </row>
    <row r="901" spans="1:32" x14ac:dyDescent="0.25">
      <c r="A901" s="10">
        <v>35</v>
      </c>
      <c r="B901" s="32"/>
      <c r="C901" s="33"/>
      <c r="D901" s="51"/>
      <c r="E901" s="33"/>
      <c r="F901" s="34">
        <f t="shared" si="308"/>
        <v>0</v>
      </c>
      <c r="G901" s="10"/>
      <c r="H901" s="10"/>
      <c r="I901" s="10"/>
      <c r="J901" s="12">
        <f t="shared" si="297"/>
        <v>0</v>
      </c>
      <c r="L901" s="10">
        <v>35</v>
      </c>
      <c r="M901" s="32"/>
      <c r="N901" s="33"/>
      <c r="O901" s="51"/>
      <c r="P901" s="33"/>
      <c r="Q901" s="34">
        <f t="shared" si="309"/>
        <v>0</v>
      </c>
      <c r="R901" s="10"/>
      <c r="S901" s="10"/>
      <c r="T901" s="10"/>
      <c r="U901" s="12">
        <f t="shared" si="299"/>
        <v>0</v>
      </c>
      <c r="W901" s="10">
        <v>35</v>
      </c>
      <c r="X901" s="32"/>
      <c r="Y901" s="33"/>
      <c r="Z901" s="51"/>
      <c r="AA901" s="33"/>
      <c r="AB901" s="34">
        <f t="shared" si="310"/>
        <v>0</v>
      </c>
      <c r="AC901" s="10"/>
      <c r="AD901" s="10"/>
      <c r="AE901" s="10"/>
      <c r="AF901" s="12">
        <f t="shared" si="301"/>
        <v>0</v>
      </c>
    </row>
    <row r="902" spans="1:32" x14ac:dyDescent="0.25">
      <c r="A902" s="10">
        <v>36</v>
      </c>
      <c r="B902" s="32"/>
      <c r="C902" s="33"/>
      <c r="D902" s="51"/>
      <c r="E902" s="33"/>
      <c r="F902" s="34">
        <f t="shared" si="308"/>
        <v>0</v>
      </c>
      <c r="G902" s="10"/>
      <c r="H902" s="10"/>
      <c r="I902" s="10"/>
      <c r="J902" s="12">
        <f t="shared" si="297"/>
        <v>0</v>
      </c>
      <c r="L902" s="10">
        <v>36</v>
      </c>
      <c r="M902" s="32"/>
      <c r="N902" s="33"/>
      <c r="O902" s="51"/>
      <c r="P902" s="33"/>
      <c r="Q902" s="34">
        <f t="shared" si="309"/>
        <v>0</v>
      </c>
      <c r="R902" s="10"/>
      <c r="S902" s="10"/>
      <c r="T902" s="10"/>
      <c r="U902" s="12">
        <f t="shared" si="299"/>
        <v>0</v>
      </c>
      <c r="W902" s="10">
        <v>36</v>
      </c>
      <c r="X902" s="32"/>
      <c r="Y902" s="33"/>
      <c r="Z902" s="51"/>
      <c r="AA902" s="33"/>
      <c r="AB902" s="34">
        <f t="shared" si="310"/>
        <v>0</v>
      </c>
      <c r="AC902" s="10"/>
      <c r="AD902" s="10"/>
      <c r="AE902" s="10"/>
      <c r="AF902" s="12">
        <f t="shared" si="301"/>
        <v>0</v>
      </c>
    </row>
    <row r="903" spans="1:32" x14ac:dyDescent="0.25">
      <c r="A903" s="10">
        <v>37</v>
      </c>
      <c r="B903" s="32"/>
      <c r="C903" s="33"/>
      <c r="D903" s="51"/>
      <c r="E903" s="33"/>
      <c r="F903" s="34">
        <f t="shared" si="308"/>
        <v>0</v>
      </c>
      <c r="G903" s="10"/>
      <c r="H903" s="10"/>
      <c r="I903" s="10"/>
      <c r="J903" s="12">
        <f t="shared" si="297"/>
        <v>0</v>
      </c>
      <c r="L903" s="10">
        <v>37</v>
      </c>
      <c r="M903" s="32"/>
      <c r="N903" s="33"/>
      <c r="O903" s="51"/>
      <c r="P903" s="33"/>
      <c r="Q903" s="34">
        <f t="shared" si="309"/>
        <v>0</v>
      </c>
      <c r="R903" s="10"/>
      <c r="S903" s="10"/>
      <c r="T903" s="10"/>
      <c r="U903" s="12">
        <f t="shared" si="299"/>
        <v>0</v>
      </c>
      <c r="W903" s="10">
        <v>37</v>
      </c>
      <c r="X903" s="32"/>
      <c r="Y903" s="33"/>
      <c r="Z903" s="51"/>
      <c r="AA903" s="33"/>
      <c r="AB903" s="34">
        <f t="shared" si="310"/>
        <v>0</v>
      </c>
      <c r="AC903" s="10"/>
      <c r="AD903" s="10"/>
      <c r="AE903" s="10"/>
      <c r="AF903" s="12">
        <f t="shared" si="301"/>
        <v>0</v>
      </c>
    </row>
    <row r="904" spans="1:32" x14ac:dyDescent="0.25">
      <c r="A904" s="10">
        <v>38</v>
      </c>
      <c r="B904" s="32"/>
      <c r="C904" s="33"/>
      <c r="D904" s="51"/>
      <c r="E904" s="33"/>
      <c r="F904" s="34">
        <f t="shared" si="308"/>
        <v>0</v>
      </c>
      <c r="G904" s="10"/>
      <c r="H904" s="10"/>
      <c r="I904" s="10"/>
      <c r="J904" s="12">
        <f t="shared" si="297"/>
        <v>0</v>
      </c>
      <c r="L904" s="10">
        <v>38</v>
      </c>
      <c r="M904" s="32"/>
      <c r="N904" s="33"/>
      <c r="O904" s="51"/>
      <c r="P904" s="33"/>
      <c r="Q904" s="34">
        <f t="shared" si="309"/>
        <v>0</v>
      </c>
      <c r="R904" s="10"/>
      <c r="S904" s="10"/>
      <c r="T904" s="10"/>
      <c r="U904" s="12">
        <f t="shared" si="299"/>
        <v>0</v>
      </c>
      <c r="W904" s="10">
        <v>38</v>
      </c>
      <c r="X904" s="32"/>
      <c r="Y904" s="33"/>
      <c r="Z904" s="51"/>
      <c r="AA904" s="33"/>
      <c r="AB904" s="34">
        <f t="shared" si="310"/>
        <v>0</v>
      </c>
      <c r="AC904" s="10"/>
      <c r="AD904" s="10"/>
      <c r="AE904" s="10"/>
      <c r="AF904" s="12">
        <f t="shared" si="301"/>
        <v>0</v>
      </c>
    </row>
    <row r="905" spans="1:32" x14ac:dyDescent="0.25">
      <c r="A905" s="10">
        <v>39</v>
      </c>
      <c r="B905" s="32"/>
      <c r="C905" s="33"/>
      <c r="D905" s="51"/>
      <c r="E905" s="33"/>
      <c r="F905" s="34">
        <f t="shared" si="308"/>
        <v>0</v>
      </c>
      <c r="G905" s="10"/>
      <c r="H905" s="10"/>
      <c r="I905" s="10"/>
      <c r="J905" s="12">
        <f t="shared" si="297"/>
        <v>0</v>
      </c>
      <c r="L905" s="10">
        <v>39</v>
      </c>
      <c r="M905" s="32"/>
      <c r="N905" s="33"/>
      <c r="O905" s="51"/>
      <c r="P905" s="33"/>
      <c r="Q905" s="34">
        <f t="shared" si="309"/>
        <v>0</v>
      </c>
      <c r="R905" s="10"/>
      <c r="S905" s="10"/>
      <c r="T905" s="10"/>
      <c r="U905" s="12">
        <f t="shared" si="299"/>
        <v>0</v>
      </c>
      <c r="W905" s="10">
        <v>39</v>
      </c>
      <c r="X905" s="32"/>
      <c r="Y905" s="33"/>
      <c r="Z905" s="51"/>
      <c r="AA905" s="33"/>
      <c r="AB905" s="34">
        <f t="shared" si="310"/>
        <v>0</v>
      </c>
      <c r="AC905" s="10"/>
      <c r="AD905" s="10"/>
      <c r="AE905" s="10"/>
      <c r="AF905" s="12">
        <f t="shared" si="301"/>
        <v>0</v>
      </c>
    </row>
    <row r="906" spans="1:32" x14ac:dyDescent="0.25">
      <c r="A906" s="10"/>
      <c r="B906" s="32"/>
      <c r="C906"/>
      <c r="D906" s="51"/>
      <c r="E906" s="33"/>
      <c r="F906" s="34"/>
      <c r="G906" s="10"/>
      <c r="H906" s="10"/>
      <c r="I906" s="10"/>
      <c r="J906" s="12">
        <f t="shared" si="297"/>
        <v>0</v>
      </c>
      <c r="L906" s="10"/>
      <c r="M906" s="32"/>
      <c r="O906" s="51"/>
      <c r="P906" s="33"/>
      <c r="Q906" s="34"/>
      <c r="R906" s="10"/>
      <c r="S906" s="10"/>
      <c r="T906" s="10"/>
      <c r="U906" s="12">
        <f t="shared" si="299"/>
        <v>0</v>
      </c>
      <c r="W906" s="10"/>
      <c r="X906" s="32"/>
      <c r="Z906" s="51"/>
      <c r="AA906" s="33"/>
      <c r="AB906" s="34"/>
      <c r="AC906" s="10"/>
      <c r="AD906" s="10"/>
      <c r="AE906" s="10"/>
      <c r="AF906" s="12">
        <f t="shared" si="301"/>
        <v>0</v>
      </c>
    </row>
    <row r="907" spans="1:32" x14ac:dyDescent="0.25">
      <c r="A907" s="10"/>
      <c r="B907" s="32"/>
      <c r="C907" s="33"/>
      <c r="D907" s="51"/>
      <c r="E907" s="33"/>
      <c r="F907" s="34">
        <f t="shared" ref="F907" si="311">SUM(D907:E907)</f>
        <v>0</v>
      </c>
      <c r="G907" s="10"/>
      <c r="H907" s="10"/>
      <c r="I907" s="10"/>
      <c r="J907" s="12">
        <f t="shared" si="297"/>
        <v>0</v>
      </c>
      <c r="L907" s="10"/>
      <c r="M907" s="32"/>
      <c r="N907" s="33"/>
      <c r="O907" s="51"/>
      <c r="P907" s="33"/>
      <c r="Q907" s="34">
        <f t="shared" ref="Q907" si="312">SUM(O907:P907)</f>
        <v>0</v>
      </c>
      <c r="R907" s="10"/>
      <c r="S907" s="10"/>
      <c r="T907" s="10"/>
      <c r="U907" s="12">
        <f t="shared" si="299"/>
        <v>0</v>
      </c>
      <c r="W907" s="10"/>
      <c r="X907" s="32"/>
      <c r="Y907" s="33"/>
      <c r="Z907" s="51"/>
      <c r="AA907" s="33"/>
      <c r="AB907" s="34">
        <f t="shared" ref="AB907" si="313">SUM(Z907:AA907)</f>
        <v>0</v>
      </c>
      <c r="AC907" s="10"/>
      <c r="AD907" s="10"/>
      <c r="AE907" s="10"/>
      <c r="AF907" s="12">
        <f t="shared" si="301"/>
        <v>0</v>
      </c>
    </row>
    <row r="908" spans="1:32" x14ac:dyDescent="0.25">
      <c r="A908" s="10"/>
      <c r="B908" s="33"/>
      <c r="C908" s="33"/>
      <c r="D908" s="33"/>
      <c r="E908" s="33"/>
      <c r="F908" s="33"/>
      <c r="G908" s="10"/>
      <c r="H908" s="10"/>
      <c r="I908" s="10"/>
      <c r="J908" s="12">
        <f t="shared" si="297"/>
        <v>0</v>
      </c>
      <c r="L908" s="10"/>
      <c r="M908" s="33"/>
      <c r="N908" s="33"/>
      <c r="O908" s="33"/>
      <c r="P908" s="33"/>
      <c r="Q908" s="33"/>
      <c r="R908" s="10"/>
      <c r="S908" s="10"/>
      <c r="T908" s="10"/>
      <c r="U908" s="12">
        <f t="shared" si="299"/>
        <v>0</v>
      </c>
      <c r="W908" s="10"/>
      <c r="X908" s="33"/>
      <c r="Y908" s="33"/>
      <c r="Z908" s="33"/>
      <c r="AA908" s="33"/>
      <c r="AB908" s="33"/>
      <c r="AC908" s="10"/>
      <c r="AD908" s="10"/>
      <c r="AE908" s="10"/>
      <c r="AF908" s="12">
        <f t="shared" si="301"/>
        <v>0</v>
      </c>
    </row>
    <row r="909" spans="1:32" x14ac:dyDescent="0.25">
      <c r="B909" s="70"/>
      <c r="C909" s="70"/>
      <c r="D909" s="38"/>
      <c r="E909" s="38"/>
      <c r="F909" s="38"/>
      <c r="G909" s="39"/>
      <c r="H909" s="39"/>
      <c r="I909" s="39"/>
      <c r="J909" s="39"/>
      <c r="M909" s="70"/>
      <c r="N909" s="70"/>
      <c r="O909" s="38"/>
      <c r="P909" s="38"/>
      <c r="Q909" s="38"/>
      <c r="R909" s="39"/>
      <c r="S909" s="39"/>
      <c r="T909" s="39"/>
      <c r="U909" s="39"/>
      <c r="X909" s="70"/>
      <c r="Y909" s="70"/>
      <c r="Z909" s="38"/>
      <c r="AA909" s="38"/>
      <c r="AB909" s="38"/>
      <c r="AC909" s="39"/>
      <c r="AD909" s="39"/>
      <c r="AE909" s="39"/>
      <c r="AF909" s="39"/>
    </row>
    <row r="910" spans="1:32" x14ac:dyDescent="0.25">
      <c r="B910" s="70"/>
      <c r="C910" s="70"/>
      <c r="D910" s="40">
        <f>SUM(D867:D909)</f>
        <v>209518</v>
      </c>
      <c r="E910" s="40">
        <f>SUM(E867:E891)</f>
        <v>-1935</v>
      </c>
      <c r="F910" s="40">
        <f>SUM(F867:F909)</f>
        <v>207583</v>
      </c>
      <c r="G910" s="4"/>
      <c r="H910" s="43">
        <f>SUM(H867:H909)</f>
        <v>2144.5</v>
      </c>
      <c r="I910" s="43">
        <f>SUM(I867:I891)</f>
        <v>-156</v>
      </c>
      <c r="J910" s="44">
        <f>SUM(J867:J909)</f>
        <v>209571.5</v>
      </c>
      <c r="M910" s="70"/>
      <c r="N910" s="70"/>
      <c r="O910" s="40">
        <f>SUM(O867:O909)</f>
        <v>306469</v>
      </c>
      <c r="P910" s="40">
        <f>SUM(P867:P891)</f>
        <v>-3951</v>
      </c>
      <c r="Q910" s="40">
        <f>SUM(Q867:Q909)</f>
        <v>302518</v>
      </c>
      <c r="R910" s="4"/>
      <c r="S910" s="43">
        <f>SUM(S867:S909)</f>
        <v>54</v>
      </c>
      <c r="T910" s="43">
        <f>SUM(T867:T891)</f>
        <v>-30900</v>
      </c>
      <c r="U910" s="44">
        <f>SUM(U867:U909)</f>
        <v>271672</v>
      </c>
      <c r="X910" s="70"/>
      <c r="Y910" s="70"/>
      <c r="Z910" s="40">
        <f>SUM(Z867:Z909)</f>
        <v>251853</v>
      </c>
      <c r="AA910" s="40">
        <f>SUM(AA867:AA891)</f>
        <v>-2686</v>
      </c>
      <c r="AB910" s="40">
        <f>SUM(AB867:AB909)</f>
        <v>249167</v>
      </c>
      <c r="AC910" s="4"/>
      <c r="AD910" s="43">
        <f>SUM(AD867:AD909)</f>
        <v>958.5</v>
      </c>
      <c r="AE910" s="43">
        <f>SUM(AE867:AE891)</f>
        <v>-3108</v>
      </c>
      <c r="AF910" s="44">
        <f>SUM(AF867:AF909)</f>
        <v>247017.5</v>
      </c>
    </row>
    <row r="911" spans="1:32" x14ac:dyDescent="0.25">
      <c r="B911" s="70"/>
      <c r="C911" s="70"/>
      <c r="D911" s="45"/>
      <c r="E911" s="70"/>
      <c r="F911" s="70"/>
      <c r="M911" s="70"/>
      <c r="N911" s="70"/>
      <c r="O911" s="45"/>
      <c r="P911" s="70"/>
      <c r="Q911" s="70"/>
      <c r="X911" s="70"/>
      <c r="Y911" s="70"/>
      <c r="Z911" s="45"/>
      <c r="AA911" s="70"/>
      <c r="AB911" s="70"/>
    </row>
    <row r="912" spans="1:32" x14ac:dyDescent="0.25">
      <c r="B912" s="70"/>
      <c r="C912" s="70"/>
      <c r="D912" s="70"/>
      <c r="E912" s="70"/>
      <c r="F912" s="70"/>
      <c r="M912" s="70"/>
      <c r="N912" s="70"/>
      <c r="O912" s="70"/>
      <c r="P912" s="70"/>
      <c r="Q912" s="70"/>
      <c r="X912" s="70"/>
      <c r="Y912" s="70"/>
      <c r="Z912" s="70"/>
      <c r="AA912" s="70"/>
      <c r="AB912" s="70"/>
    </row>
    <row r="913" spans="1:32" x14ac:dyDescent="0.25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</row>
    <row r="914" spans="1:32" x14ac:dyDescent="0.25">
      <c r="A914" t="s">
        <v>0</v>
      </c>
      <c r="B914" s="70"/>
      <c r="C914" s="70"/>
      <c r="D914" s="70"/>
      <c r="E914" s="70"/>
      <c r="F914" s="70"/>
      <c r="L914" t="s">
        <v>0</v>
      </c>
      <c r="M914" s="70"/>
      <c r="N914" s="70"/>
      <c r="O914" s="70"/>
      <c r="P914" s="70"/>
      <c r="Q914" s="70"/>
      <c r="W914" t="s">
        <v>0</v>
      </c>
      <c r="X914" s="70"/>
      <c r="Y914" s="70"/>
      <c r="Z914" s="70"/>
      <c r="AA914" s="70"/>
      <c r="AB914" s="70"/>
    </row>
    <row r="915" spans="1:32" x14ac:dyDescent="0.25">
      <c r="A915" t="s">
        <v>30</v>
      </c>
      <c r="B915" s="70"/>
      <c r="C915" s="70"/>
      <c r="D915" s="70"/>
      <c r="E915" s="70"/>
      <c r="F915" s="70"/>
      <c r="L915" t="s">
        <v>30</v>
      </c>
      <c r="M915" s="70"/>
      <c r="N915" s="70"/>
      <c r="O915" s="70"/>
      <c r="P915" s="70"/>
      <c r="Q915" s="70"/>
      <c r="W915" t="s">
        <v>30</v>
      </c>
      <c r="X915" s="70"/>
      <c r="Y915" s="70"/>
      <c r="Z915" s="70"/>
      <c r="AA915" s="70"/>
      <c r="AB915" s="70"/>
    </row>
    <row r="916" spans="1:32" x14ac:dyDescent="0.25">
      <c r="B916" s="70"/>
      <c r="C916" s="70"/>
      <c r="D916" s="70"/>
      <c r="E916" s="70"/>
      <c r="F916" s="70"/>
      <c r="M916" s="70"/>
      <c r="N916" s="70"/>
      <c r="O916" s="70"/>
      <c r="P916" s="70"/>
      <c r="Q916" s="70"/>
      <c r="X916" s="70"/>
      <c r="Y916" s="70"/>
      <c r="Z916" s="70"/>
      <c r="AA916" s="70"/>
      <c r="AB916" s="70"/>
    </row>
    <row r="917" spans="1:32" x14ac:dyDescent="0.25">
      <c r="A917" s="4" t="s">
        <v>15</v>
      </c>
      <c r="B917" s="70"/>
      <c r="C917" s="70"/>
      <c r="D917" s="70"/>
      <c r="E917" s="70"/>
      <c r="F917" s="70"/>
      <c r="L917" s="4" t="s">
        <v>15</v>
      </c>
      <c r="M917" s="70"/>
      <c r="N917" s="70"/>
      <c r="O917" s="70"/>
      <c r="P917" s="70"/>
      <c r="Q917" s="70"/>
      <c r="W917" s="4" t="s">
        <v>15</v>
      </c>
      <c r="X917" s="70"/>
      <c r="Y917" s="70"/>
      <c r="Z917" s="70"/>
      <c r="AA917" s="70"/>
      <c r="AB917" s="70"/>
    </row>
    <row r="918" spans="1:32" x14ac:dyDescent="0.25">
      <c r="B918" s="70"/>
      <c r="C918" s="70"/>
      <c r="D918" s="70"/>
      <c r="E918" s="70"/>
      <c r="F918" s="70"/>
      <c r="M918" s="70"/>
      <c r="N918" s="70"/>
      <c r="O918" s="70"/>
      <c r="P918" s="70"/>
      <c r="Q918" s="70"/>
      <c r="X918" s="70"/>
      <c r="Y918" s="70"/>
      <c r="Z918" s="70"/>
      <c r="AA918" s="70"/>
      <c r="AB918" s="70"/>
    </row>
    <row r="919" spans="1:32" ht="15.75" x14ac:dyDescent="0.25">
      <c r="A919" t="s">
        <v>35</v>
      </c>
      <c r="B919" s="70"/>
      <c r="C919" s="70"/>
      <c r="D919" s="70"/>
      <c r="E919" s="70"/>
      <c r="F919" s="70"/>
      <c r="H919" s="70" t="s">
        <v>16</v>
      </c>
      <c r="I919" s="19">
        <v>1</v>
      </c>
      <c r="L919" t="s">
        <v>35</v>
      </c>
      <c r="M919" s="70"/>
      <c r="N919" s="70"/>
      <c r="O919" s="70"/>
      <c r="P919" s="70"/>
      <c r="Q919" s="70"/>
      <c r="S919" s="70" t="s">
        <v>16</v>
      </c>
      <c r="T919" s="19">
        <v>2</v>
      </c>
      <c r="W919" t="s">
        <v>35</v>
      </c>
      <c r="X919" s="70"/>
      <c r="Y919" s="70"/>
      <c r="Z919" s="70"/>
      <c r="AA919" s="70"/>
      <c r="AB919" s="70"/>
      <c r="AD919" s="70" t="s">
        <v>16</v>
      </c>
      <c r="AE919" s="20">
        <v>3</v>
      </c>
    </row>
    <row r="920" spans="1:32" x14ac:dyDescent="0.25">
      <c r="A920" s="21" t="s">
        <v>80</v>
      </c>
      <c r="B920" s="20"/>
      <c r="C920" s="70"/>
      <c r="D920" s="70"/>
      <c r="E920" s="70"/>
      <c r="F920" s="70"/>
      <c r="H920" s="22" t="s">
        <v>17</v>
      </c>
      <c r="I920" s="23" t="s">
        <v>46</v>
      </c>
      <c r="J920" s="24"/>
      <c r="L920" s="21" t="s">
        <v>80</v>
      </c>
      <c r="M920" s="20"/>
      <c r="N920" s="70"/>
      <c r="O920" s="70"/>
      <c r="P920" s="70"/>
      <c r="Q920" s="70"/>
      <c r="S920" s="22" t="s">
        <v>17</v>
      </c>
      <c r="T920" s="23" t="s">
        <v>34</v>
      </c>
      <c r="U920" s="24"/>
      <c r="W920" s="21" t="s">
        <v>80</v>
      </c>
      <c r="X920" s="20"/>
      <c r="Y920" s="70"/>
      <c r="Z920" s="70"/>
      <c r="AA920" s="70"/>
      <c r="AB920" s="70"/>
      <c r="AD920" s="22" t="s">
        <v>17</v>
      </c>
      <c r="AE920" s="23" t="s">
        <v>47</v>
      </c>
      <c r="AF920" s="24"/>
    </row>
    <row r="921" spans="1:32" x14ac:dyDescent="0.25">
      <c r="B921" s="70"/>
      <c r="C921" s="70"/>
      <c r="D921" s="70"/>
      <c r="E921" s="70"/>
      <c r="F921" s="70"/>
      <c r="M921" s="70"/>
      <c r="N921" s="70"/>
      <c r="O921" s="70"/>
      <c r="P921" s="70"/>
      <c r="Q921" s="70"/>
      <c r="X921" s="70"/>
      <c r="Y921" s="70"/>
      <c r="Z921" s="70"/>
      <c r="AA921" s="70"/>
      <c r="AB921" s="70"/>
    </row>
    <row r="922" spans="1:32" x14ac:dyDescent="0.25">
      <c r="B922" s="25"/>
      <c r="C922" s="26"/>
      <c r="D922" s="79" t="s">
        <v>18</v>
      </c>
      <c r="E922" s="79"/>
      <c r="F922" s="27"/>
      <c r="H922" s="77" t="s">
        <v>19</v>
      </c>
      <c r="I922" s="78"/>
      <c r="J922" s="75" t="s">
        <v>20</v>
      </c>
      <c r="M922" s="25"/>
      <c r="N922" s="26"/>
      <c r="O922" s="79" t="s">
        <v>18</v>
      </c>
      <c r="P922" s="79"/>
      <c r="Q922" s="27"/>
      <c r="S922" s="77" t="s">
        <v>19</v>
      </c>
      <c r="T922" s="78"/>
      <c r="U922" s="75" t="s">
        <v>20</v>
      </c>
      <c r="X922" s="25"/>
      <c r="Y922" s="26"/>
      <c r="Z922" s="79" t="s">
        <v>18</v>
      </c>
      <c r="AA922" s="79"/>
      <c r="AB922" s="27"/>
      <c r="AD922" s="77" t="s">
        <v>19</v>
      </c>
      <c r="AE922" s="78"/>
      <c r="AF922" s="75" t="s">
        <v>20</v>
      </c>
    </row>
    <row r="923" spans="1:32" ht="30" x14ac:dyDescent="0.25">
      <c r="B923" s="28" t="s">
        <v>21</v>
      </c>
      <c r="C923" s="28" t="s">
        <v>22</v>
      </c>
      <c r="D923" s="29" t="s">
        <v>23</v>
      </c>
      <c r="E923" s="30" t="s">
        <v>24</v>
      </c>
      <c r="F923" s="30" t="s">
        <v>25</v>
      </c>
      <c r="H923" s="31" t="s">
        <v>26</v>
      </c>
      <c r="I923" s="31" t="s">
        <v>27</v>
      </c>
      <c r="J923" s="76"/>
      <c r="M923" s="28" t="s">
        <v>21</v>
      </c>
      <c r="N923" s="28" t="s">
        <v>22</v>
      </c>
      <c r="O923" s="29" t="s">
        <v>23</v>
      </c>
      <c r="P923" s="30" t="s">
        <v>24</v>
      </c>
      <c r="Q923" s="30" t="s">
        <v>25</v>
      </c>
      <c r="S923" s="31" t="s">
        <v>26</v>
      </c>
      <c r="T923" s="31" t="s">
        <v>27</v>
      </c>
      <c r="U923" s="76"/>
      <c r="X923" s="28" t="s">
        <v>21</v>
      </c>
      <c r="Y923" s="28" t="s">
        <v>22</v>
      </c>
      <c r="Z923" s="29" t="s">
        <v>23</v>
      </c>
      <c r="AA923" s="30" t="s">
        <v>24</v>
      </c>
      <c r="AB923" s="30" t="s">
        <v>25</v>
      </c>
      <c r="AD923" s="31" t="s">
        <v>26</v>
      </c>
      <c r="AE923" s="31" t="s">
        <v>27</v>
      </c>
      <c r="AF923" s="76"/>
    </row>
    <row r="924" spans="1:32" x14ac:dyDescent="0.25">
      <c r="A924" s="10">
        <v>1</v>
      </c>
      <c r="B924" s="32">
        <v>45678</v>
      </c>
      <c r="C924" s="33">
        <v>7751</v>
      </c>
      <c r="D924" s="34">
        <f>626*170+596*30+205*8+650*2</f>
        <v>127240</v>
      </c>
      <c r="E924" s="34">
        <v>-1890</v>
      </c>
      <c r="F924" s="34">
        <f>SUM(D924:E924)</f>
        <v>125350</v>
      </c>
      <c r="G924" s="12"/>
      <c r="H924" s="12"/>
      <c r="I924" s="12">
        <v>-896.25</v>
      </c>
      <c r="J924" s="12">
        <f>SUM(F924:I924)</f>
        <v>124453.75</v>
      </c>
      <c r="L924" s="10">
        <v>1</v>
      </c>
      <c r="M924" s="32">
        <v>45678</v>
      </c>
      <c r="N924" s="33">
        <v>7215</v>
      </c>
      <c r="O924" s="34">
        <f>3130+42.5</f>
        <v>3172.5</v>
      </c>
      <c r="P924" s="34"/>
      <c r="Q924" s="34">
        <f>SUM(O924:P924)</f>
        <v>3172.5</v>
      </c>
      <c r="R924" s="12"/>
      <c r="S924" s="12"/>
      <c r="T924" s="12">
        <v>-1110</v>
      </c>
      <c r="U924" s="12">
        <f>SUM(Q924:T924)</f>
        <v>2062.5</v>
      </c>
      <c r="W924" s="10">
        <v>1</v>
      </c>
      <c r="X924" s="32">
        <v>45678</v>
      </c>
      <c r="Y924" s="33">
        <v>7654</v>
      </c>
      <c r="Z924" s="34">
        <f>674*5+614+596*4+34+650</f>
        <v>7052</v>
      </c>
      <c r="AA924" s="34"/>
      <c r="AB924" s="34">
        <f>SUM(Z924:AA924)</f>
        <v>7052</v>
      </c>
      <c r="AC924" s="12"/>
      <c r="AD924" s="12"/>
      <c r="AE924" s="12"/>
      <c r="AF924" s="12">
        <f>SUM(AB924:AE924)</f>
        <v>7052</v>
      </c>
    </row>
    <row r="925" spans="1:32" x14ac:dyDescent="0.25">
      <c r="A925" s="10">
        <v>2</v>
      </c>
      <c r="B925" s="32">
        <v>45678</v>
      </c>
      <c r="C925" s="33">
        <f>C924+1</f>
        <v>7752</v>
      </c>
      <c r="D925">
        <f>626*16+614*4+832+136+500</f>
        <v>13940</v>
      </c>
      <c r="E925" s="34"/>
      <c r="F925" s="34">
        <f t="shared" ref="F925:F928" si="314">SUM(D925:E925)</f>
        <v>13940</v>
      </c>
      <c r="G925" s="12"/>
      <c r="H925" s="12">
        <v>36</v>
      </c>
      <c r="I925" s="12"/>
      <c r="J925" s="12">
        <f t="shared" ref="J925:J965" si="315">SUM(F925:I925)</f>
        <v>13976</v>
      </c>
      <c r="L925" s="10">
        <v>2</v>
      </c>
      <c r="M925" s="32">
        <v>45678</v>
      </c>
      <c r="N925" s="33">
        <f>N924+1</f>
        <v>7216</v>
      </c>
      <c r="O925">
        <f>626*15+596*20+85</f>
        <v>21395</v>
      </c>
      <c r="P925" s="34"/>
      <c r="Q925" s="34">
        <f t="shared" ref="Q925:Q928" si="316">SUM(O925:P925)</f>
        <v>21395</v>
      </c>
      <c r="R925" s="12"/>
      <c r="S925" s="12"/>
      <c r="T925" s="12"/>
      <c r="U925" s="12">
        <f t="shared" ref="U925:U965" si="317">SUM(Q925:T925)</f>
        <v>21395</v>
      </c>
      <c r="W925" s="10">
        <v>2</v>
      </c>
      <c r="X925" s="32">
        <v>45678</v>
      </c>
      <c r="Y925" s="33">
        <f>Y924+1</f>
        <v>7655</v>
      </c>
      <c r="Z925" s="34">
        <f>614+596+8.5</f>
        <v>1218.5</v>
      </c>
      <c r="AA925" s="34"/>
      <c r="AB925" s="34">
        <f t="shared" ref="AB925:AB927" si="318">SUM(Z925:AA925)</f>
        <v>1218.5</v>
      </c>
      <c r="AC925" s="12"/>
      <c r="AD925" s="12"/>
      <c r="AE925" s="12"/>
      <c r="AF925" s="12">
        <f t="shared" ref="AF925:AF965" si="319">SUM(AB925:AE925)</f>
        <v>1218.5</v>
      </c>
    </row>
    <row r="926" spans="1:32" x14ac:dyDescent="0.25">
      <c r="A926" s="10">
        <v>3</v>
      </c>
      <c r="B926" s="32">
        <v>45678</v>
      </c>
      <c r="C926" s="33">
        <f t="shared" ref="C926:C939" si="320">C925+1</f>
        <v>7753</v>
      </c>
      <c r="D926" s="34">
        <f>626*15+1228+8.5*15</f>
        <v>10745.5</v>
      </c>
      <c r="E926" s="34"/>
      <c r="F926" s="34">
        <f t="shared" si="314"/>
        <v>10745.5</v>
      </c>
      <c r="G926" s="12"/>
      <c r="H926" s="12"/>
      <c r="I926" s="12">
        <v>-1.5</v>
      </c>
      <c r="J926" s="12">
        <f t="shared" si="315"/>
        <v>10744</v>
      </c>
      <c r="L926" s="10">
        <v>3</v>
      </c>
      <c r="M926" s="32">
        <v>45678</v>
      </c>
      <c r="N926" s="33">
        <f t="shared" ref="N926:N943" si="321">N925+1</f>
        <v>7217</v>
      </c>
      <c r="O926" s="34">
        <f>626+1192+25.5</f>
        <v>1843.5</v>
      </c>
      <c r="P926" s="34"/>
      <c r="Q926" s="34">
        <f t="shared" si="316"/>
        <v>1843.5</v>
      </c>
      <c r="R926" s="12"/>
      <c r="S926" s="12"/>
      <c r="T926" s="12"/>
      <c r="U926" s="12">
        <f t="shared" si="317"/>
        <v>1843.5</v>
      </c>
      <c r="W926" s="10">
        <v>3</v>
      </c>
      <c r="X926" s="32">
        <v>45678</v>
      </c>
      <c r="Y926" s="33">
        <f t="shared" ref="Y926:Y947" si="322">Y925+1</f>
        <v>7656</v>
      </c>
      <c r="Z926" s="34">
        <f>626*6+674+51</f>
        <v>4481</v>
      </c>
      <c r="AA926" s="34"/>
      <c r="AB926" s="34">
        <f t="shared" si="318"/>
        <v>4481</v>
      </c>
      <c r="AC926" s="12"/>
      <c r="AD926" s="12">
        <v>54</v>
      </c>
      <c r="AE926" s="12"/>
      <c r="AF926" s="12">
        <f t="shared" si="319"/>
        <v>4535</v>
      </c>
    </row>
    <row r="927" spans="1:32" x14ac:dyDescent="0.25">
      <c r="A927" s="10">
        <v>4</v>
      </c>
      <c r="B927" s="32">
        <v>45678</v>
      </c>
      <c r="C927" s="33">
        <f t="shared" si="320"/>
        <v>7754</v>
      </c>
      <c r="D927" s="34">
        <f>626*10+85</f>
        <v>6345</v>
      </c>
      <c r="E927" s="34"/>
      <c r="F927" s="34">
        <f t="shared" si="314"/>
        <v>6345</v>
      </c>
      <c r="G927" s="12"/>
      <c r="H927" s="12"/>
      <c r="I927" s="12"/>
      <c r="J927" s="12">
        <f t="shared" si="315"/>
        <v>6345</v>
      </c>
      <c r="L927" s="10">
        <v>4</v>
      </c>
      <c r="M927" s="32">
        <v>45678</v>
      </c>
      <c r="N927" s="33">
        <f t="shared" si="321"/>
        <v>7218</v>
      </c>
      <c r="O927" s="34">
        <f>1252+1192+34</f>
        <v>2478</v>
      </c>
      <c r="P927" s="34"/>
      <c r="Q927" s="34">
        <f t="shared" si="316"/>
        <v>2478</v>
      </c>
      <c r="R927" s="12"/>
      <c r="S927" s="12"/>
      <c r="T927" s="12"/>
      <c r="U927" s="12">
        <f t="shared" si="317"/>
        <v>2478</v>
      </c>
      <c r="W927" s="10">
        <v>4</v>
      </c>
      <c r="X927" s="32">
        <v>45678</v>
      </c>
      <c r="Y927" s="33">
        <f t="shared" si="322"/>
        <v>7657</v>
      </c>
      <c r="Z927" s="34">
        <f>626*5+8.5*5</f>
        <v>3172.5</v>
      </c>
      <c r="AA927" s="34"/>
      <c r="AB927" s="34">
        <f t="shared" si="318"/>
        <v>3172.5</v>
      </c>
      <c r="AC927" s="12"/>
      <c r="AE927" s="12"/>
      <c r="AF927" s="12">
        <f t="shared" si="319"/>
        <v>3172.5</v>
      </c>
    </row>
    <row r="928" spans="1:32" x14ac:dyDescent="0.25">
      <c r="A928" s="10">
        <v>5</v>
      </c>
      <c r="B928" s="32">
        <v>45678</v>
      </c>
      <c r="C928" s="33">
        <f t="shared" si="320"/>
        <v>7755</v>
      </c>
      <c r="D928" s="34">
        <f>626*16+596*3+1102+650*4</f>
        <v>15506</v>
      </c>
      <c r="E928" s="34"/>
      <c r="F928" s="34">
        <f t="shared" si="314"/>
        <v>15506</v>
      </c>
      <c r="G928" s="12"/>
      <c r="H928" s="12">
        <v>236</v>
      </c>
      <c r="I928" s="12"/>
      <c r="J928" s="12">
        <f t="shared" si="315"/>
        <v>15742</v>
      </c>
      <c r="L928" s="10">
        <v>5</v>
      </c>
      <c r="M928" s="32">
        <v>45678</v>
      </c>
      <c r="N928" s="33">
        <f t="shared" si="321"/>
        <v>7219</v>
      </c>
      <c r="O928" s="34">
        <f>626*18+153</f>
        <v>11421</v>
      </c>
      <c r="P928" s="34"/>
      <c r="Q928" s="34">
        <f t="shared" si="316"/>
        <v>11421</v>
      </c>
      <c r="R928" s="12"/>
      <c r="S928" s="12">
        <v>40.5</v>
      </c>
      <c r="T928" s="12"/>
      <c r="U928" s="12">
        <f t="shared" si="317"/>
        <v>11461.5</v>
      </c>
      <c r="W928" s="10">
        <v>5</v>
      </c>
      <c r="X928" s="32">
        <v>45678</v>
      </c>
      <c r="Y928" s="33">
        <f t="shared" si="322"/>
        <v>7658</v>
      </c>
      <c r="Z928" s="34">
        <f>626*7+59.5</f>
        <v>4441.5</v>
      </c>
      <c r="AA928" s="34"/>
      <c r="AB928" s="34">
        <f t="shared" ref="AB928:AB933" si="323">SUM(Z928:AA928)</f>
        <v>4441.5</v>
      </c>
      <c r="AC928" s="12"/>
      <c r="AD928" s="12"/>
      <c r="AE928" s="12"/>
      <c r="AF928" s="12">
        <f t="shared" si="319"/>
        <v>4441.5</v>
      </c>
    </row>
    <row r="929" spans="1:32" x14ac:dyDescent="0.25">
      <c r="A929" s="10">
        <v>6</v>
      </c>
      <c r="B929" s="32">
        <v>45678</v>
      </c>
      <c r="C929" s="33">
        <f t="shared" si="320"/>
        <v>7756</v>
      </c>
      <c r="D929" s="34">
        <f>626*5+42.5</f>
        <v>3172.5</v>
      </c>
      <c r="E929" s="34"/>
      <c r="F929" s="34">
        <f>SUM(D929:E929)</f>
        <v>3172.5</v>
      </c>
      <c r="G929" s="12"/>
      <c r="H929" s="12"/>
      <c r="I929" s="10">
        <v>-1.5</v>
      </c>
      <c r="J929" s="12">
        <f t="shared" si="315"/>
        <v>3171</v>
      </c>
      <c r="L929" s="10">
        <v>6</v>
      </c>
      <c r="M929" s="32">
        <v>45678</v>
      </c>
      <c r="N929" s="33">
        <f t="shared" si="321"/>
        <v>7220</v>
      </c>
      <c r="O929" s="34">
        <f>2504+34+674</f>
        <v>3212</v>
      </c>
      <c r="P929" s="34"/>
      <c r="Q929" s="34">
        <f>SUM(O929:P929)</f>
        <v>3212</v>
      </c>
      <c r="R929" s="12"/>
      <c r="S929" s="12">
        <v>3</v>
      </c>
      <c r="T929" s="10"/>
      <c r="U929" s="12">
        <f t="shared" si="317"/>
        <v>3215</v>
      </c>
      <c r="W929" s="10">
        <v>6</v>
      </c>
      <c r="X929" s="32">
        <v>45678</v>
      </c>
      <c r="Y929" s="33">
        <f t="shared" si="322"/>
        <v>7659</v>
      </c>
      <c r="Z929" s="34">
        <f>832</f>
        <v>832</v>
      </c>
      <c r="AA929" s="34"/>
      <c r="AB929" s="34">
        <f t="shared" si="323"/>
        <v>832</v>
      </c>
      <c r="AC929" s="12"/>
      <c r="AD929" s="12"/>
      <c r="AE929" s="10"/>
      <c r="AF929" s="12">
        <f t="shared" si="319"/>
        <v>832</v>
      </c>
    </row>
    <row r="930" spans="1:32" x14ac:dyDescent="0.25">
      <c r="A930" s="10">
        <v>7</v>
      </c>
      <c r="B930" s="32">
        <v>45678</v>
      </c>
      <c r="C930" s="33">
        <f t="shared" si="320"/>
        <v>7757</v>
      </c>
      <c r="D930" s="34">
        <f>626*10+614*3+596*2+205</f>
        <v>9499</v>
      </c>
      <c r="E930" s="34"/>
      <c r="F930" s="34">
        <f t="shared" ref="F930:F956" si="324">SUM(D930:E930)</f>
        <v>9499</v>
      </c>
      <c r="G930" s="12"/>
      <c r="H930" s="12"/>
      <c r="I930" s="12">
        <v>-888</v>
      </c>
      <c r="J930" s="12">
        <f t="shared" si="315"/>
        <v>8611</v>
      </c>
      <c r="L930" s="10">
        <v>7</v>
      </c>
      <c r="M930" s="32">
        <v>45678</v>
      </c>
      <c r="N930" s="33">
        <f t="shared" si="321"/>
        <v>7221</v>
      </c>
      <c r="O930" s="34">
        <f>4382+1192+85+674</f>
        <v>6333</v>
      </c>
      <c r="P930" s="34"/>
      <c r="Q930" s="34">
        <f t="shared" ref="Q930:Q956" si="325">SUM(O930:P930)</f>
        <v>6333</v>
      </c>
      <c r="R930" s="12"/>
      <c r="S930" s="12"/>
      <c r="T930" s="12"/>
      <c r="U930" s="12">
        <f t="shared" si="317"/>
        <v>6333</v>
      </c>
      <c r="W930" s="10">
        <v>7</v>
      </c>
      <c r="X930" s="32">
        <v>45678</v>
      </c>
      <c r="Y930" s="33">
        <f t="shared" si="322"/>
        <v>7660</v>
      </c>
      <c r="Z930" s="34">
        <f>626*2+674*2+17</f>
        <v>2617</v>
      </c>
      <c r="AA930" s="34"/>
      <c r="AB930" s="34">
        <f t="shared" si="323"/>
        <v>2617</v>
      </c>
      <c r="AC930" s="12"/>
      <c r="AD930" s="66"/>
      <c r="AE930" s="12"/>
      <c r="AF930" s="12">
        <f t="shared" si="319"/>
        <v>2617</v>
      </c>
    </row>
    <row r="931" spans="1:32" x14ac:dyDescent="0.25">
      <c r="A931" s="10">
        <v>8</v>
      </c>
      <c r="B931" s="32">
        <v>45678</v>
      </c>
      <c r="C931" s="33">
        <f t="shared" si="320"/>
        <v>7758</v>
      </c>
      <c r="D931" s="34">
        <f>626*3+596*2+43</f>
        <v>3113</v>
      </c>
      <c r="E931" s="34"/>
      <c r="F931" s="34">
        <f t="shared" si="324"/>
        <v>3113</v>
      </c>
      <c r="G931" s="12"/>
      <c r="H931" s="12"/>
      <c r="I931" s="12"/>
      <c r="J931" s="12">
        <f t="shared" si="315"/>
        <v>3113</v>
      </c>
      <c r="L931" s="10">
        <v>8</v>
      </c>
      <c r="M931" s="32">
        <v>45678</v>
      </c>
      <c r="N931" s="33">
        <f t="shared" si="321"/>
        <v>7222</v>
      </c>
      <c r="O931" s="34">
        <f>2504+596+42.5</f>
        <v>3142.5</v>
      </c>
      <c r="P931" s="34"/>
      <c r="Q931" s="34">
        <f t="shared" si="325"/>
        <v>3142.5</v>
      </c>
      <c r="R931" s="12"/>
      <c r="S931" s="12"/>
      <c r="T931" s="12"/>
      <c r="U931" s="12">
        <f t="shared" si="317"/>
        <v>3142.5</v>
      </c>
      <c r="W931" s="10">
        <v>8</v>
      </c>
      <c r="X931" s="32">
        <v>45678</v>
      </c>
      <c r="Y931" s="33">
        <f t="shared" si="322"/>
        <v>7661</v>
      </c>
      <c r="Z931" s="34">
        <f>626*3+596+205</f>
        <v>2679</v>
      </c>
      <c r="AB931" s="34">
        <f t="shared" si="323"/>
        <v>2679</v>
      </c>
      <c r="AC931" s="12"/>
      <c r="AD931" s="12"/>
      <c r="AE931" s="12"/>
      <c r="AF931" s="12">
        <f t="shared" si="319"/>
        <v>2679</v>
      </c>
    </row>
    <row r="932" spans="1:32" x14ac:dyDescent="0.25">
      <c r="A932" s="10">
        <v>9</v>
      </c>
      <c r="B932" s="32">
        <v>45678</v>
      </c>
      <c r="C932" s="33">
        <f t="shared" si="320"/>
        <v>7759</v>
      </c>
      <c r="D932" s="34">
        <f>626*10+85</f>
        <v>6345</v>
      </c>
      <c r="E932" s="34"/>
      <c r="F932" s="34">
        <f t="shared" si="324"/>
        <v>6345</v>
      </c>
      <c r="G932" s="12"/>
      <c r="H932" s="12"/>
      <c r="I932" s="12"/>
      <c r="J932" s="12">
        <f t="shared" si="315"/>
        <v>6345</v>
      </c>
      <c r="L932" s="10">
        <v>9</v>
      </c>
      <c r="M932" s="32">
        <v>45678</v>
      </c>
      <c r="N932" s="33">
        <f t="shared" si="321"/>
        <v>7223</v>
      </c>
      <c r="O932" s="34">
        <f>2504+34</f>
        <v>2538</v>
      </c>
      <c r="P932" s="34"/>
      <c r="Q932" s="34">
        <f t="shared" si="325"/>
        <v>2538</v>
      </c>
      <c r="R932" s="12"/>
      <c r="S932" s="12"/>
      <c r="T932" s="12"/>
      <c r="U932" s="12">
        <f t="shared" si="317"/>
        <v>2538</v>
      </c>
      <c r="W932" s="10">
        <v>9</v>
      </c>
      <c r="X932" s="32">
        <v>45678</v>
      </c>
      <c r="Y932" s="33">
        <f t="shared" si="322"/>
        <v>7662</v>
      </c>
      <c r="Z932">
        <f>626+674+8.5</f>
        <v>1308.5</v>
      </c>
      <c r="AA932" s="34"/>
      <c r="AB932" s="34">
        <f t="shared" si="323"/>
        <v>1308.5</v>
      </c>
      <c r="AC932" s="12"/>
      <c r="AD932" s="66"/>
      <c r="AE932" s="12"/>
      <c r="AF932" s="12">
        <f t="shared" si="319"/>
        <v>1308.5</v>
      </c>
    </row>
    <row r="933" spans="1:32" x14ac:dyDescent="0.25">
      <c r="A933" s="10">
        <v>10</v>
      </c>
      <c r="B933" s="32">
        <v>45678</v>
      </c>
      <c r="C933" s="33">
        <f t="shared" si="320"/>
        <v>7760</v>
      </c>
      <c r="D933" s="34">
        <f>626*2+17</f>
        <v>1269</v>
      </c>
      <c r="E933" s="34"/>
      <c r="F933" s="34">
        <f t="shared" si="324"/>
        <v>1269</v>
      </c>
      <c r="G933" s="12"/>
      <c r="H933" s="12"/>
      <c r="I933" s="12"/>
      <c r="J933" s="12">
        <f t="shared" si="315"/>
        <v>1269</v>
      </c>
      <c r="L933" s="10">
        <v>10</v>
      </c>
      <c r="M933" s="32">
        <v>45678</v>
      </c>
      <c r="N933" s="33">
        <f t="shared" si="321"/>
        <v>7224</v>
      </c>
      <c r="O933" s="34">
        <f>1878+25.5</f>
        <v>1903.5</v>
      </c>
      <c r="P933" s="34"/>
      <c r="Q933" s="34">
        <f t="shared" si="325"/>
        <v>1903.5</v>
      </c>
      <c r="R933" s="12"/>
      <c r="S933" s="12"/>
      <c r="T933" s="12"/>
      <c r="U933" s="12">
        <f t="shared" si="317"/>
        <v>1903.5</v>
      </c>
      <c r="W933" s="10">
        <v>10</v>
      </c>
      <c r="X933" s="32">
        <v>45678</v>
      </c>
      <c r="Y933" s="33">
        <f t="shared" si="322"/>
        <v>7663</v>
      </c>
      <c r="Z933" s="34">
        <f>626*5+674*2+205</f>
        <v>4683</v>
      </c>
      <c r="AA933" s="34"/>
      <c r="AB933" s="34">
        <f t="shared" si="323"/>
        <v>4683</v>
      </c>
      <c r="AC933" s="12"/>
      <c r="AD933" s="12"/>
      <c r="AE933" s="12"/>
      <c r="AF933" s="12">
        <f t="shared" si="319"/>
        <v>4683</v>
      </c>
    </row>
    <row r="934" spans="1:32" x14ac:dyDescent="0.25">
      <c r="A934" s="10">
        <v>11</v>
      </c>
      <c r="B934" s="32">
        <v>45678</v>
      </c>
      <c r="C934" s="33">
        <f t="shared" si="320"/>
        <v>7761</v>
      </c>
      <c r="D934" s="34">
        <f>626*12+596*4+136</f>
        <v>10032</v>
      </c>
      <c r="E934" s="34"/>
      <c r="F934" s="34">
        <f t="shared" si="324"/>
        <v>10032</v>
      </c>
      <c r="G934" s="12"/>
      <c r="H934" s="12"/>
      <c r="I934" s="12"/>
      <c r="J934" s="12">
        <f t="shared" si="315"/>
        <v>10032</v>
      </c>
      <c r="L934" s="10">
        <v>11</v>
      </c>
      <c r="M934" s="32">
        <v>45678</v>
      </c>
      <c r="N934" s="33">
        <f t="shared" si="321"/>
        <v>7225</v>
      </c>
      <c r="O934" s="34">
        <f>2504+34</f>
        <v>2538</v>
      </c>
      <c r="P934" s="34"/>
      <c r="Q934" s="34">
        <f t="shared" si="325"/>
        <v>2538</v>
      </c>
      <c r="R934" s="12"/>
      <c r="S934" s="12"/>
      <c r="T934" s="12"/>
      <c r="U934" s="12">
        <f t="shared" si="317"/>
        <v>2538</v>
      </c>
      <c r="W934" s="10">
        <v>11</v>
      </c>
      <c r="X934" s="32">
        <v>45678</v>
      </c>
      <c r="Y934" s="33">
        <f t="shared" si="322"/>
        <v>7664</v>
      </c>
      <c r="Z934" s="34">
        <f>626*20+170</f>
        <v>12690</v>
      </c>
      <c r="AA934" s="34"/>
      <c r="AB934" s="34">
        <f t="shared" ref="AB934:AB956" si="326">SUM(Z934:AA934)</f>
        <v>12690</v>
      </c>
      <c r="AC934" s="12"/>
      <c r="AD934" s="12">
        <v>21</v>
      </c>
      <c r="AE934" s="12"/>
      <c r="AF934" s="12">
        <f t="shared" si="319"/>
        <v>12711</v>
      </c>
    </row>
    <row r="935" spans="1:32" x14ac:dyDescent="0.25">
      <c r="A935" s="10">
        <v>12</v>
      </c>
      <c r="B935" s="32">
        <v>45678</v>
      </c>
      <c r="C935" s="33">
        <f t="shared" si="320"/>
        <v>7762</v>
      </c>
      <c r="D935" s="34">
        <f>852</f>
        <v>852</v>
      </c>
      <c r="E935" s="34"/>
      <c r="F935" s="34">
        <f t="shared" si="324"/>
        <v>852</v>
      </c>
      <c r="G935" s="12"/>
      <c r="H935" s="12"/>
      <c r="I935" s="12"/>
      <c r="J935" s="12">
        <f t="shared" si="315"/>
        <v>852</v>
      </c>
      <c r="L935" s="10">
        <v>12</v>
      </c>
      <c r="M935" s="32">
        <v>45678</v>
      </c>
      <c r="N935" s="33">
        <f t="shared" si="321"/>
        <v>7226</v>
      </c>
      <c r="O935" s="34">
        <f>1252</f>
        <v>1252</v>
      </c>
      <c r="P935" s="34"/>
      <c r="Q935" s="34">
        <f t="shared" si="325"/>
        <v>1252</v>
      </c>
      <c r="R935" s="12"/>
      <c r="S935" s="12"/>
      <c r="T935" s="12"/>
      <c r="U935" s="12">
        <f t="shared" si="317"/>
        <v>1252</v>
      </c>
      <c r="W935" s="10">
        <v>12</v>
      </c>
      <c r="X935" s="32">
        <v>45678</v>
      </c>
      <c r="Y935" s="33">
        <f t="shared" si="322"/>
        <v>7665</v>
      </c>
      <c r="Z935" s="34">
        <f>626+1192+25.5</f>
        <v>1843.5</v>
      </c>
      <c r="AA935" s="34"/>
      <c r="AB935" s="34">
        <f t="shared" si="326"/>
        <v>1843.5</v>
      </c>
      <c r="AC935" s="12"/>
      <c r="AD935" s="12"/>
      <c r="AE935" s="12"/>
      <c r="AF935" s="12">
        <f t="shared" si="319"/>
        <v>1843.5</v>
      </c>
    </row>
    <row r="936" spans="1:32" x14ac:dyDescent="0.25">
      <c r="A936" s="10">
        <v>13</v>
      </c>
      <c r="B936" s="32">
        <v>45678</v>
      </c>
      <c r="C936" s="33">
        <f t="shared" si="320"/>
        <v>7763</v>
      </c>
      <c r="D936" s="34">
        <f>626*2+17</f>
        <v>1269</v>
      </c>
      <c r="E936" s="34"/>
      <c r="F936" s="34">
        <f t="shared" si="324"/>
        <v>1269</v>
      </c>
      <c r="G936" s="12"/>
      <c r="H936" s="12"/>
      <c r="I936" s="12">
        <v>-111</v>
      </c>
      <c r="J936" s="12">
        <f t="shared" si="315"/>
        <v>1158</v>
      </c>
      <c r="L936" s="10">
        <v>13</v>
      </c>
      <c r="M936" s="32">
        <v>45678</v>
      </c>
      <c r="N936" s="33">
        <f t="shared" si="321"/>
        <v>7227</v>
      </c>
      <c r="O936" s="34">
        <f>626*11+614+205+500</f>
        <v>8205</v>
      </c>
      <c r="P936" s="34"/>
      <c r="Q936" s="34">
        <f t="shared" si="325"/>
        <v>8205</v>
      </c>
      <c r="R936" s="12"/>
      <c r="S936" s="12">
        <v>276</v>
      </c>
      <c r="T936" s="12"/>
      <c r="U936" s="12">
        <f t="shared" si="317"/>
        <v>8481</v>
      </c>
      <c r="W936" s="10">
        <v>13</v>
      </c>
      <c r="X936" s="32">
        <v>45678</v>
      </c>
      <c r="Y936" s="33">
        <f t="shared" si="322"/>
        <v>7666</v>
      </c>
      <c r="Z936" s="34">
        <f>674</f>
        <v>674</v>
      </c>
      <c r="AA936" s="34"/>
      <c r="AB936" s="34">
        <f t="shared" si="326"/>
        <v>674</v>
      </c>
      <c r="AC936" s="12"/>
      <c r="AD936" s="12"/>
      <c r="AE936" s="12"/>
      <c r="AF936" s="12">
        <f t="shared" si="319"/>
        <v>674</v>
      </c>
    </row>
    <row r="937" spans="1:32" x14ac:dyDescent="0.25">
      <c r="A937" s="10">
        <v>14</v>
      </c>
      <c r="B937" s="32">
        <v>45678</v>
      </c>
      <c r="C937" s="33">
        <f t="shared" si="320"/>
        <v>7764</v>
      </c>
      <c r="D937" s="34">
        <f>626*5+42.5</f>
        <v>3172.5</v>
      </c>
      <c r="E937" s="34"/>
      <c r="F937" s="34">
        <f t="shared" si="324"/>
        <v>3172.5</v>
      </c>
      <c r="G937" s="12"/>
      <c r="H937" s="12"/>
      <c r="I937" s="12"/>
      <c r="J937" s="12">
        <f t="shared" si="315"/>
        <v>3172.5</v>
      </c>
      <c r="L937" s="10">
        <v>14</v>
      </c>
      <c r="M937" s="32">
        <v>45678</v>
      </c>
      <c r="N937" s="33">
        <f t="shared" si="321"/>
        <v>7228</v>
      </c>
      <c r="O937" s="34">
        <f>1878+25.5+674</f>
        <v>2577.5</v>
      </c>
      <c r="P937" s="34"/>
      <c r="Q937" s="34">
        <f t="shared" si="325"/>
        <v>2577.5</v>
      </c>
      <c r="R937" s="12"/>
      <c r="S937" s="12"/>
      <c r="T937" s="12"/>
      <c r="U937" s="12">
        <f t="shared" si="317"/>
        <v>2577.5</v>
      </c>
      <c r="W937" s="10">
        <v>14</v>
      </c>
      <c r="X937" s="32">
        <v>45678</v>
      </c>
      <c r="Y937" s="33">
        <f t="shared" si="322"/>
        <v>7667</v>
      </c>
      <c r="Z937">
        <f>674</f>
        <v>674</v>
      </c>
      <c r="AA937" s="34"/>
      <c r="AB937" s="34">
        <f t="shared" si="326"/>
        <v>674</v>
      </c>
      <c r="AC937" s="12"/>
      <c r="AD937" s="12"/>
      <c r="AE937" s="12"/>
      <c r="AF937" s="12">
        <f t="shared" si="319"/>
        <v>674</v>
      </c>
    </row>
    <row r="938" spans="1:32" x14ac:dyDescent="0.25">
      <c r="A938" s="10">
        <v>15</v>
      </c>
      <c r="B938" s="32">
        <v>45678</v>
      </c>
      <c r="C938" s="33">
        <f t="shared" si="320"/>
        <v>7765</v>
      </c>
      <c r="D938" s="34">
        <f>1252+17</f>
        <v>1269</v>
      </c>
      <c r="E938" s="34"/>
      <c r="F938" s="34">
        <f t="shared" si="324"/>
        <v>1269</v>
      </c>
      <c r="G938" s="12"/>
      <c r="H938" s="12"/>
      <c r="I938" s="12"/>
      <c r="J938" s="12">
        <f t="shared" si="315"/>
        <v>1269</v>
      </c>
      <c r="L938" s="10">
        <v>15</v>
      </c>
      <c r="M938" s="32">
        <v>45678</v>
      </c>
      <c r="N938" s="33">
        <f t="shared" si="321"/>
        <v>7229</v>
      </c>
      <c r="O938" s="34">
        <f>1252+17</f>
        <v>1269</v>
      </c>
      <c r="P938" s="34"/>
      <c r="Q938" s="34">
        <f t="shared" si="325"/>
        <v>1269</v>
      </c>
      <c r="R938" s="12"/>
      <c r="S938" s="12"/>
      <c r="T938" s="12"/>
      <c r="U938" s="12">
        <f t="shared" si="317"/>
        <v>1269</v>
      </c>
      <c r="W938" s="10">
        <v>15</v>
      </c>
      <c r="X938" s="32">
        <v>45678</v>
      </c>
      <c r="Y938" s="33">
        <f t="shared" si="322"/>
        <v>7668</v>
      </c>
      <c r="Z938" s="34">
        <f>626+674+205</f>
        <v>1505</v>
      </c>
      <c r="AA938" s="34"/>
      <c r="AB938" s="34">
        <f t="shared" si="326"/>
        <v>1505</v>
      </c>
      <c r="AC938" s="12"/>
      <c r="AD938" s="12"/>
      <c r="AE938" s="12"/>
      <c r="AF938" s="12">
        <f t="shared" si="319"/>
        <v>1505</v>
      </c>
    </row>
    <row r="939" spans="1:32" x14ac:dyDescent="0.25">
      <c r="A939" s="10">
        <v>16</v>
      </c>
      <c r="B939" s="32">
        <v>45678</v>
      </c>
      <c r="C939" s="33">
        <f t="shared" si="320"/>
        <v>7766</v>
      </c>
      <c r="D939" s="34">
        <f>205</f>
        <v>205</v>
      </c>
      <c r="E939" s="34"/>
      <c r="F939" s="34">
        <f t="shared" si="324"/>
        <v>205</v>
      </c>
      <c r="G939" s="12"/>
      <c r="H939" s="12"/>
      <c r="I939" s="12"/>
      <c r="J939" s="12">
        <f t="shared" si="315"/>
        <v>205</v>
      </c>
      <c r="L939" s="10">
        <v>16</v>
      </c>
      <c r="M939" s="32">
        <v>45678</v>
      </c>
      <c r="N939" s="33">
        <f t="shared" si="321"/>
        <v>7230</v>
      </c>
      <c r="O939" s="34">
        <f>559</f>
        <v>559</v>
      </c>
      <c r="P939" s="34"/>
      <c r="Q939" s="34">
        <f t="shared" si="325"/>
        <v>559</v>
      </c>
      <c r="R939" s="12"/>
      <c r="S939" s="12"/>
      <c r="T939" s="12"/>
      <c r="U939" s="12">
        <f t="shared" si="317"/>
        <v>559</v>
      </c>
      <c r="W939" s="10">
        <v>16</v>
      </c>
      <c r="X939" s="32">
        <v>45678</v>
      </c>
      <c r="Y939" s="33">
        <f t="shared" si="322"/>
        <v>7669</v>
      </c>
      <c r="Z939" s="34">
        <f>3756+596+410</f>
        <v>4762</v>
      </c>
      <c r="AA939" s="34"/>
      <c r="AB939" s="34">
        <f t="shared" si="326"/>
        <v>4762</v>
      </c>
      <c r="AC939" s="12"/>
      <c r="AD939" s="12"/>
      <c r="AE939" s="12"/>
      <c r="AF939" s="12">
        <f t="shared" si="319"/>
        <v>4762</v>
      </c>
    </row>
    <row r="940" spans="1:32" x14ac:dyDescent="0.25">
      <c r="A940" s="10">
        <v>17</v>
      </c>
      <c r="B940" s="32"/>
      <c r="C940" s="11" t="s">
        <v>28</v>
      </c>
      <c r="D940" s="37"/>
      <c r="E940" s="34"/>
      <c r="F940" s="34">
        <f t="shared" si="324"/>
        <v>0</v>
      </c>
      <c r="G940" s="12"/>
      <c r="H940" s="12"/>
      <c r="I940" s="12"/>
      <c r="J940" s="12">
        <f t="shared" si="315"/>
        <v>0</v>
      </c>
      <c r="L940" s="10">
        <v>17</v>
      </c>
      <c r="M940" s="32">
        <v>45678</v>
      </c>
      <c r="N940" s="33">
        <f t="shared" si="321"/>
        <v>7231</v>
      </c>
      <c r="O940" s="37">
        <f>1252+17</f>
        <v>1269</v>
      </c>
      <c r="P940" s="34"/>
      <c r="Q940" s="34">
        <f t="shared" si="325"/>
        <v>1269</v>
      </c>
      <c r="R940" s="12"/>
      <c r="S940" s="12"/>
      <c r="T940" s="12"/>
      <c r="U940" s="12">
        <f t="shared" si="317"/>
        <v>1269</v>
      </c>
      <c r="W940" s="10">
        <v>17</v>
      </c>
      <c r="X940" s="32">
        <v>45678</v>
      </c>
      <c r="Y940" s="33">
        <f t="shared" si="322"/>
        <v>7670</v>
      </c>
      <c r="Z940" s="37">
        <f>2504+674+1788+59.5</f>
        <v>5025.5</v>
      </c>
      <c r="AA940" s="34"/>
      <c r="AB940" s="34">
        <f t="shared" si="326"/>
        <v>5025.5</v>
      </c>
      <c r="AC940" s="12"/>
      <c r="AD940" s="12"/>
      <c r="AE940" s="12"/>
      <c r="AF940" s="12">
        <f t="shared" si="319"/>
        <v>5025.5</v>
      </c>
    </row>
    <row r="941" spans="1:32" x14ac:dyDescent="0.25">
      <c r="A941" s="10">
        <v>18</v>
      </c>
      <c r="B941" s="32"/>
      <c r="C941" s="33"/>
      <c r="D941" s="34"/>
      <c r="E941" s="34"/>
      <c r="F941" s="34">
        <f t="shared" si="324"/>
        <v>0</v>
      </c>
      <c r="G941" s="12"/>
      <c r="H941" s="12"/>
      <c r="I941" s="12"/>
      <c r="J941" s="12">
        <f t="shared" si="315"/>
        <v>0</v>
      </c>
      <c r="L941" s="10">
        <v>18</v>
      </c>
      <c r="M941" s="32">
        <v>45678</v>
      </c>
      <c r="N941" s="33">
        <f t="shared" si="321"/>
        <v>7232</v>
      </c>
      <c r="O941" s="34">
        <f>1252+596+25.5</f>
        <v>1873.5</v>
      </c>
      <c r="P941" s="34"/>
      <c r="Q941" s="34">
        <f t="shared" si="325"/>
        <v>1873.5</v>
      </c>
      <c r="R941" s="12"/>
      <c r="S941" s="12"/>
      <c r="T941" s="12"/>
      <c r="U941" s="12">
        <f t="shared" si="317"/>
        <v>1873.5</v>
      </c>
      <c r="W941" s="10">
        <v>18</v>
      </c>
      <c r="X941" s="32">
        <v>45678</v>
      </c>
      <c r="Y941" s="33">
        <f t="shared" si="322"/>
        <v>7671</v>
      </c>
      <c r="Z941" s="34">
        <f>626+596+17</f>
        <v>1239</v>
      </c>
      <c r="AA941" s="34"/>
      <c r="AB941" s="34">
        <f t="shared" si="326"/>
        <v>1239</v>
      </c>
      <c r="AC941" s="12"/>
      <c r="AD941" s="12"/>
      <c r="AE941" s="12"/>
      <c r="AF941" s="12">
        <f t="shared" si="319"/>
        <v>1239</v>
      </c>
    </row>
    <row r="942" spans="1:32" x14ac:dyDescent="0.25">
      <c r="A942" s="10">
        <v>19</v>
      </c>
      <c r="B942" s="32"/>
      <c r="C942" s="33"/>
      <c r="D942" s="34"/>
      <c r="E942" s="34"/>
      <c r="F942" s="34">
        <f t="shared" si="324"/>
        <v>0</v>
      </c>
      <c r="G942" s="12"/>
      <c r="H942" s="12"/>
      <c r="I942" s="12"/>
      <c r="J942" s="12">
        <f t="shared" si="315"/>
        <v>0</v>
      </c>
      <c r="L942" s="10">
        <v>19</v>
      </c>
      <c r="M942" s="32">
        <v>45678</v>
      </c>
      <c r="N942" s="33">
        <f t="shared" si="321"/>
        <v>7233</v>
      </c>
      <c r="O942" s="34">
        <f>626*324+614*30+596*108+205*18</f>
        <v>289302</v>
      </c>
      <c r="P942" s="34">
        <v>-4320</v>
      </c>
      <c r="Q942" s="34">
        <f t="shared" si="325"/>
        <v>284982</v>
      </c>
      <c r="R942" s="12"/>
      <c r="S942" s="12">
        <v>2082</v>
      </c>
      <c r="T942" s="12"/>
      <c r="U942" s="12">
        <f t="shared" si="317"/>
        <v>287064</v>
      </c>
      <c r="W942" s="10">
        <v>19</v>
      </c>
      <c r="X942" s="32">
        <v>45678</v>
      </c>
      <c r="Y942" s="33">
        <f t="shared" si="322"/>
        <v>7672</v>
      </c>
      <c r="Z942" s="34">
        <f>626+614+674+596+17</f>
        <v>2527</v>
      </c>
      <c r="AA942" s="34"/>
      <c r="AB942" s="34">
        <f t="shared" si="326"/>
        <v>2527</v>
      </c>
      <c r="AC942" s="12"/>
      <c r="AD942" s="12">
        <v>81</v>
      </c>
      <c r="AE942" s="12"/>
      <c r="AF942" s="12">
        <f t="shared" si="319"/>
        <v>2608</v>
      </c>
    </row>
    <row r="943" spans="1:32" x14ac:dyDescent="0.25">
      <c r="A943" s="10">
        <v>20</v>
      </c>
      <c r="B943" s="32"/>
      <c r="C943" s="33"/>
      <c r="D943" s="34"/>
      <c r="E943" s="34"/>
      <c r="F943" s="34">
        <f t="shared" si="324"/>
        <v>0</v>
      </c>
      <c r="G943" s="12"/>
      <c r="H943" s="12"/>
      <c r="I943" s="12"/>
      <c r="J943" s="12">
        <f t="shared" si="315"/>
        <v>0</v>
      </c>
      <c r="L943" s="10">
        <v>20</v>
      </c>
      <c r="M943" s="32">
        <v>45678</v>
      </c>
      <c r="N943" s="33">
        <f t="shared" si="321"/>
        <v>7234</v>
      </c>
      <c r="O943" s="34">
        <f>626+596+8.5</f>
        <v>1230.5</v>
      </c>
      <c r="P943" s="34"/>
      <c r="Q943" s="34">
        <f t="shared" si="325"/>
        <v>1230.5</v>
      </c>
      <c r="R943" s="12"/>
      <c r="S943" s="12"/>
      <c r="T943" s="12">
        <v>-453</v>
      </c>
      <c r="U943" s="12">
        <f t="shared" si="317"/>
        <v>777.5</v>
      </c>
      <c r="W943" s="10">
        <v>20</v>
      </c>
      <c r="X943" s="32">
        <v>45678</v>
      </c>
      <c r="Y943" s="33">
        <f t="shared" si="322"/>
        <v>7673</v>
      </c>
      <c r="Z943" s="34">
        <f>626*75+614*5+596*15+205*4</f>
        <v>59780</v>
      </c>
      <c r="AA943" s="34">
        <v>-760</v>
      </c>
      <c r="AB943" s="34">
        <f t="shared" si="326"/>
        <v>59020</v>
      </c>
      <c r="AC943" s="12"/>
      <c r="AD943" s="12"/>
      <c r="AE943" s="12"/>
      <c r="AF943" s="12">
        <f t="shared" si="319"/>
        <v>59020</v>
      </c>
    </row>
    <row r="944" spans="1:32" x14ac:dyDescent="0.25">
      <c r="A944" s="10">
        <v>21</v>
      </c>
      <c r="B944" s="32"/>
      <c r="D944" s="50"/>
      <c r="E944" s="33"/>
      <c r="F944" s="34">
        <f t="shared" si="324"/>
        <v>0</v>
      </c>
      <c r="G944" s="10"/>
      <c r="H944" s="10"/>
      <c r="I944" s="10"/>
      <c r="J944" s="12">
        <f t="shared" si="315"/>
        <v>0</v>
      </c>
      <c r="L944" s="10">
        <v>21</v>
      </c>
      <c r="M944" s="32"/>
      <c r="N944" s="11" t="s">
        <v>28</v>
      </c>
      <c r="O944" s="50"/>
      <c r="P944" s="33"/>
      <c r="Q944" s="34">
        <f t="shared" si="325"/>
        <v>0</v>
      </c>
      <c r="R944" s="10"/>
      <c r="S944" s="10"/>
      <c r="T944" s="10"/>
      <c r="U944" s="12">
        <f t="shared" si="317"/>
        <v>0</v>
      </c>
      <c r="W944" s="10">
        <v>21</v>
      </c>
      <c r="X944" s="32">
        <v>45678</v>
      </c>
      <c r="Y944" s="33">
        <f t="shared" si="322"/>
        <v>7674</v>
      </c>
      <c r="Z944" s="50">
        <f>626*30+614*4+205</f>
        <v>21441</v>
      </c>
      <c r="AA944" s="33"/>
      <c r="AB944" s="34">
        <f t="shared" si="326"/>
        <v>21441</v>
      </c>
      <c r="AC944" s="10"/>
      <c r="AD944" s="10"/>
      <c r="AE944" s="10"/>
      <c r="AF944" s="12">
        <f t="shared" si="319"/>
        <v>21441</v>
      </c>
    </row>
    <row r="945" spans="1:32" x14ac:dyDescent="0.25">
      <c r="A945" s="10">
        <v>22</v>
      </c>
      <c r="B945" s="32"/>
      <c r="C945" s="33"/>
      <c r="D945" s="49"/>
      <c r="E945" s="33"/>
      <c r="F945" s="34">
        <f t="shared" si="324"/>
        <v>0</v>
      </c>
      <c r="G945" s="10"/>
      <c r="H945" s="10"/>
      <c r="I945" s="10"/>
      <c r="J945" s="12">
        <f t="shared" si="315"/>
        <v>0</v>
      </c>
      <c r="L945" s="10">
        <v>22</v>
      </c>
      <c r="M945" s="32"/>
      <c r="N945" s="33"/>
      <c r="O945" s="49"/>
      <c r="P945" s="33"/>
      <c r="Q945" s="34">
        <f t="shared" si="325"/>
        <v>0</v>
      </c>
      <c r="R945" s="10"/>
      <c r="S945" s="10"/>
      <c r="T945" s="10"/>
      <c r="U945" s="12">
        <f t="shared" si="317"/>
        <v>0</v>
      </c>
      <c r="W945" s="10">
        <v>22</v>
      </c>
      <c r="X945" s="32">
        <v>45678</v>
      </c>
      <c r="Y945" s="33">
        <f t="shared" si="322"/>
        <v>7675</v>
      </c>
      <c r="Z945" s="49">
        <f>626*17+8.5*17</f>
        <v>10786.5</v>
      </c>
      <c r="AA945" s="33"/>
      <c r="AB945" s="34">
        <f t="shared" si="326"/>
        <v>10786.5</v>
      </c>
      <c r="AC945" s="10"/>
      <c r="AD945" s="10"/>
      <c r="AE945" s="10"/>
      <c r="AF945" s="12">
        <f t="shared" si="319"/>
        <v>10786.5</v>
      </c>
    </row>
    <row r="946" spans="1:32" x14ac:dyDescent="0.25">
      <c r="A946" s="10">
        <v>23</v>
      </c>
      <c r="B946" s="32"/>
      <c r="C946" s="33"/>
      <c r="D946" s="51"/>
      <c r="E946"/>
      <c r="F946" s="34">
        <f t="shared" si="324"/>
        <v>0</v>
      </c>
      <c r="G946" s="10"/>
      <c r="H946" s="10"/>
      <c r="I946" s="10"/>
      <c r="J946" s="12">
        <f t="shared" si="315"/>
        <v>0</v>
      </c>
      <c r="L946" s="10">
        <v>23</v>
      </c>
      <c r="M946" s="32"/>
      <c r="N946" s="33"/>
      <c r="O946" s="51"/>
      <c r="Q946" s="34">
        <f t="shared" si="325"/>
        <v>0</v>
      </c>
      <c r="R946" s="10"/>
      <c r="S946" s="10"/>
      <c r="T946" s="10"/>
      <c r="U946" s="12">
        <f t="shared" si="317"/>
        <v>0</v>
      </c>
      <c r="W946" s="10">
        <v>23</v>
      </c>
      <c r="X946" s="32">
        <v>45678</v>
      </c>
      <c r="Y946" s="33">
        <f t="shared" si="322"/>
        <v>7676</v>
      </c>
      <c r="Z946" s="51">
        <f>626*27+674*2+596*77+410</f>
        <v>64552</v>
      </c>
      <c r="AA946">
        <v>-864</v>
      </c>
      <c r="AB946" s="34">
        <f t="shared" si="326"/>
        <v>63688</v>
      </c>
      <c r="AC946" s="10"/>
      <c r="AD946" s="10"/>
      <c r="AE946" s="10"/>
      <c r="AF946" s="12">
        <f t="shared" si="319"/>
        <v>63688</v>
      </c>
    </row>
    <row r="947" spans="1:32" x14ac:dyDescent="0.25">
      <c r="A947" s="10">
        <v>24</v>
      </c>
      <c r="B947" s="32"/>
      <c r="C947" s="33"/>
      <c r="D947" s="51"/>
      <c r="E947" s="33"/>
      <c r="F947" s="34">
        <f t="shared" si="324"/>
        <v>0</v>
      </c>
      <c r="G947" s="10"/>
      <c r="H947" s="10"/>
      <c r="I947" s="10"/>
      <c r="J947" s="12">
        <f t="shared" si="315"/>
        <v>0</v>
      </c>
      <c r="L947" s="10">
        <v>24</v>
      </c>
      <c r="M947" s="32"/>
      <c r="N947" s="33"/>
      <c r="O947" s="51"/>
      <c r="P947" s="33"/>
      <c r="Q947" s="34">
        <f t="shared" si="325"/>
        <v>0</v>
      </c>
      <c r="R947" s="10"/>
      <c r="S947" s="10"/>
      <c r="T947" s="10"/>
      <c r="U947" s="12">
        <f t="shared" si="317"/>
        <v>0</v>
      </c>
      <c r="W947" s="10">
        <v>24</v>
      </c>
      <c r="X947" s="32">
        <v>45678</v>
      </c>
      <c r="Y947" s="33">
        <f t="shared" si="322"/>
        <v>7677</v>
      </c>
      <c r="Z947" s="51">
        <f>626*4+674*2+596*2+51</f>
        <v>5095</v>
      </c>
      <c r="AA947" s="33"/>
      <c r="AB947" s="34">
        <f t="shared" si="326"/>
        <v>5095</v>
      </c>
      <c r="AC947" s="10"/>
      <c r="AD947" s="10"/>
      <c r="AE947" s="10">
        <v>-1668</v>
      </c>
      <c r="AF947" s="12">
        <f t="shared" si="319"/>
        <v>3427</v>
      </c>
    </row>
    <row r="948" spans="1:32" x14ac:dyDescent="0.25">
      <c r="A948" s="10">
        <v>25</v>
      </c>
      <c r="B948" s="32"/>
      <c r="C948" s="33"/>
      <c r="D948" s="51"/>
      <c r="E948" s="33"/>
      <c r="F948" s="34">
        <f t="shared" si="324"/>
        <v>0</v>
      </c>
      <c r="G948" s="10"/>
      <c r="H948" s="10"/>
      <c r="I948" s="10"/>
      <c r="J948" s="12">
        <f t="shared" si="315"/>
        <v>0</v>
      </c>
      <c r="L948" s="10">
        <v>25</v>
      </c>
      <c r="M948" s="32"/>
      <c r="O948" s="51"/>
      <c r="P948" s="33"/>
      <c r="Q948" s="34">
        <f t="shared" si="325"/>
        <v>0</v>
      </c>
      <c r="R948" s="10"/>
      <c r="S948" s="10"/>
      <c r="T948" s="10"/>
      <c r="U948" s="12">
        <f t="shared" si="317"/>
        <v>0</v>
      </c>
      <c r="W948" s="10">
        <v>25</v>
      </c>
      <c r="X948" s="32"/>
      <c r="Y948" s="11" t="s">
        <v>28</v>
      </c>
      <c r="Z948" s="51"/>
      <c r="AA948" s="33"/>
      <c r="AB948" s="34">
        <f t="shared" si="326"/>
        <v>0</v>
      </c>
      <c r="AC948" s="10"/>
      <c r="AD948" s="10"/>
      <c r="AE948" s="10"/>
      <c r="AF948" s="12">
        <f t="shared" si="319"/>
        <v>0</v>
      </c>
    </row>
    <row r="949" spans="1:32" x14ac:dyDescent="0.25">
      <c r="A949" s="10">
        <v>26</v>
      </c>
      <c r="B949" s="32"/>
      <c r="C949" s="33"/>
      <c r="D949" s="51"/>
      <c r="E949" s="33"/>
      <c r="F949" s="34">
        <f t="shared" si="324"/>
        <v>0</v>
      </c>
      <c r="G949" s="10"/>
      <c r="H949" s="10"/>
      <c r="I949" s="10"/>
      <c r="J949" s="12">
        <f t="shared" si="315"/>
        <v>0</v>
      </c>
      <c r="L949" s="10">
        <v>26</v>
      </c>
      <c r="M949" s="32"/>
      <c r="N949" s="33"/>
      <c r="O949" s="51"/>
      <c r="P949" s="33"/>
      <c r="Q949" s="34">
        <f t="shared" si="325"/>
        <v>0</v>
      </c>
      <c r="R949" s="10"/>
      <c r="S949" s="10"/>
      <c r="T949" s="10"/>
      <c r="U949" s="12">
        <f t="shared" si="317"/>
        <v>0</v>
      </c>
      <c r="W949" s="10">
        <v>26</v>
      </c>
      <c r="X949" s="32"/>
      <c r="Z949" s="51"/>
      <c r="AA949" s="33"/>
      <c r="AB949" s="34">
        <f t="shared" si="326"/>
        <v>0</v>
      </c>
      <c r="AC949" s="10"/>
      <c r="AD949" s="10"/>
      <c r="AE949" s="10"/>
      <c r="AF949" s="12">
        <f t="shared" si="319"/>
        <v>0</v>
      </c>
    </row>
    <row r="950" spans="1:32" x14ac:dyDescent="0.25">
      <c r="A950" s="10">
        <v>27</v>
      </c>
      <c r="B950" s="32"/>
      <c r="C950" s="33"/>
      <c r="D950" s="51"/>
      <c r="E950" s="33"/>
      <c r="F950" s="34">
        <f t="shared" si="324"/>
        <v>0</v>
      </c>
      <c r="G950" s="10"/>
      <c r="H950" s="10"/>
      <c r="I950" s="10"/>
      <c r="J950" s="12">
        <f t="shared" si="315"/>
        <v>0</v>
      </c>
      <c r="L950" s="10">
        <v>27</v>
      </c>
      <c r="M950" s="32"/>
      <c r="N950" s="33"/>
      <c r="O950" s="51"/>
      <c r="P950" s="33"/>
      <c r="Q950" s="34">
        <f t="shared" si="325"/>
        <v>0</v>
      </c>
      <c r="R950" s="10"/>
      <c r="S950" s="10"/>
      <c r="T950" s="10"/>
      <c r="U950" s="12">
        <f t="shared" si="317"/>
        <v>0</v>
      </c>
      <c r="W950" s="10">
        <v>27</v>
      </c>
      <c r="X950" s="32"/>
      <c r="Y950" s="33"/>
      <c r="Z950" s="51"/>
      <c r="AA950" s="33"/>
      <c r="AB950" s="34">
        <f t="shared" si="326"/>
        <v>0</v>
      </c>
      <c r="AC950" s="10"/>
      <c r="AD950" s="10"/>
      <c r="AE950" s="10"/>
      <c r="AF950" s="12">
        <f t="shared" si="319"/>
        <v>0</v>
      </c>
    </row>
    <row r="951" spans="1:32" x14ac:dyDescent="0.25">
      <c r="A951" s="10">
        <v>28</v>
      </c>
      <c r="B951" s="32"/>
      <c r="C951" s="33"/>
      <c r="D951" s="51"/>
      <c r="E951" s="33"/>
      <c r="F951" s="34">
        <f t="shared" si="324"/>
        <v>0</v>
      </c>
      <c r="G951" s="10"/>
      <c r="H951" s="10"/>
      <c r="I951" s="10"/>
      <c r="J951" s="12">
        <f t="shared" si="315"/>
        <v>0</v>
      </c>
      <c r="L951" s="10">
        <v>28</v>
      </c>
      <c r="M951" s="32"/>
      <c r="N951" s="33"/>
      <c r="O951" s="51"/>
      <c r="P951" s="33"/>
      <c r="Q951" s="34">
        <f t="shared" si="325"/>
        <v>0</v>
      </c>
      <c r="R951" s="10"/>
      <c r="S951" s="10"/>
      <c r="T951" s="10"/>
      <c r="U951" s="12">
        <f t="shared" si="317"/>
        <v>0</v>
      </c>
      <c r="W951" s="10">
        <v>28</v>
      </c>
      <c r="X951" s="32"/>
      <c r="Z951" s="51"/>
      <c r="AA951" s="33"/>
      <c r="AB951" s="34">
        <f t="shared" si="326"/>
        <v>0</v>
      </c>
      <c r="AC951" s="10"/>
      <c r="AD951" s="10"/>
      <c r="AE951" s="10"/>
      <c r="AF951" s="12">
        <f t="shared" si="319"/>
        <v>0</v>
      </c>
    </row>
    <row r="952" spans="1:32" x14ac:dyDescent="0.25">
      <c r="A952" s="10">
        <v>29</v>
      </c>
      <c r="B952" s="32"/>
      <c r="C952"/>
      <c r="D952" s="51"/>
      <c r="E952" s="33"/>
      <c r="F952" s="34">
        <f t="shared" si="324"/>
        <v>0</v>
      </c>
      <c r="G952" s="10"/>
      <c r="H952" s="10"/>
      <c r="I952" s="10"/>
      <c r="J952" s="12">
        <f t="shared" si="315"/>
        <v>0</v>
      </c>
      <c r="L952" s="10">
        <v>29</v>
      </c>
      <c r="M952" s="32"/>
      <c r="O952" s="51"/>
      <c r="P952" s="33"/>
      <c r="Q952" s="34">
        <f t="shared" si="325"/>
        <v>0</v>
      </c>
      <c r="R952" s="10"/>
      <c r="S952" s="10"/>
      <c r="T952" s="10"/>
      <c r="U952" s="12">
        <f t="shared" si="317"/>
        <v>0</v>
      </c>
      <c r="W952" s="10">
        <v>29</v>
      </c>
      <c r="X952" s="32"/>
      <c r="Z952" s="51"/>
      <c r="AA952" s="33"/>
      <c r="AB952" s="34">
        <f t="shared" si="326"/>
        <v>0</v>
      </c>
      <c r="AC952" s="10"/>
      <c r="AD952" s="10"/>
      <c r="AE952" s="10"/>
      <c r="AF952" s="12">
        <f t="shared" si="319"/>
        <v>0</v>
      </c>
    </row>
    <row r="953" spans="1:32" x14ac:dyDescent="0.25">
      <c r="A953" s="10">
        <v>30</v>
      </c>
      <c r="B953" s="32"/>
      <c r="C953" s="33"/>
      <c r="D953" s="51"/>
      <c r="E953" s="33"/>
      <c r="F953" s="34">
        <f t="shared" si="324"/>
        <v>0</v>
      </c>
      <c r="G953" s="10"/>
      <c r="H953" s="10"/>
      <c r="I953" s="10"/>
      <c r="J953" s="12">
        <f t="shared" si="315"/>
        <v>0</v>
      </c>
      <c r="L953" s="10">
        <v>30</v>
      </c>
      <c r="M953" s="32"/>
      <c r="N953" s="33"/>
      <c r="O953" s="51"/>
      <c r="P953" s="33"/>
      <c r="Q953" s="34">
        <f t="shared" si="325"/>
        <v>0</v>
      </c>
      <c r="R953" s="10"/>
      <c r="S953" s="10"/>
      <c r="T953" s="10"/>
      <c r="U953" s="12">
        <f t="shared" si="317"/>
        <v>0</v>
      </c>
      <c r="W953" s="10">
        <v>30</v>
      </c>
      <c r="X953" s="32"/>
      <c r="Y953" s="33"/>
      <c r="Z953" s="51"/>
      <c r="AA953" s="33"/>
      <c r="AB953" s="34">
        <f t="shared" si="326"/>
        <v>0</v>
      </c>
      <c r="AC953" s="10"/>
      <c r="AD953" s="10"/>
      <c r="AE953" s="10"/>
      <c r="AF953" s="12">
        <f t="shared" si="319"/>
        <v>0</v>
      </c>
    </row>
    <row r="954" spans="1:32" x14ac:dyDescent="0.25">
      <c r="A954" s="10">
        <v>31</v>
      </c>
      <c r="B954" s="32"/>
      <c r="C954" s="33"/>
      <c r="D954" s="51"/>
      <c r="E954" s="33"/>
      <c r="F954" s="34">
        <f t="shared" si="324"/>
        <v>0</v>
      </c>
      <c r="G954" s="10"/>
      <c r="H954" s="10"/>
      <c r="I954" s="10"/>
      <c r="J954" s="12">
        <f t="shared" si="315"/>
        <v>0</v>
      </c>
      <c r="L954" s="10">
        <v>31</v>
      </c>
      <c r="M954" s="32"/>
      <c r="N954" s="33"/>
      <c r="O954" s="51"/>
      <c r="P954" s="33"/>
      <c r="Q954" s="34">
        <f t="shared" si="325"/>
        <v>0</v>
      </c>
      <c r="R954" s="10"/>
      <c r="S954" s="10"/>
      <c r="T954" s="10"/>
      <c r="U954" s="12">
        <f t="shared" si="317"/>
        <v>0</v>
      </c>
      <c r="W954" s="10">
        <v>31</v>
      </c>
      <c r="X954" s="32"/>
      <c r="Z954" s="51"/>
      <c r="AA954" s="33"/>
      <c r="AB954" s="34">
        <f t="shared" si="326"/>
        <v>0</v>
      </c>
      <c r="AC954" s="10"/>
      <c r="AD954" s="10"/>
      <c r="AE954" s="10"/>
      <c r="AF954" s="12">
        <f t="shared" si="319"/>
        <v>0</v>
      </c>
    </row>
    <row r="955" spans="1:32" x14ac:dyDescent="0.25">
      <c r="A955" s="10">
        <v>32</v>
      </c>
      <c r="B955" s="32"/>
      <c r="C955" s="33"/>
      <c r="D955" s="51"/>
      <c r="E955" s="33"/>
      <c r="F955" s="34">
        <f t="shared" si="324"/>
        <v>0</v>
      </c>
      <c r="G955" s="10"/>
      <c r="H955" s="10"/>
      <c r="I955" s="10"/>
      <c r="J955" s="12">
        <f t="shared" si="315"/>
        <v>0</v>
      </c>
      <c r="L955" s="10">
        <v>32</v>
      </c>
      <c r="M955" s="32"/>
      <c r="N955" s="33"/>
      <c r="O955" s="51"/>
      <c r="P955" s="33"/>
      <c r="Q955" s="34">
        <f t="shared" si="325"/>
        <v>0</v>
      </c>
      <c r="R955" s="10"/>
      <c r="S955" s="10"/>
      <c r="T955" s="10"/>
      <c r="U955" s="12">
        <f t="shared" si="317"/>
        <v>0</v>
      </c>
      <c r="W955" s="10">
        <v>32</v>
      </c>
      <c r="X955" s="32"/>
      <c r="Y955" s="33"/>
      <c r="Z955" s="51"/>
      <c r="AA955" s="33"/>
      <c r="AB955" s="34">
        <f t="shared" si="326"/>
        <v>0</v>
      </c>
      <c r="AC955" s="10"/>
      <c r="AD955" s="10"/>
      <c r="AE955" s="10"/>
      <c r="AF955" s="12">
        <f t="shared" si="319"/>
        <v>0</v>
      </c>
    </row>
    <row r="956" spans="1:32" x14ac:dyDescent="0.25">
      <c r="A956" s="10">
        <v>33</v>
      </c>
      <c r="B956" s="32"/>
      <c r="C956" s="33"/>
      <c r="D956" s="51"/>
      <c r="E956" s="33"/>
      <c r="F956" s="34">
        <f t="shared" si="324"/>
        <v>0</v>
      </c>
      <c r="G956" s="10"/>
      <c r="H956" s="10"/>
      <c r="I956" s="10"/>
      <c r="J956" s="12">
        <f t="shared" si="315"/>
        <v>0</v>
      </c>
      <c r="L956" s="10">
        <v>33</v>
      </c>
      <c r="M956" s="32"/>
      <c r="N956" s="33"/>
      <c r="O956" s="51"/>
      <c r="P956" s="33"/>
      <c r="Q956" s="34">
        <f t="shared" si="325"/>
        <v>0</v>
      </c>
      <c r="R956" s="10"/>
      <c r="S956" s="10"/>
      <c r="T956" s="10"/>
      <c r="U956" s="12">
        <f t="shared" si="317"/>
        <v>0</v>
      </c>
      <c r="W956" s="10">
        <v>33</v>
      </c>
      <c r="X956" s="32"/>
      <c r="Y956" s="33"/>
      <c r="Z956" s="51"/>
      <c r="AA956" s="33"/>
      <c r="AB956" s="34">
        <f t="shared" si="326"/>
        <v>0</v>
      </c>
      <c r="AC956" s="10"/>
      <c r="AD956" s="10"/>
      <c r="AE956" s="10"/>
      <c r="AF956" s="12">
        <f t="shared" si="319"/>
        <v>0</v>
      </c>
    </row>
    <row r="957" spans="1:32" x14ac:dyDescent="0.25">
      <c r="A957" s="10">
        <v>34</v>
      </c>
      <c r="B957" s="32"/>
      <c r="C957" s="33"/>
      <c r="D957" s="51"/>
      <c r="E957" s="33"/>
      <c r="F957" s="34">
        <f t="shared" ref="F957:F962" si="327">SUM(D957:E957)</f>
        <v>0</v>
      </c>
      <c r="G957" s="10"/>
      <c r="H957" s="10"/>
      <c r="I957" s="10"/>
      <c r="J957" s="12">
        <f t="shared" si="315"/>
        <v>0</v>
      </c>
      <c r="L957" s="10">
        <v>34</v>
      </c>
      <c r="M957" s="32"/>
      <c r="N957" s="33"/>
      <c r="O957" s="51"/>
      <c r="P957" s="33"/>
      <c r="Q957" s="34">
        <f t="shared" ref="Q957:Q962" si="328">SUM(O957:P957)</f>
        <v>0</v>
      </c>
      <c r="R957" s="10"/>
      <c r="S957" s="10"/>
      <c r="T957" s="10"/>
      <c r="U957" s="12">
        <f t="shared" si="317"/>
        <v>0</v>
      </c>
      <c r="W957" s="10">
        <v>34</v>
      </c>
      <c r="X957" s="32"/>
      <c r="Y957" s="33"/>
      <c r="Z957" s="51"/>
      <c r="AA957" s="33"/>
      <c r="AB957" s="34">
        <f t="shared" ref="AB957:AB962" si="329">SUM(Z957:AA957)</f>
        <v>0</v>
      </c>
      <c r="AC957" s="10"/>
      <c r="AD957" s="10"/>
      <c r="AE957" s="10"/>
      <c r="AF957" s="12">
        <f t="shared" si="319"/>
        <v>0</v>
      </c>
    </row>
    <row r="958" spans="1:32" x14ac:dyDescent="0.25">
      <c r="A958" s="10">
        <v>35</v>
      </c>
      <c r="B958" s="32"/>
      <c r="C958" s="33"/>
      <c r="D958" s="51"/>
      <c r="E958" s="33"/>
      <c r="F958" s="34">
        <f t="shared" si="327"/>
        <v>0</v>
      </c>
      <c r="G958" s="10"/>
      <c r="H958" s="10"/>
      <c r="I958" s="10"/>
      <c r="J958" s="12">
        <f t="shared" si="315"/>
        <v>0</v>
      </c>
      <c r="L958" s="10">
        <v>35</v>
      </c>
      <c r="M958" s="32"/>
      <c r="N958" s="33"/>
      <c r="O958" s="51"/>
      <c r="P958" s="33"/>
      <c r="Q958" s="34">
        <f t="shared" si="328"/>
        <v>0</v>
      </c>
      <c r="R958" s="10"/>
      <c r="S958" s="10"/>
      <c r="T958" s="10"/>
      <c r="U958" s="12">
        <f t="shared" si="317"/>
        <v>0</v>
      </c>
      <c r="W958" s="10">
        <v>35</v>
      </c>
      <c r="X958" s="32"/>
      <c r="Y958" s="33"/>
      <c r="Z958" s="51"/>
      <c r="AA958" s="33"/>
      <c r="AB958" s="34">
        <f t="shared" si="329"/>
        <v>0</v>
      </c>
      <c r="AC958" s="10"/>
      <c r="AD958" s="10"/>
      <c r="AE958" s="10"/>
      <c r="AF958" s="12">
        <f t="shared" si="319"/>
        <v>0</v>
      </c>
    </row>
    <row r="959" spans="1:32" x14ac:dyDescent="0.25">
      <c r="A959" s="10">
        <v>36</v>
      </c>
      <c r="B959" s="32"/>
      <c r="C959" s="33"/>
      <c r="D959" s="51"/>
      <c r="E959" s="33"/>
      <c r="F959" s="34">
        <f t="shared" si="327"/>
        <v>0</v>
      </c>
      <c r="G959" s="10"/>
      <c r="H959" s="10"/>
      <c r="I959" s="10"/>
      <c r="J959" s="12">
        <f t="shared" si="315"/>
        <v>0</v>
      </c>
      <c r="L959" s="10">
        <v>36</v>
      </c>
      <c r="M959" s="32"/>
      <c r="N959" s="33"/>
      <c r="O959" s="51"/>
      <c r="P959" s="33"/>
      <c r="Q959" s="34">
        <f t="shared" si="328"/>
        <v>0</v>
      </c>
      <c r="R959" s="10"/>
      <c r="S959" s="10"/>
      <c r="T959" s="10"/>
      <c r="U959" s="12">
        <f t="shared" si="317"/>
        <v>0</v>
      </c>
      <c r="W959" s="10">
        <v>36</v>
      </c>
      <c r="X959" s="32"/>
      <c r="Y959" s="33"/>
      <c r="Z959" s="51"/>
      <c r="AA959" s="33"/>
      <c r="AB959" s="34">
        <f t="shared" si="329"/>
        <v>0</v>
      </c>
      <c r="AC959" s="10"/>
      <c r="AD959" s="10"/>
      <c r="AE959" s="10"/>
      <c r="AF959" s="12">
        <f t="shared" si="319"/>
        <v>0</v>
      </c>
    </row>
    <row r="960" spans="1:32" x14ac:dyDescent="0.25">
      <c r="A960" s="10">
        <v>37</v>
      </c>
      <c r="B960" s="32"/>
      <c r="C960" s="33"/>
      <c r="D960" s="51"/>
      <c r="E960" s="33"/>
      <c r="F960" s="34">
        <f t="shared" si="327"/>
        <v>0</v>
      </c>
      <c r="G960" s="10"/>
      <c r="H960" s="10"/>
      <c r="I960" s="10"/>
      <c r="J960" s="12">
        <f t="shared" si="315"/>
        <v>0</v>
      </c>
      <c r="L960" s="10">
        <v>37</v>
      </c>
      <c r="M960" s="32"/>
      <c r="N960" s="33"/>
      <c r="O960" s="51"/>
      <c r="P960" s="33"/>
      <c r="Q960" s="34">
        <f t="shared" si="328"/>
        <v>0</v>
      </c>
      <c r="R960" s="10"/>
      <c r="S960" s="10"/>
      <c r="T960" s="10"/>
      <c r="U960" s="12">
        <f t="shared" si="317"/>
        <v>0</v>
      </c>
      <c r="W960" s="10">
        <v>37</v>
      </c>
      <c r="X960" s="32"/>
      <c r="Y960" s="33"/>
      <c r="Z960" s="51"/>
      <c r="AA960" s="33"/>
      <c r="AB960" s="34">
        <f t="shared" si="329"/>
        <v>0</v>
      </c>
      <c r="AC960" s="10"/>
      <c r="AD960" s="10"/>
      <c r="AE960" s="10"/>
      <c r="AF960" s="12">
        <f t="shared" si="319"/>
        <v>0</v>
      </c>
    </row>
    <row r="961" spans="1:32" x14ac:dyDescent="0.25">
      <c r="A961" s="10">
        <v>38</v>
      </c>
      <c r="B961" s="32"/>
      <c r="C961" s="33"/>
      <c r="D961" s="51"/>
      <c r="E961" s="33"/>
      <c r="F961" s="34">
        <f t="shared" si="327"/>
        <v>0</v>
      </c>
      <c r="G961" s="10"/>
      <c r="H961" s="10"/>
      <c r="I961" s="10"/>
      <c r="J961" s="12">
        <f t="shared" si="315"/>
        <v>0</v>
      </c>
      <c r="L961" s="10">
        <v>38</v>
      </c>
      <c r="M961" s="32"/>
      <c r="N961" s="33"/>
      <c r="O961" s="51"/>
      <c r="P961" s="33"/>
      <c r="Q961" s="34">
        <f t="shared" si="328"/>
        <v>0</v>
      </c>
      <c r="R961" s="10"/>
      <c r="S961" s="10"/>
      <c r="T961" s="10"/>
      <c r="U961" s="12">
        <f t="shared" si="317"/>
        <v>0</v>
      </c>
      <c r="W961" s="10">
        <v>38</v>
      </c>
      <c r="X961" s="32"/>
      <c r="Y961" s="33"/>
      <c r="Z961" s="51"/>
      <c r="AA961" s="33"/>
      <c r="AB961" s="34">
        <f t="shared" si="329"/>
        <v>0</v>
      </c>
      <c r="AC961" s="10"/>
      <c r="AD961" s="10"/>
      <c r="AE961" s="10"/>
      <c r="AF961" s="12">
        <f t="shared" si="319"/>
        <v>0</v>
      </c>
    </row>
    <row r="962" spans="1:32" x14ac:dyDescent="0.25">
      <c r="A962" s="10">
        <v>39</v>
      </c>
      <c r="B962" s="32"/>
      <c r="C962" s="33"/>
      <c r="D962" s="51"/>
      <c r="E962" s="33"/>
      <c r="F962" s="34">
        <f t="shared" si="327"/>
        <v>0</v>
      </c>
      <c r="G962" s="10"/>
      <c r="H962" s="10"/>
      <c r="I962" s="10"/>
      <c r="J962" s="12">
        <f t="shared" si="315"/>
        <v>0</v>
      </c>
      <c r="L962" s="10">
        <v>39</v>
      </c>
      <c r="M962" s="32"/>
      <c r="N962" s="33"/>
      <c r="O962" s="51"/>
      <c r="P962" s="33"/>
      <c r="Q962" s="34">
        <f t="shared" si="328"/>
        <v>0</v>
      </c>
      <c r="R962" s="10"/>
      <c r="S962" s="10"/>
      <c r="T962" s="10"/>
      <c r="U962" s="12">
        <f t="shared" si="317"/>
        <v>0</v>
      </c>
      <c r="W962" s="10">
        <v>39</v>
      </c>
      <c r="X962" s="32"/>
      <c r="Y962" s="33"/>
      <c r="Z962" s="51"/>
      <c r="AA962" s="33"/>
      <c r="AB962" s="34">
        <f t="shared" si="329"/>
        <v>0</v>
      </c>
      <c r="AC962" s="10"/>
      <c r="AD962" s="10"/>
      <c r="AE962" s="10"/>
      <c r="AF962" s="12">
        <f t="shared" si="319"/>
        <v>0</v>
      </c>
    </row>
    <row r="963" spans="1:32" x14ac:dyDescent="0.25">
      <c r="A963" s="10"/>
      <c r="B963" s="32"/>
      <c r="C963"/>
      <c r="D963" s="51"/>
      <c r="E963" s="33"/>
      <c r="F963" s="34"/>
      <c r="G963" s="10"/>
      <c r="H963" s="10"/>
      <c r="I963" s="10"/>
      <c r="J963" s="12">
        <f t="shared" si="315"/>
        <v>0</v>
      </c>
      <c r="L963" s="10"/>
      <c r="M963" s="32"/>
      <c r="O963" s="51"/>
      <c r="P963" s="33"/>
      <c r="Q963" s="34"/>
      <c r="R963" s="10"/>
      <c r="S963" s="10"/>
      <c r="T963" s="10"/>
      <c r="U963" s="12">
        <f t="shared" si="317"/>
        <v>0</v>
      </c>
      <c r="W963" s="10"/>
      <c r="X963" s="32"/>
      <c r="Z963" s="51"/>
      <c r="AA963" s="33"/>
      <c r="AB963" s="34"/>
      <c r="AC963" s="10"/>
      <c r="AD963" s="10"/>
      <c r="AE963" s="10"/>
      <c r="AF963" s="12">
        <f t="shared" si="319"/>
        <v>0</v>
      </c>
    </row>
    <row r="964" spans="1:32" x14ac:dyDescent="0.25">
      <c r="A964" s="10"/>
      <c r="B964" s="32"/>
      <c r="C964" s="33"/>
      <c r="D964" s="51"/>
      <c r="E964" s="33"/>
      <c r="F964" s="34">
        <f t="shared" ref="F964" si="330">SUM(D964:E964)</f>
        <v>0</v>
      </c>
      <c r="G964" s="10"/>
      <c r="H964" s="10"/>
      <c r="I964" s="10"/>
      <c r="J964" s="12">
        <f t="shared" si="315"/>
        <v>0</v>
      </c>
      <c r="L964" s="10"/>
      <c r="M964" s="32"/>
      <c r="N964" s="33"/>
      <c r="O964" s="51"/>
      <c r="P964" s="33"/>
      <c r="Q964" s="34">
        <f t="shared" ref="Q964" si="331">SUM(O964:P964)</f>
        <v>0</v>
      </c>
      <c r="R964" s="10"/>
      <c r="S964" s="10"/>
      <c r="T964" s="10"/>
      <c r="U964" s="12">
        <f t="shared" si="317"/>
        <v>0</v>
      </c>
      <c r="W964" s="10"/>
      <c r="X964" s="32"/>
      <c r="Y964" s="33"/>
      <c r="Z964" s="51"/>
      <c r="AA964" s="33"/>
      <c r="AB964" s="34">
        <f t="shared" ref="AB964" si="332">SUM(Z964:AA964)</f>
        <v>0</v>
      </c>
      <c r="AC964" s="10"/>
      <c r="AD964" s="10"/>
      <c r="AE964" s="10"/>
      <c r="AF964" s="12">
        <f t="shared" si="319"/>
        <v>0</v>
      </c>
    </row>
    <row r="965" spans="1:32" x14ac:dyDescent="0.25">
      <c r="A965" s="10"/>
      <c r="B965" s="33"/>
      <c r="C965" s="33"/>
      <c r="D965" s="33"/>
      <c r="E965" s="33"/>
      <c r="F965" s="33"/>
      <c r="G965" s="10"/>
      <c r="H965" s="10"/>
      <c r="I965" s="10"/>
      <c r="J965" s="12">
        <f t="shared" si="315"/>
        <v>0</v>
      </c>
      <c r="L965" s="10"/>
      <c r="M965" s="33"/>
      <c r="N965" s="33"/>
      <c r="O965" s="33"/>
      <c r="P965" s="33"/>
      <c r="Q965" s="33"/>
      <c r="R965" s="10"/>
      <c r="S965" s="10"/>
      <c r="T965" s="10"/>
      <c r="U965" s="12">
        <f t="shared" si="317"/>
        <v>0</v>
      </c>
      <c r="W965" s="10"/>
      <c r="X965" s="33"/>
      <c r="Y965" s="33"/>
      <c r="Z965" s="33"/>
      <c r="AA965" s="33"/>
      <c r="AB965" s="33"/>
      <c r="AC965" s="10"/>
      <c r="AD965" s="10"/>
      <c r="AE965" s="10"/>
      <c r="AF965" s="12">
        <f t="shared" si="319"/>
        <v>0</v>
      </c>
    </row>
    <row r="966" spans="1:32" x14ac:dyDescent="0.25">
      <c r="B966" s="70"/>
      <c r="C966" s="70"/>
      <c r="D966" s="38"/>
      <c r="E966" s="38"/>
      <c r="F966" s="38"/>
      <c r="G966" s="39"/>
      <c r="H966" s="39"/>
      <c r="I966" s="39"/>
      <c r="J966" s="39"/>
      <c r="M966" s="70"/>
      <c r="N966" s="70"/>
      <c r="O966" s="38"/>
      <c r="P966" s="38"/>
      <c r="Q966" s="38"/>
      <c r="R966" s="39"/>
      <c r="S966" s="39"/>
      <c r="T966" s="39"/>
      <c r="U966" s="39"/>
      <c r="X966" s="70"/>
      <c r="Y966" s="70"/>
      <c r="Z966" s="38"/>
      <c r="AA966" s="38"/>
      <c r="AB966" s="38"/>
      <c r="AC966" s="39"/>
      <c r="AD966" s="39"/>
      <c r="AE966" s="39"/>
      <c r="AF966" s="39"/>
    </row>
    <row r="967" spans="1:32" x14ac:dyDescent="0.25">
      <c r="B967" s="70"/>
      <c r="C967" s="70"/>
      <c r="D967" s="40">
        <f>SUM(D924:D966)</f>
        <v>213974.5</v>
      </c>
      <c r="E967" s="40">
        <f>SUM(E924:E948)</f>
        <v>-1890</v>
      </c>
      <c r="F967" s="40">
        <f>SUM(F924:F966)</f>
        <v>212084.5</v>
      </c>
      <c r="G967" s="4"/>
      <c r="H967" s="43">
        <f>SUM(H924:H966)</f>
        <v>272</v>
      </c>
      <c r="I967" s="43">
        <f>SUM(I924:I948)</f>
        <v>-1898.25</v>
      </c>
      <c r="J967" s="44">
        <f>SUM(J924:J966)</f>
        <v>210458.25</v>
      </c>
      <c r="M967" s="70"/>
      <c r="N967" s="70"/>
      <c r="O967" s="40">
        <f>SUM(O924:O966)</f>
        <v>367514.5</v>
      </c>
      <c r="P967" s="40">
        <f>SUM(P924:P948)</f>
        <v>-4320</v>
      </c>
      <c r="Q967" s="40">
        <f>SUM(Q924:Q966)</f>
        <v>363194.5</v>
      </c>
      <c r="R967" s="4"/>
      <c r="S967" s="43">
        <f>SUM(S924:S966)</f>
        <v>2401.5</v>
      </c>
      <c r="T967" s="43">
        <f>SUM(T924:T948)</f>
        <v>-1563</v>
      </c>
      <c r="U967" s="44">
        <f>SUM(U924:U966)</f>
        <v>364033</v>
      </c>
      <c r="X967" s="70"/>
      <c r="Y967" s="70"/>
      <c r="Z967" s="40">
        <f>SUM(Z924:Z966)</f>
        <v>225079.5</v>
      </c>
      <c r="AA967" s="40">
        <f>SUM(AA924:AA948)</f>
        <v>-1624</v>
      </c>
      <c r="AB967" s="40">
        <f>SUM(AB924:AB966)</f>
        <v>223455.5</v>
      </c>
      <c r="AC967" s="4"/>
      <c r="AD967" s="43">
        <f>SUM(AD924:AD966)</f>
        <v>156</v>
      </c>
      <c r="AE967" s="43">
        <f>SUM(AE924:AE948)</f>
        <v>-1668</v>
      </c>
      <c r="AF967" s="44">
        <f>SUM(AF924:AF966)</f>
        <v>221943.5</v>
      </c>
    </row>
    <row r="968" spans="1:32" x14ac:dyDescent="0.25">
      <c r="B968" s="70"/>
      <c r="C968" s="70"/>
      <c r="D968" s="45"/>
      <c r="E968" s="70"/>
      <c r="F968" s="70"/>
      <c r="M968" s="70"/>
      <c r="N968" s="70"/>
      <c r="O968" s="45"/>
      <c r="P968" s="70"/>
      <c r="Q968" s="70"/>
      <c r="X968" s="70"/>
      <c r="Y968" s="70"/>
      <c r="Z968" s="45"/>
      <c r="AA968" s="70"/>
      <c r="AB968" s="70"/>
    </row>
    <row r="969" spans="1:32" x14ac:dyDescent="0.25">
      <c r="B969" s="70"/>
      <c r="C969" s="70"/>
      <c r="D969" s="70"/>
      <c r="E969" s="70"/>
      <c r="F969" s="70"/>
      <c r="M969" s="70"/>
      <c r="N969" s="70"/>
      <c r="O969" s="70"/>
      <c r="P969" s="70"/>
      <c r="Q969" s="70"/>
      <c r="X969" s="70"/>
      <c r="Y969" s="70"/>
      <c r="Z969" s="70"/>
      <c r="AA969" s="70"/>
      <c r="AB969" s="70"/>
    </row>
    <row r="970" spans="1:32" x14ac:dyDescent="0.25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</row>
    <row r="971" spans="1:32" x14ac:dyDescent="0.25">
      <c r="A971" t="s">
        <v>0</v>
      </c>
      <c r="B971" s="70"/>
      <c r="C971" s="70"/>
      <c r="D971" s="70"/>
      <c r="E971" s="70"/>
      <c r="F971" s="70"/>
      <c r="L971" t="s">
        <v>0</v>
      </c>
      <c r="M971" s="70"/>
      <c r="N971" s="70"/>
      <c r="O971" s="70"/>
      <c r="P971" s="70"/>
      <c r="Q971" s="70"/>
      <c r="W971" t="s">
        <v>0</v>
      </c>
      <c r="X971" s="70"/>
      <c r="Y971" s="70"/>
      <c r="Z971" s="70"/>
      <c r="AA971" s="70"/>
      <c r="AB971" s="70"/>
    </row>
    <row r="972" spans="1:32" x14ac:dyDescent="0.25">
      <c r="A972" t="s">
        <v>30</v>
      </c>
      <c r="B972" s="70"/>
      <c r="C972" s="70"/>
      <c r="D972" s="70"/>
      <c r="E972" s="70"/>
      <c r="F972" s="70"/>
      <c r="L972" t="s">
        <v>30</v>
      </c>
      <c r="M972" s="70"/>
      <c r="N972" s="70"/>
      <c r="O972" s="70"/>
      <c r="P972" s="70"/>
      <c r="Q972" s="70"/>
      <c r="W972" t="s">
        <v>30</v>
      </c>
      <c r="X972" s="70"/>
      <c r="Y972" s="70"/>
      <c r="Z972" s="70"/>
      <c r="AA972" s="70"/>
      <c r="AB972" s="70"/>
    </row>
    <row r="973" spans="1:32" x14ac:dyDescent="0.25">
      <c r="B973" s="70"/>
      <c r="C973" s="70"/>
      <c r="D973" s="70"/>
      <c r="E973" s="70"/>
      <c r="F973" s="70"/>
      <c r="M973" s="70"/>
      <c r="N973" s="70"/>
      <c r="O973" s="70"/>
      <c r="P973" s="70"/>
      <c r="Q973" s="70"/>
      <c r="X973" s="70"/>
      <c r="Y973" s="70"/>
      <c r="Z973" s="70"/>
      <c r="AA973" s="70"/>
      <c r="AB973" s="70"/>
    </row>
    <row r="974" spans="1:32" x14ac:dyDescent="0.25">
      <c r="A974" s="4" t="s">
        <v>15</v>
      </c>
      <c r="B974" s="70"/>
      <c r="C974" s="70"/>
      <c r="D974" s="70"/>
      <c r="E974" s="70"/>
      <c r="F974" s="70"/>
      <c r="L974" s="4" t="s">
        <v>15</v>
      </c>
      <c r="M974" s="70"/>
      <c r="N974" s="70"/>
      <c r="O974" s="70"/>
      <c r="P974" s="70"/>
      <c r="Q974" s="70"/>
      <c r="W974" s="4" t="s">
        <v>15</v>
      </c>
      <c r="X974" s="70"/>
      <c r="Y974" s="70"/>
      <c r="Z974" s="70"/>
      <c r="AA974" s="70"/>
      <c r="AB974" s="70"/>
    </row>
    <row r="975" spans="1:32" x14ac:dyDescent="0.25">
      <c r="B975" s="70"/>
      <c r="C975" s="70"/>
      <c r="D975" s="70"/>
      <c r="E975" s="70"/>
      <c r="F975" s="70"/>
      <c r="M975" s="70"/>
      <c r="N975" s="70"/>
      <c r="O975" s="70"/>
      <c r="P975" s="70"/>
      <c r="Q975" s="70"/>
      <c r="X975" s="70"/>
      <c r="Y975" s="70"/>
      <c r="Z975" s="70"/>
      <c r="AA975" s="70"/>
      <c r="AB975" s="70"/>
    </row>
    <row r="976" spans="1:32" ht="15.75" x14ac:dyDescent="0.25">
      <c r="A976" t="s">
        <v>36</v>
      </c>
      <c r="B976" s="70"/>
      <c r="C976" s="70"/>
      <c r="D976" s="70"/>
      <c r="E976" s="70"/>
      <c r="F976" s="70"/>
      <c r="H976" s="70" t="s">
        <v>16</v>
      </c>
      <c r="I976" s="19">
        <v>1</v>
      </c>
      <c r="L976" t="s">
        <v>36</v>
      </c>
      <c r="M976" s="70"/>
      <c r="N976" s="70"/>
      <c r="O976" s="70"/>
      <c r="P976" s="70"/>
      <c r="Q976" s="70"/>
      <c r="S976" s="70" t="s">
        <v>16</v>
      </c>
      <c r="T976" s="19">
        <v>2</v>
      </c>
      <c r="W976" t="s">
        <v>36</v>
      </c>
      <c r="X976" s="70"/>
      <c r="Y976" s="70"/>
      <c r="Z976" s="70"/>
      <c r="AA976" s="70"/>
      <c r="AB976" s="70"/>
      <c r="AD976" s="70" t="s">
        <v>16</v>
      </c>
      <c r="AE976" s="20">
        <v>3</v>
      </c>
    </row>
    <row r="977" spans="1:32" x14ac:dyDescent="0.25">
      <c r="A977" s="21" t="s">
        <v>82</v>
      </c>
      <c r="B977" s="20"/>
      <c r="C977" s="70"/>
      <c r="D977" s="70"/>
      <c r="E977" s="70"/>
      <c r="F977" s="70"/>
      <c r="H977" s="22" t="s">
        <v>17</v>
      </c>
      <c r="I977" s="23" t="s">
        <v>46</v>
      </c>
      <c r="J977" s="24"/>
      <c r="L977" s="21" t="s">
        <v>82</v>
      </c>
      <c r="M977" s="20"/>
      <c r="N977" s="70"/>
      <c r="O977" s="70"/>
      <c r="P977" s="70"/>
      <c r="Q977" s="70"/>
      <c r="S977" s="22" t="s">
        <v>17</v>
      </c>
      <c r="T977" s="23" t="s">
        <v>34</v>
      </c>
      <c r="U977" s="24"/>
      <c r="W977" s="21" t="s">
        <v>82</v>
      </c>
      <c r="X977" s="20"/>
      <c r="Y977" s="70"/>
      <c r="Z977" s="70"/>
      <c r="AA977" s="70"/>
      <c r="AB977" s="70"/>
      <c r="AD977" s="22" t="s">
        <v>17</v>
      </c>
      <c r="AE977" s="23" t="s">
        <v>47</v>
      </c>
      <c r="AF977" s="24"/>
    </row>
    <row r="978" spans="1:32" x14ac:dyDescent="0.25">
      <c r="B978" s="70"/>
      <c r="C978" s="70"/>
      <c r="D978" s="70"/>
      <c r="E978" s="70"/>
      <c r="F978" s="70"/>
      <c r="M978" s="70"/>
      <c r="N978" s="70"/>
      <c r="O978" s="70"/>
      <c r="P978" s="70"/>
      <c r="Q978" s="70"/>
      <c r="X978" s="70"/>
      <c r="Y978" s="70"/>
      <c r="Z978" s="70"/>
      <c r="AA978" s="70"/>
      <c r="AB978" s="70"/>
    </row>
    <row r="979" spans="1:32" x14ac:dyDescent="0.25">
      <c r="B979" s="25"/>
      <c r="C979" s="26"/>
      <c r="D979" s="79" t="s">
        <v>18</v>
      </c>
      <c r="E979" s="79"/>
      <c r="F979" s="27"/>
      <c r="H979" s="77" t="s">
        <v>19</v>
      </c>
      <c r="I979" s="78"/>
      <c r="J979" s="75" t="s">
        <v>20</v>
      </c>
      <c r="M979" s="25"/>
      <c r="N979" s="26"/>
      <c r="O979" s="79" t="s">
        <v>18</v>
      </c>
      <c r="P979" s="79"/>
      <c r="Q979" s="27"/>
      <c r="S979" s="77" t="s">
        <v>19</v>
      </c>
      <c r="T979" s="78"/>
      <c r="U979" s="75" t="s">
        <v>20</v>
      </c>
      <c r="X979" s="25"/>
      <c r="Y979" s="26"/>
      <c r="Z979" s="79" t="s">
        <v>18</v>
      </c>
      <c r="AA979" s="79"/>
      <c r="AB979" s="27"/>
      <c r="AD979" s="77" t="s">
        <v>19</v>
      </c>
      <c r="AE979" s="78"/>
      <c r="AF979" s="75" t="s">
        <v>20</v>
      </c>
    </row>
    <row r="980" spans="1:32" ht="30" x14ac:dyDescent="0.25">
      <c r="B980" s="28" t="s">
        <v>21</v>
      </c>
      <c r="C980" s="28" t="s">
        <v>22</v>
      </c>
      <c r="D980" s="29" t="s">
        <v>23</v>
      </c>
      <c r="E980" s="30" t="s">
        <v>24</v>
      </c>
      <c r="F980" s="30" t="s">
        <v>25</v>
      </c>
      <c r="H980" s="31" t="s">
        <v>26</v>
      </c>
      <c r="I980" s="31" t="s">
        <v>27</v>
      </c>
      <c r="J980" s="76"/>
      <c r="M980" s="28" t="s">
        <v>21</v>
      </c>
      <c r="N980" s="28" t="s">
        <v>22</v>
      </c>
      <c r="O980" s="29" t="s">
        <v>23</v>
      </c>
      <c r="P980" s="30" t="s">
        <v>24</v>
      </c>
      <c r="Q980" s="30" t="s">
        <v>25</v>
      </c>
      <c r="S980" s="31" t="s">
        <v>26</v>
      </c>
      <c r="T980" s="31" t="s">
        <v>27</v>
      </c>
      <c r="U980" s="76"/>
      <c r="X980" s="28" t="s">
        <v>21</v>
      </c>
      <c r="Y980" s="28" t="s">
        <v>22</v>
      </c>
      <c r="Z980" s="29" t="s">
        <v>23</v>
      </c>
      <c r="AA980" s="30" t="s">
        <v>24</v>
      </c>
      <c r="AB980" s="30" t="s">
        <v>25</v>
      </c>
      <c r="AD980" s="31" t="s">
        <v>26</v>
      </c>
      <c r="AE980" s="31" t="s">
        <v>27</v>
      </c>
      <c r="AF980" s="76"/>
    </row>
    <row r="981" spans="1:32" x14ac:dyDescent="0.25">
      <c r="A981" s="10">
        <v>1</v>
      </c>
      <c r="B981" s="32">
        <v>45679</v>
      </c>
      <c r="C981" s="33">
        <v>7767</v>
      </c>
      <c r="D981" s="34">
        <f>2050</f>
        <v>2050</v>
      </c>
      <c r="E981" s="34"/>
      <c r="F981" s="34">
        <f>SUM(D981:E981)</f>
        <v>2050</v>
      </c>
      <c r="G981" s="12"/>
      <c r="H981" s="12"/>
      <c r="I981" s="12"/>
      <c r="J981" s="12">
        <f>SUM(F981:I981)</f>
        <v>2050</v>
      </c>
      <c r="L981" s="10">
        <v>1</v>
      </c>
      <c r="M981" s="32">
        <v>45679</v>
      </c>
      <c r="N981" s="33">
        <v>7235</v>
      </c>
      <c r="O981" s="34">
        <f>626*13+614+596*5+832+205+674</f>
        <v>13443</v>
      </c>
      <c r="P981" s="34"/>
      <c r="Q981" s="34">
        <f>SUM(O981:P981)</f>
        <v>13443</v>
      </c>
      <c r="R981" s="12"/>
      <c r="S981" s="12"/>
      <c r="T981" s="12"/>
      <c r="U981" s="12">
        <f>SUM(Q981:T981)</f>
        <v>13443</v>
      </c>
      <c r="W981" s="10">
        <v>1</v>
      </c>
      <c r="X981" s="32">
        <v>45679</v>
      </c>
      <c r="Y981" s="33">
        <v>7678</v>
      </c>
      <c r="Z981" s="34">
        <f>626*21+674+852+832+178.5</f>
        <v>15682.5</v>
      </c>
      <c r="AA981" s="34"/>
      <c r="AB981" s="34">
        <f>SUM(Z981:AA981)</f>
        <v>15682.5</v>
      </c>
      <c r="AC981" s="12"/>
      <c r="AD981" s="12">
        <v>31.5</v>
      </c>
      <c r="AE981" s="12"/>
      <c r="AF981" s="12">
        <f>SUM(AB981:AE981)</f>
        <v>15714</v>
      </c>
    </row>
    <row r="982" spans="1:32" x14ac:dyDescent="0.25">
      <c r="A982" s="10">
        <v>2</v>
      </c>
      <c r="B982" s="32">
        <v>45679</v>
      </c>
      <c r="C982" s="33">
        <f>C981+1</f>
        <v>7768</v>
      </c>
      <c r="D982">
        <f>626*9+596+85</f>
        <v>6315</v>
      </c>
      <c r="E982" s="34"/>
      <c r="F982" s="34">
        <f t="shared" ref="F982:F985" si="333">SUM(D982:E982)</f>
        <v>6315</v>
      </c>
      <c r="G982" s="12"/>
      <c r="H982" s="12"/>
      <c r="I982" s="12"/>
      <c r="J982" s="12">
        <f t="shared" ref="J982:J1022" si="334">SUM(F982:I982)</f>
        <v>6315</v>
      </c>
      <c r="L982" s="10">
        <v>2</v>
      </c>
      <c r="M982" s="32">
        <v>45679</v>
      </c>
      <c r="N982" s="33">
        <f>N981+1</f>
        <v>7236</v>
      </c>
      <c r="O982">
        <f>1252+1228+17+674</f>
        <v>3171</v>
      </c>
      <c r="P982" s="34"/>
      <c r="Q982" s="34">
        <f t="shared" ref="Q982:Q985" si="335">SUM(O982:P982)</f>
        <v>3171</v>
      </c>
      <c r="R982" s="12"/>
      <c r="S982" s="12">
        <v>47.25</v>
      </c>
      <c r="T982" s="12"/>
      <c r="U982" s="12">
        <f t="shared" ref="U982:U1022" si="336">SUM(Q982:T982)</f>
        <v>3218.25</v>
      </c>
      <c r="W982" s="10">
        <v>2</v>
      </c>
      <c r="X982" s="32">
        <v>45679</v>
      </c>
      <c r="Y982" s="33">
        <f>Y981+1</f>
        <v>7679</v>
      </c>
      <c r="Z982" s="34">
        <f>626*3+596+34</f>
        <v>2508</v>
      </c>
      <c r="AA982" s="34"/>
      <c r="AB982" s="34">
        <f t="shared" ref="AB982:AB984" si="337">SUM(Z982:AA982)</f>
        <v>2508</v>
      </c>
      <c r="AC982" s="12"/>
      <c r="AD982" s="12"/>
      <c r="AE982" s="12"/>
      <c r="AF982" s="12">
        <f t="shared" ref="AF982:AF1022" si="338">SUM(AB982:AE982)</f>
        <v>2508</v>
      </c>
    </row>
    <row r="983" spans="1:32" x14ac:dyDescent="0.25">
      <c r="A983" s="10">
        <v>3</v>
      </c>
      <c r="B983" s="32">
        <v>45679</v>
      </c>
      <c r="C983" s="33">
        <f t="shared" ref="C983:C1007" si="339">C982+1</f>
        <v>7769</v>
      </c>
      <c r="D983" s="34">
        <f>626*7+614*2+596+68</f>
        <v>6274</v>
      </c>
      <c r="E983" s="34"/>
      <c r="F983" s="34">
        <f t="shared" si="333"/>
        <v>6274</v>
      </c>
      <c r="G983" s="12"/>
      <c r="H983" s="12"/>
      <c r="I983" s="12"/>
      <c r="J983" s="12">
        <f t="shared" si="334"/>
        <v>6274</v>
      </c>
      <c r="L983" s="10">
        <v>3</v>
      </c>
      <c r="M983" s="32">
        <v>45679</v>
      </c>
      <c r="N983" s="33">
        <f t="shared" ref="N983:N1008" si="340">N982+1</f>
        <v>7237</v>
      </c>
      <c r="O983" s="34">
        <f>626*55+596*10+205</f>
        <v>40595</v>
      </c>
      <c r="P983" s="34">
        <v>-528</v>
      </c>
      <c r="Q983" s="34">
        <f t="shared" si="335"/>
        <v>40067</v>
      </c>
      <c r="R983" s="12"/>
      <c r="S983" s="12"/>
      <c r="T983" s="12"/>
      <c r="U983" s="12">
        <f t="shared" si="336"/>
        <v>40067</v>
      </c>
      <c r="W983" s="10">
        <v>3</v>
      </c>
      <c r="X983" s="32">
        <v>45679</v>
      </c>
      <c r="Y983" s="33">
        <f t="shared" ref="Y983:Y990" si="341">Y982+1</f>
        <v>7680</v>
      </c>
      <c r="Z983" s="34">
        <f>626*9+596*3+102</f>
        <v>7524</v>
      </c>
      <c r="AA983" s="34"/>
      <c r="AB983" s="34">
        <f t="shared" si="337"/>
        <v>7524</v>
      </c>
      <c r="AC983" s="12"/>
      <c r="AD983" s="12"/>
      <c r="AE983" s="12"/>
      <c r="AF983" s="12">
        <f t="shared" si="338"/>
        <v>7524</v>
      </c>
    </row>
    <row r="984" spans="1:32" x14ac:dyDescent="0.25">
      <c r="A984" s="10">
        <v>4</v>
      </c>
      <c r="B984" s="32">
        <v>45679</v>
      </c>
      <c r="C984" s="33">
        <f t="shared" si="339"/>
        <v>7770</v>
      </c>
      <c r="D984" s="34">
        <f>626*3+26</f>
        <v>1904</v>
      </c>
      <c r="E984" s="34"/>
      <c r="F984" s="34">
        <f t="shared" si="333"/>
        <v>1904</v>
      </c>
      <c r="G984" s="12"/>
      <c r="H984" s="12"/>
      <c r="I984" s="12"/>
      <c r="J984" s="12">
        <f t="shared" si="334"/>
        <v>1904</v>
      </c>
      <c r="L984" s="10">
        <v>4</v>
      </c>
      <c r="M984" s="32">
        <v>45679</v>
      </c>
      <c r="N984" s="33">
        <f t="shared" si="340"/>
        <v>7238</v>
      </c>
      <c r="O984" s="34">
        <f>626*10+410</f>
        <v>6670</v>
      </c>
      <c r="P984" s="34"/>
      <c r="Q984" s="34">
        <f t="shared" si="335"/>
        <v>6670</v>
      </c>
      <c r="R984" s="12"/>
      <c r="S984" s="12"/>
      <c r="T984" s="12"/>
      <c r="U984" s="12">
        <f t="shared" si="336"/>
        <v>6670</v>
      </c>
      <c r="W984" s="10">
        <v>4</v>
      </c>
      <c r="X984" s="32">
        <v>45679</v>
      </c>
      <c r="Y984" s="33">
        <f t="shared" si="341"/>
        <v>7681</v>
      </c>
      <c r="Z984" s="34">
        <f>626*35+596*15+410</f>
        <v>31260</v>
      </c>
      <c r="AA984" s="34">
        <v>-416</v>
      </c>
      <c r="AB984" s="34">
        <f t="shared" si="337"/>
        <v>30844</v>
      </c>
      <c r="AC984" s="12"/>
      <c r="AD984">
        <v>438</v>
      </c>
      <c r="AE984" s="12"/>
      <c r="AF984" s="12">
        <f t="shared" si="338"/>
        <v>31282</v>
      </c>
    </row>
    <row r="985" spans="1:32" x14ac:dyDescent="0.25">
      <c r="A985" s="10">
        <v>5</v>
      </c>
      <c r="B985" s="32">
        <v>45679</v>
      </c>
      <c r="C985" s="33">
        <f t="shared" si="339"/>
        <v>7771</v>
      </c>
      <c r="D985" s="34">
        <f>626+596+17</f>
        <v>1239</v>
      </c>
      <c r="E985" s="34"/>
      <c r="F985" s="34">
        <f t="shared" si="333"/>
        <v>1239</v>
      </c>
      <c r="G985" s="12"/>
      <c r="H985" s="12">
        <v>9</v>
      </c>
      <c r="I985" s="12"/>
      <c r="J985" s="12">
        <f t="shared" si="334"/>
        <v>1248</v>
      </c>
      <c r="L985" s="10">
        <v>5</v>
      </c>
      <c r="M985" s="32">
        <v>45679</v>
      </c>
      <c r="N985" s="33">
        <f t="shared" si="340"/>
        <v>7239</v>
      </c>
      <c r="O985" s="34">
        <f>626*6+596*3+76.5+674</f>
        <v>6294.5</v>
      </c>
      <c r="P985" s="34"/>
      <c r="Q985" s="34">
        <f t="shared" si="335"/>
        <v>6294.5</v>
      </c>
      <c r="R985" s="12"/>
      <c r="S985" s="12"/>
      <c r="T985" s="12"/>
      <c r="U985" s="12">
        <f t="shared" si="336"/>
        <v>6294.5</v>
      </c>
      <c r="W985" s="10">
        <v>5</v>
      </c>
      <c r="X985" s="32">
        <v>45679</v>
      </c>
      <c r="Y985" s="33">
        <f t="shared" si="341"/>
        <v>7682</v>
      </c>
      <c r="Z985" s="34">
        <f>626*75+614+596*75+832*2+205*6+674*5</f>
        <v>98528</v>
      </c>
      <c r="AA985" s="34">
        <v>-1264</v>
      </c>
      <c r="AB985" s="34">
        <f t="shared" ref="AB985:AB990" si="342">SUM(Z985:AA985)</f>
        <v>97264</v>
      </c>
      <c r="AC985" s="12"/>
      <c r="AD985" s="12">
        <v>300</v>
      </c>
      <c r="AE985" s="12"/>
      <c r="AF985" s="12">
        <f t="shared" si="338"/>
        <v>97564</v>
      </c>
    </row>
    <row r="986" spans="1:32" x14ac:dyDescent="0.25">
      <c r="A986" s="10">
        <v>6</v>
      </c>
      <c r="B986" s="32">
        <v>45679</v>
      </c>
      <c r="C986" s="33">
        <f t="shared" si="339"/>
        <v>7772</v>
      </c>
      <c r="D986" s="34">
        <f>1252+596+26</f>
        <v>1874</v>
      </c>
      <c r="E986" s="34"/>
      <c r="F986" s="34">
        <f>SUM(D986:E986)</f>
        <v>1874</v>
      </c>
      <c r="G986" s="12"/>
      <c r="H986" s="12"/>
      <c r="I986" s="10"/>
      <c r="J986" s="12">
        <f t="shared" si="334"/>
        <v>1874</v>
      </c>
      <c r="L986" s="10">
        <v>6</v>
      </c>
      <c r="M986" s="32">
        <v>45679</v>
      </c>
      <c r="N986" s="33">
        <f t="shared" si="340"/>
        <v>7240</v>
      </c>
      <c r="O986" s="34">
        <f>1878+25.5</f>
        <v>1903.5</v>
      </c>
      <c r="P986" s="34"/>
      <c r="Q986" s="34">
        <f>SUM(O986:P986)</f>
        <v>1903.5</v>
      </c>
      <c r="R986" s="12"/>
      <c r="S986" s="12">
        <v>13.5</v>
      </c>
      <c r="T986" s="10"/>
      <c r="U986" s="12">
        <f t="shared" si="336"/>
        <v>1917</v>
      </c>
      <c r="W986" s="10">
        <v>6</v>
      </c>
      <c r="X986" s="32">
        <v>45679</v>
      </c>
      <c r="Y986" s="33">
        <f t="shared" si="341"/>
        <v>7683</v>
      </c>
      <c r="Z986" s="34">
        <f>626*10+85</f>
        <v>6345</v>
      </c>
      <c r="AA986" s="34"/>
      <c r="AB986" s="34">
        <f t="shared" si="342"/>
        <v>6345</v>
      </c>
      <c r="AC986" s="12"/>
      <c r="AD986" s="12"/>
      <c r="AE986" s="10"/>
      <c r="AF986" s="12">
        <f t="shared" si="338"/>
        <v>6345</v>
      </c>
    </row>
    <row r="987" spans="1:32" x14ac:dyDescent="0.25">
      <c r="A987" s="10">
        <v>7</v>
      </c>
      <c r="B987" s="32">
        <v>45679</v>
      </c>
      <c r="C987" s="33">
        <f t="shared" si="339"/>
        <v>7773</v>
      </c>
      <c r="D987" s="34">
        <f>1252+17</f>
        <v>1269</v>
      </c>
      <c r="E987" s="34"/>
      <c r="F987" s="34">
        <f t="shared" ref="F987:F1019" si="343">SUM(D987:E987)</f>
        <v>1269</v>
      </c>
      <c r="G987" s="12"/>
      <c r="H987" s="12"/>
      <c r="I987" s="12"/>
      <c r="J987" s="12">
        <f t="shared" si="334"/>
        <v>1269</v>
      </c>
      <c r="L987" s="10">
        <v>7</v>
      </c>
      <c r="M987" s="32">
        <v>45679</v>
      </c>
      <c r="N987" s="33">
        <f t="shared" si="340"/>
        <v>7241</v>
      </c>
      <c r="O987" s="34">
        <f>3130+832+42.5</f>
        <v>4004.5</v>
      </c>
      <c r="P987" s="34"/>
      <c r="Q987" s="34">
        <f t="shared" ref="Q987:Q1019" si="344">SUM(O987:P987)</f>
        <v>4004.5</v>
      </c>
      <c r="R987" s="12"/>
      <c r="S987" s="12"/>
      <c r="T987" s="12"/>
      <c r="U987" s="12">
        <f t="shared" si="336"/>
        <v>4004.5</v>
      </c>
      <c r="W987" s="10">
        <v>7</v>
      </c>
      <c r="X987" s="32">
        <v>45679</v>
      </c>
      <c r="Y987" s="33">
        <f t="shared" si="341"/>
        <v>7684</v>
      </c>
      <c r="Z987" s="34">
        <f>626*36+596*5+832+205*2</f>
        <v>26758</v>
      </c>
      <c r="AA987" s="34"/>
      <c r="AB987" s="34">
        <f t="shared" si="342"/>
        <v>26758</v>
      </c>
      <c r="AC987" s="12"/>
      <c r="AD987" s="66"/>
      <c r="AE987" s="12"/>
      <c r="AF987" s="12">
        <f t="shared" si="338"/>
        <v>26758</v>
      </c>
    </row>
    <row r="988" spans="1:32" x14ac:dyDescent="0.25">
      <c r="A988" s="10">
        <v>8</v>
      </c>
      <c r="B988" s="32">
        <v>45679</v>
      </c>
      <c r="C988" s="33">
        <f t="shared" si="339"/>
        <v>7774</v>
      </c>
      <c r="D988" s="34">
        <f>2504+34</f>
        <v>2538</v>
      </c>
      <c r="E988" s="34"/>
      <c r="F988" s="34">
        <f t="shared" si="343"/>
        <v>2538</v>
      </c>
      <c r="G988" s="12"/>
      <c r="H988" s="12"/>
      <c r="I988" s="12"/>
      <c r="J988" s="12">
        <f t="shared" si="334"/>
        <v>2538</v>
      </c>
      <c r="L988" s="10">
        <v>8</v>
      </c>
      <c r="M988" s="32">
        <v>45679</v>
      </c>
      <c r="N988" s="33">
        <f t="shared" si="340"/>
        <v>7242</v>
      </c>
      <c r="O988" s="34">
        <f>1878+25.5</f>
        <v>1903.5</v>
      </c>
      <c r="P988" s="34"/>
      <c r="Q988" s="34">
        <f t="shared" si="344"/>
        <v>1903.5</v>
      </c>
      <c r="R988" s="12"/>
      <c r="S988" s="12"/>
      <c r="T988" s="12"/>
      <c r="U988" s="12">
        <f t="shared" si="336"/>
        <v>1903.5</v>
      </c>
      <c r="W988" s="10">
        <v>8</v>
      </c>
      <c r="X988" s="32">
        <v>45679</v>
      </c>
      <c r="Y988" s="33">
        <f t="shared" si="341"/>
        <v>7685</v>
      </c>
      <c r="Z988" s="34">
        <f>626*30+596*5+205</f>
        <v>21965</v>
      </c>
      <c r="AB988" s="34">
        <f t="shared" si="342"/>
        <v>21965</v>
      </c>
      <c r="AC988" s="12"/>
      <c r="AD988" s="12">
        <v>609</v>
      </c>
      <c r="AE988" s="12"/>
      <c r="AF988" s="12">
        <f t="shared" si="338"/>
        <v>22574</v>
      </c>
    </row>
    <row r="989" spans="1:32" x14ac:dyDescent="0.25">
      <c r="A989" s="10">
        <v>9</v>
      </c>
      <c r="B989" s="32">
        <v>45679</v>
      </c>
      <c r="C989" s="33">
        <f t="shared" si="339"/>
        <v>7775</v>
      </c>
      <c r="D989" s="34">
        <f>2504+34</f>
        <v>2538</v>
      </c>
      <c r="E989" s="34"/>
      <c r="F989" s="34">
        <f t="shared" si="343"/>
        <v>2538</v>
      </c>
      <c r="G989" s="12"/>
      <c r="H989" s="12"/>
      <c r="I989" s="12"/>
      <c r="J989" s="12">
        <f t="shared" si="334"/>
        <v>2538</v>
      </c>
      <c r="L989" s="10">
        <v>9</v>
      </c>
      <c r="M989" s="32">
        <v>45679</v>
      </c>
      <c r="N989" s="33">
        <f t="shared" si="340"/>
        <v>7243</v>
      </c>
      <c r="O989" s="34">
        <f>1878+25.5</f>
        <v>1903.5</v>
      </c>
      <c r="P989" s="34"/>
      <c r="Q989" s="34">
        <f t="shared" si="344"/>
        <v>1903.5</v>
      </c>
      <c r="R989" s="12"/>
      <c r="S989" s="12"/>
      <c r="T989" s="12"/>
      <c r="U989" s="12">
        <f t="shared" si="336"/>
        <v>1903.5</v>
      </c>
      <c r="W989" s="10">
        <v>9</v>
      </c>
      <c r="X989" s="32">
        <v>45679</v>
      </c>
      <c r="Y989" s="33">
        <f t="shared" si="341"/>
        <v>7686</v>
      </c>
      <c r="Z989">
        <f>626*150+205*6</f>
        <v>95130</v>
      </c>
      <c r="AA989" s="34">
        <v>-1248</v>
      </c>
      <c r="AB989" s="34">
        <f t="shared" si="342"/>
        <v>93882</v>
      </c>
      <c r="AC989" s="12"/>
      <c r="AD989" s="66">
        <v>72</v>
      </c>
      <c r="AE989" s="12"/>
      <c r="AF989" s="12">
        <f t="shared" si="338"/>
        <v>93954</v>
      </c>
    </row>
    <row r="990" spans="1:32" x14ac:dyDescent="0.25">
      <c r="A990" s="10">
        <v>10</v>
      </c>
      <c r="B990" s="32">
        <v>45679</v>
      </c>
      <c r="C990" s="33">
        <f t="shared" si="339"/>
        <v>7776</v>
      </c>
      <c r="D990" s="34">
        <f>1252+17</f>
        <v>1269</v>
      </c>
      <c r="E990" s="34"/>
      <c r="F990" s="34">
        <f t="shared" si="343"/>
        <v>1269</v>
      </c>
      <c r="G990" s="12"/>
      <c r="H990" s="12"/>
      <c r="I990" s="12"/>
      <c r="J990" s="12">
        <f t="shared" si="334"/>
        <v>1269</v>
      </c>
      <c r="L990" s="10">
        <v>10</v>
      </c>
      <c r="M990" s="32">
        <v>45679</v>
      </c>
      <c r="N990" s="33">
        <f t="shared" si="340"/>
        <v>7244</v>
      </c>
      <c r="O990" s="34">
        <f>626+17+674</f>
        <v>1317</v>
      </c>
      <c r="P990" s="34"/>
      <c r="Q990" s="34">
        <f t="shared" si="344"/>
        <v>1317</v>
      </c>
      <c r="R990" s="12"/>
      <c r="S990" s="12"/>
      <c r="T990" s="12"/>
      <c r="U990" s="12">
        <f t="shared" si="336"/>
        <v>1317</v>
      </c>
      <c r="W990" s="10">
        <v>10</v>
      </c>
      <c r="X990" s="32">
        <v>45679</v>
      </c>
      <c r="Y990" s="33">
        <f t="shared" si="341"/>
        <v>7687</v>
      </c>
      <c r="Z990" s="34">
        <f>626*3+832*2+25.5+500</f>
        <v>4067.5</v>
      </c>
      <c r="AA990" s="34"/>
      <c r="AB990" s="34">
        <f t="shared" si="342"/>
        <v>4067.5</v>
      </c>
      <c r="AC990" s="12"/>
      <c r="AD990" s="12"/>
      <c r="AE990" s="12"/>
      <c r="AF990" s="12">
        <f t="shared" si="338"/>
        <v>4067.5</v>
      </c>
    </row>
    <row r="991" spans="1:32" x14ac:dyDescent="0.25">
      <c r="A991" s="10">
        <v>11</v>
      </c>
      <c r="B991" s="32">
        <v>45679</v>
      </c>
      <c r="C991" s="33">
        <f t="shared" si="339"/>
        <v>7777</v>
      </c>
      <c r="D991" s="34">
        <f>6260+3576+136</f>
        <v>9972</v>
      </c>
      <c r="E991" s="34"/>
      <c r="F991" s="34">
        <f t="shared" si="343"/>
        <v>9972</v>
      </c>
      <c r="G991" s="12"/>
      <c r="H991" s="12">
        <v>57</v>
      </c>
      <c r="I991" s="12"/>
      <c r="J991" s="12">
        <f t="shared" si="334"/>
        <v>10029</v>
      </c>
      <c r="L991" s="10">
        <v>11</v>
      </c>
      <c r="M991" s="32">
        <v>45679</v>
      </c>
      <c r="N991" s="33">
        <f t="shared" si="340"/>
        <v>7245</v>
      </c>
      <c r="O991" s="34">
        <f>1192+17</f>
        <v>1209</v>
      </c>
      <c r="P991" s="34"/>
      <c r="Q991" s="34">
        <f t="shared" si="344"/>
        <v>1209</v>
      </c>
      <c r="R991" s="12"/>
      <c r="S991" s="12"/>
      <c r="T991" s="12"/>
      <c r="U991" s="12">
        <f t="shared" si="336"/>
        <v>1209</v>
      </c>
      <c r="W991" s="10">
        <v>11</v>
      </c>
      <c r="X991" s="32"/>
      <c r="Y991" s="11" t="s">
        <v>28</v>
      </c>
      <c r="Z991" s="34"/>
      <c r="AA991" s="34"/>
      <c r="AB991" s="34">
        <f t="shared" ref="AB991:AB1013" si="345">SUM(Z991:AA991)</f>
        <v>0</v>
      </c>
      <c r="AC991" s="12"/>
      <c r="AD991" s="12"/>
      <c r="AE991" s="12"/>
      <c r="AF991" s="12">
        <f t="shared" si="338"/>
        <v>0</v>
      </c>
    </row>
    <row r="992" spans="1:32" x14ac:dyDescent="0.25">
      <c r="A992" s="10">
        <v>12</v>
      </c>
      <c r="B992" s="32">
        <v>45679</v>
      </c>
      <c r="C992" s="33">
        <f t="shared" si="339"/>
        <v>7778</v>
      </c>
      <c r="D992" s="34">
        <f>1252+596+26</f>
        <v>1874</v>
      </c>
      <c r="E992" s="34"/>
      <c r="F992" s="34">
        <f t="shared" si="343"/>
        <v>1874</v>
      </c>
      <c r="G992" s="12"/>
      <c r="H992" s="12">
        <v>9</v>
      </c>
      <c r="I992" s="12"/>
      <c r="J992" s="12">
        <f t="shared" si="334"/>
        <v>1883</v>
      </c>
      <c r="L992" s="10">
        <v>12</v>
      </c>
      <c r="M992" s="32">
        <v>45679</v>
      </c>
      <c r="N992" s="33">
        <f t="shared" si="340"/>
        <v>7246</v>
      </c>
      <c r="O992" s="34">
        <f>1878+674</f>
        <v>2552</v>
      </c>
      <c r="P992" s="34"/>
      <c r="Q992" s="34">
        <f t="shared" si="344"/>
        <v>2552</v>
      </c>
      <c r="R992" s="12"/>
      <c r="S992" s="12"/>
      <c r="T992" s="12"/>
      <c r="U992" s="12">
        <f t="shared" si="336"/>
        <v>2552</v>
      </c>
      <c r="W992" s="10">
        <v>12</v>
      </c>
      <c r="X992" s="32"/>
      <c r="Y992" s="33"/>
      <c r="Z992" s="34"/>
      <c r="AA992" s="34"/>
      <c r="AB992" s="34">
        <f t="shared" si="345"/>
        <v>0</v>
      </c>
      <c r="AC992" s="12"/>
      <c r="AD992" s="12"/>
      <c r="AE992" s="12"/>
      <c r="AF992" s="12">
        <f t="shared" si="338"/>
        <v>0</v>
      </c>
    </row>
    <row r="993" spans="1:32" x14ac:dyDescent="0.25">
      <c r="A993" s="10">
        <v>13</v>
      </c>
      <c r="B993" s="32">
        <v>45679</v>
      </c>
      <c r="C993" s="33">
        <f t="shared" si="339"/>
        <v>7779</v>
      </c>
      <c r="D993" s="34">
        <f>1878+26</f>
        <v>1904</v>
      </c>
      <c r="E993" s="34"/>
      <c r="F993" s="34">
        <f t="shared" si="343"/>
        <v>1904</v>
      </c>
      <c r="G993" s="12"/>
      <c r="H993" s="12"/>
      <c r="I993" s="12"/>
      <c r="J993" s="12">
        <f t="shared" si="334"/>
        <v>1904</v>
      </c>
      <c r="L993" s="10">
        <v>13</v>
      </c>
      <c r="M993" s="32">
        <v>45679</v>
      </c>
      <c r="N993" s="33">
        <f t="shared" si="340"/>
        <v>7247</v>
      </c>
      <c r="O993" s="34">
        <f>626+596+17</f>
        <v>1239</v>
      </c>
      <c r="P993" s="34"/>
      <c r="Q993" s="34">
        <f t="shared" si="344"/>
        <v>1239</v>
      </c>
      <c r="R993" s="12"/>
      <c r="S993" s="12"/>
      <c r="T993" s="12"/>
      <c r="U993" s="12">
        <f t="shared" si="336"/>
        <v>1239</v>
      </c>
      <c r="W993" s="10">
        <v>13</v>
      </c>
      <c r="X993" s="32"/>
      <c r="Y993" s="33"/>
      <c r="Z993" s="34"/>
      <c r="AA993" s="34"/>
      <c r="AB993" s="34">
        <f t="shared" si="345"/>
        <v>0</v>
      </c>
      <c r="AC993" s="12"/>
      <c r="AD993" s="12"/>
      <c r="AE993" s="12"/>
      <c r="AF993" s="12">
        <f t="shared" si="338"/>
        <v>0</v>
      </c>
    </row>
    <row r="994" spans="1:32" x14ac:dyDescent="0.25">
      <c r="A994" s="10">
        <v>14</v>
      </c>
      <c r="B994" s="32">
        <v>45679</v>
      </c>
      <c r="C994" s="33">
        <f t="shared" si="339"/>
        <v>7780</v>
      </c>
      <c r="D994" s="34">
        <f>626+8.5</f>
        <v>634.5</v>
      </c>
      <c r="E994" s="34"/>
      <c r="F994" s="34">
        <f t="shared" si="343"/>
        <v>634.5</v>
      </c>
      <c r="G994" s="12"/>
      <c r="H994" s="12"/>
      <c r="I994" s="12"/>
      <c r="J994" s="12">
        <f t="shared" si="334"/>
        <v>634.5</v>
      </c>
      <c r="L994" s="10">
        <v>14</v>
      </c>
      <c r="M994" s="32">
        <v>45679</v>
      </c>
      <c r="N994" s="33">
        <f t="shared" si="340"/>
        <v>7248</v>
      </c>
      <c r="O994" s="34">
        <f>1878+25.5</f>
        <v>1903.5</v>
      </c>
      <c r="P994" s="34"/>
      <c r="Q994" s="34">
        <f t="shared" si="344"/>
        <v>1903.5</v>
      </c>
      <c r="R994" s="12"/>
      <c r="S994" s="12"/>
      <c r="T994" s="12"/>
      <c r="U994" s="12">
        <f t="shared" si="336"/>
        <v>1903.5</v>
      </c>
      <c r="W994" s="10">
        <v>14</v>
      </c>
      <c r="X994" s="32"/>
      <c r="Y994" s="33"/>
      <c r="AA994" s="34"/>
      <c r="AB994" s="34">
        <f t="shared" si="345"/>
        <v>0</v>
      </c>
      <c r="AC994" s="12"/>
      <c r="AD994" s="12"/>
      <c r="AE994" s="12"/>
      <c r="AF994" s="12">
        <f t="shared" si="338"/>
        <v>0</v>
      </c>
    </row>
    <row r="995" spans="1:32" x14ac:dyDescent="0.25">
      <c r="A995" s="10">
        <v>15</v>
      </c>
      <c r="B995" s="32">
        <v>45679</v>
      </c>
      <c r="C995" s="33">
        <f t="shared" si="339"/>
        <v>7781</v>
      </c>
      <c r="D995" s="34">
        <f>626*19+596*2+8.5*21+674</f>
        <v>13938.5</v>
      </c>
      <c r="E995" s="34"/>
      <c r="F995" s="34">
        <f t="shared" si="343"/>
        <v>13938.5</v>
      </c>
      <c r="G995" s="12"/>
      <c r="H995" s="12"/>
      <c r="I995" s="12"/>
      <c r="J995" s="12">
        <f t="shared" si="334"/>
        <v>13938.5</v>
      </c>
      <c r="L995" s="10">
        <v>15</v>
      </c>
      <c r="M995" s="32">
        <v>45679</v>
      </c>
      <c r="N995" s="33">
        <f t="shared" si="340"/>
        <v>7249</v>
      </c>
      <c r="O995" s="34">
        <f>626*11+596*2+119+674</f>
        <v>8871</v>
      </c>
      <c r="P995" s="34"/>
      <c r="Q995" s="34">
        <f t="shared" si="344"/>
        <v>8871</v>
      </c>
      <c r="R995" s="12"/>
      <c r="S995" s="12"/>
      <c r="T995" s="12"/>
      <c r="U995" s="12">
        <f t="shared" si="336"/>
        <v>8871</v>
      </c>
      <c r="W995" s="10">
        <v>15</v>
      </c>
      <c r="X995" s="32"/>
      <c r="Y995" s="33"/>
      <c r="Z995" s="34"/>
      <c r="AA995" s="34"/>
      <c r="AB995" s="34">
        <f t="shared" si="345"/>
        <v>0</v>
      </c>
      <c r="AC995" s="12"/>
      <c r="AD995" s="12"/>
      <c r="AE995" s="12"/>
      <c r="AF995" s="12">
        <f t="shared" si="338"/>
        <v>0</v>
      </c>
    </row>
    <row r="996" spans="1:32" x14ac:dyDescent="0.25">
      <c r="A996" s="10">
        <v>16</v>
      </c>
      <c r="B996" s="32">
        <v>45679</v>
      </c>
      <c r="C996" s="33">
        <f t="shared" si="339"/>
        <v>7782</v>
      </c>
      <c r="D996" s="34">
        <f>626*24+596*5+205+674</f>
        <v>18883</v>
      </c>
      <c r="E996" s="34"/>
      <c r="F996" s="34">
        <f t="shared" si="343"/>
        <v>18883</v>
      </c>
      <c r="G996" s="12"/>
      <c r="H996" s="12"/>
      <c r="I996" s="12"/>
      <c r="J996" s="12">
        <f t="shared" si="334"/>
        <v>18883</v>
      </c>
      <c r="L996" s="10">
        <v>16</v>
      </c>
      <c r="M996" s="32">
        <v>45679</v>
      </c>
      <c r="N996" s="33">
        <f t="shared" si="340"/>
        <v>7250</v>
      </c>
      <c r="O996" s="34">
        <f>626*19+596*2+205+674*2</f>
        <v>14639</v>
      </c>
      <c r="P996" s="34"/>
      <c r="Q996" s="34">
        <f t="shared" si="344"/>
        <v>14639</v>
      </c>
      <c r="R996" s="12"/>
      <c r="S996" s="12">
        <v>16.5</v>
      </c>
      <c r="T996" s="12"/>
      <c r="U996" s="12">
        <f t="shared" si="336"/>
        <v>14655.5</v>
      </c>
      <c r="W996" s="10">
        <v>16</v>
      </c>
      <c r="X996" s="32"/>
      <c r="Y996" s="33"/>
      <c r="Z996" s="34"/>
      <c r="AA996" s="34"/>
      <c r="AB996" s="34">
        <f t="shared" si="345"/>
        <v>0</v>
      </c>
      <c r="AC996" s="12"/>
      <c r="AD996" s="12"/>
      <c r="AE996" s="12"/>
      <c r="AF996" s="12">
        <f t="shared" si="338"/>
        <v>0</v>
      </c>
    </row>
    <row r="997" spans="1:32" x14ac:dyDescent="0.25">
      <c r="A997" s="10">
        <v>17</v>
      </c>
      <c r="B997" s="32">
        <v>45679</v>
      </c>
      <c r="C997" s="33">
        <f t="shared" si="339"/>
        <v>7783</v>
      </c>
      <c r="D997" s="37">
        <f>626*5+832+43</f>
        <v>4005</v>
      </c>
      <c r="E997" s="34"/>
      <c r="F997" s="34">
        <f t="shared" si="343"/>
        <v>4005</v>
      </c>
      <c r="G997" s="12"/>
      <c r="H997" s="12">
        <v>14</v>
      </c>
      <c r="I997" s="12"/>
      <c r="J997" s="12">
        <f t="shared" si="334"/>
        <v>4019</v>
      </c>
      <c r="L997" s="10">
        <v>17</v>
      </c>
      <c r="M997" s="32">
        <v>45679</v>
      </c>
      <c r="N997" s="33">
        <f>N996+1</f>
        <v>7251</v>
      </c>
      <c r="O997" s="37">
        <f>626*3+596*2+42.5+674</f>
        <v>3786.5</v>
      </c>
      <c r="P997" s="34"/>
      <c r="Q997" s="34">
        <f t="shared" si="344"/>
        <v>3786.5</v>
      </c>
      <c r="R997" s="12"/>
      <c r="S997" s="12"/>
      <c r="T997" s="12"/>
      <c r="U997" s="12">
        <f t="shared" si="336"/>
        <v>3786.5</v>
      </c>
      <c r="W997" s="10">
        <v>17</v>
      </c>
      <c r="X997" s="32"/>
      <c r="Y997" s="33"/>
      <c r="Z997" s="37"/>
      <c r="AA997" s="34"/>
      <c r="AB997" s="34">
        <f t="shared" si="345"/>
        <v>0</v>
      </c>
      <c r="AC997" s="12"/>
      <c r="AD997" s="12"/>
      <c r="AE997" s="12"/>
      <c r="AF997" s="12">
        <f t="shared" si="338"/>
        <v>0</v>
      </c>
    </row>
    <row r="998" spans="1:32" x14ac:dyDescent="0.25">
      <c r="A998" s="10">
        <v>18</v>
      </c>
      <c r="B998" s="32">
        <v>45679</v>
      </c>
      <c r="C998" s="33">
        <f t="shared" si="339"/>
        <v>7784</v>
      </c>
      <c r="D998" s="34">
        <f>626*14+614*2+596*5+832+500+674</f>
        <v>14978</v>
      </c>
      <c r="E998" s="34"/>
      <c r="F998" s="34">
        <f t="shared" si="343"/>
        <v>14978</v>
      </c>
      <c r="G998" s="12"/>
      <c r="H998" s="12"/>
      <c r="I998" s="12"/>
      <c r="J998" s="12">
        <f t="shared" si="334"/>
        <v>14978</v>
      </c>
      <c r="L998" s="10">
        <v>18</v>
      </c>
      <c r="M998" s="32">
        <v>45679</v>
      </c>
      <c r="N998" s="33">
        <f t="shared" si="340"/>
        <v>7252</v>
      </c>
      <c r="O998" s="34">
        <f>626*4+34</f>
        <v>2538</v>
      </c>
      <c r="P998" s="34"/>
      <c r="Q998" s="34">
        <f t="shared" si="344"/>
        <v>2538</v>
      </c>
      <c r="R998" s="12"/>
      <c r="S998" s="12"/>
      <c r="T998" s="12"/>
      <c r="U998" s="12">
        <f t="shared" si="336"/>
        <v>2538</v>
      </c>
      <c r="W998" s="10">
        <v>18</v>
      </c>
      <c r="X998" s="32"/>
      <c r="Y998" s="33"/>
      <c r="Z998" s="34"/>
      <c r="AA998" s="34"/>
      <c r="AB998" s="34">
        <f t="shared" si="345"/>
        <v>0</v>
      </c>
      <c r="AC998" s="12"/>
      <c r="AD998" s="12"/>
      <c r="AE998" s="12"/>
      <c r="AF998" s="12">
        <f t="shared" si="338"/>
        <v>0</v>
      </c>
    </row>
    <row r="999" spans="1:32" x14ac:dyDescent="0.25">
      <c r="A999" s="10">
        <v>19</v>
      </c>
      <c r="B999" s="32">
        <v>45679</v>
      </c>
      <c r="C999" s="33">
        <f t="shared" si="339"/>
        <v>7785</v>
      </c>
      <c r="D999" s="34">
        <f>626*11+614+596*2+110.5+674</f>
        <v>9476.5</v>
      </c>
      <c r="E999" s="34"/>
      <c r="F999" s="34">
        <f t="shared" si="343"/>
        <v>9476.5</v>
      </c>
      <c r="G999" s="12"/>
      <c r="H999" s="12"/>
      <c r="I999" s="12"/>
      <c r="J999" s="12">
        <f t="shared" si="334"/>
        <v>9476.5</v>
      </c>
      <c r="L999" s="10">
        <v>19</v>
      </c>
      <c r="M999" s="32">
        <v>45679</v>
      </c>
      <c r="N999" s="33">
        <f t="shared" si="340"/>
        <v>7253</v>
      </c>
      <c r="O999" s="34">
        <f>626*4+205</f>
        <v>2709</v>
      </c>
      <c r="P999" s="34"/>
      <c r="Q999" s="34">
        <f t="shared" si="344"/>
        <v>2709</v>
      </c>
      <c r="R999" s="12"/>
      <c r="S999" s="12"/>
      <c r="T999" s="12"/>
      <c r="U999" s="12">
        <f t="shared" si="336"/>
        <v>2709</v>
      </c>
      <c r="W999" s="10">
        <v>19</v>
      </c>
      <c r="X999" s="32"/>
      <c r="Y999" s="33"/>
      <c r="Z999" s="34"/>
      <c r="AA999" s="34"/>
      <c r="AB999" s="34">
        <f t="shared" si="345"/>
        <v>0</v>
      </c>
      <c r="AC999" s="12"/>
      <c r="AD999" s="12"/>
      <c r="AE999" s="12"/>
      <c r="AF999" s="12">
        <f t="shared" si="338"/>
        <v>0</v>
      </c>
    </row>
    <row r="1000" spans="1:32" x14ac:dyDescent="0.25">
      <c r="A1000" s="10">
        <v>20</v>
      </c>
      <c r="B1000" s="32">
        <v>45679</v>
      </c>
      <c r="C1000" s="33">
        <f t="shared" si="339"/>
        <v>7786</v>
      </c>
      <c r="D1000" s="34">
        <f>626*2+596+26</f>
        <v>1874</v>
      </c>
      <c r="E1000" s="34"/>
      <c r="F1000" s="34">
        <f t="shared" si="343"/>
        <v>1874</v>
      </c>
      <c r="G1000" s="12"/>
      <c r="H1000" s="12"/>
      <c r="I1000" s="12"/>
      <c r="J1000" s="12">
        <f t="shared" si="334"/>
        <v>1874</v>
      </c>
      <c r="L1000" s="10">
        <v>20</v>
      </c>
      <c r="M1000" s="32">
        <v>45679</v>
      </c>
      <c r="N1000" s="33">
        <f t="shared" si="340"/>
        <v>7254</v>
      </c>
      <c r="O1000" s="34">
        <f>2504+34</f>
        <v>2538</v>
      </c>
      <c r="P1000" s="34"/>
      <c r="Q1000" s="34">
        <f t="shared" si="344"/>
        <v>2538</v>
      </c>
      <c r="R1000" s="12"/>
      <c r="S1000" s="12"/>
      <c r="T1000" s="12"/>
      <c r="U1000" s="12">
        <f t="shared" si="336"/>
        <v>2538</v>
      </c>
      <c r="W1000" s="10">
        <v>20</v>
      </c>
      <c r="X1000" s="32"/>
      <c r="Y1000" s="33"/>
      <c r="Z1000" s="34"/>
      <c r="AA1000" s="34"/>
      <c r="AB1000" s="34">
        <f t="shared" si="345"/>
        <v>0</v>
      </c>
      <c r="AC1000" s="12"/>
      <c r="AD1000" s="12"/>
      <c r="AE1000" s="12"/>
      <c r="AF1000" s="12">
        <f t="shared" si="338"/>
        <v>0</v>
      </c>
    </row>
    <row r="1001" spans="1:32" x14ac:dyDescent="0.25">
      <c r="A1001" s="10">
        <v>21</v>
      </c>
      <c r="B1001" s="32">
        <v>45679</v>
      </c>
      <c r="C1001" s="33">
        <f t="shared" si="339"/>
        <v>7787</v>
      </c>
      <c r="D1001" s="50">
        <f>626*48+410+674*2</f>
        <v>31806</v>
      </c>
      <c r="E1001" s="33"/>
      <c r="F1001" s="34">
        <f t="shared" si="343"/>
        <v>31806</v>
      </c>
      <c r="G1001" s="10"/>
      <c r="H1001" s="10"/>
      <c r="I1001" s="10"/>
      <c r="J1001" s="12">
        <f t="shared" si="334"/>
        <v>31806</v>
      </c>
      <c r="L1001" s="10">
        <v>21</v>
      </c>
      <c r="M1001" s="32">
        <v>45679</v>
      </c>
      <c r="N1001" s="33">
        <f t="shared" si="340"/>
        <v>7255</v>
      </c>
      <c r="O1001" s="50">
        <f>626*3+25.5</f>
        <v>1903.5</v>
      </c>
      <c r="P1001" s="33"/>
      <c r="Q1001" s="34">
        <f t="shared" si="344"/>
        <v>1903.5</v>
      </c>
      <c r="R1001" s="10"/>
      <c r="S1001" s="10"/>
      <c r="T1001" s="10"/>
      <c r="U1001" s="12">
        <f t="shared" si="336"/>
        <v>1903.5</v>
      </c>
      <c r="W1001" s="10">
        <v>21</v>
      </c>
      <c r="X1001" s="32"/>
      <c r="Y1001" s="33"/>
      <c r="Z1001" s="50"/>
      <c r="AA1001" s="33"/>
      <c r="AB1001" s="34">
        <f t="shared" si="345"/>
        <v>0</v>
      </c>
      <c r="AC1001" s="10"/>
      <c r="AD1001" s="10"/>
      <c r="AE1001" s="10"/>
      <c r="AF1001" s="12">
        <f t="shared" si="338"/>
        <v>0</v>
      </c>
    </row>
    <row r="1002" spans="1:32" x14ac:dyDescent="0.25">
      <c r="A1002" s="10">
        <v>22</v>
      </c>
      <c r="B1002" s="32">
        <v>45679</v>
      </c>
      <c r="C1002" s="33">
        <f t="shared" si="339"/>
        <v>7788</v>
      </c>
      <c r="D1002" s="49">
        <f>626*5+42.5</f>
        <v>3172.5</v>
      </c>
      <c r="E1002" s="33"/>
      <c r="F1002" s="34">
        <f t="shared" si="343"/>
        <v>3172.5</v>
      </c>
      <c r="G1002" s="10"/>
      <c r="H1002" s="10"/>
      <c r="I1002" s="10"/>
      <c r="J1002" s="12">
        <f t="shared" si="334"/>
        <v>3172.5</v>
      </c>
      <c r="L1002" s="10">
        <v>22</v>
      </c>
      <c r="M1002" s="32">
        <v>45679</v>
      </c>
      <c r="N1002" s="33">
        <f t="shared" si="340"/>
        <v>7256</v>
      </c>
      <c r="O1002" s="49">
        <f>626*5+42.5</f>
        <v>3172.5</v>
      </c>
      <c r="P1002" s="33"/>
      <c r="Q1002" s="34">
        <f t="shared" si="344"/>
        <v>3172.5</v>
      </c>
      <c r="R1002" s="10"/>
      <c r="S1002" s="10">
        <v>13.5</v>
      </c>
      <c r="T1002" s="10"/>
      <c r="U1002" s="12">
        <f t="shared" si="336"/>
        <v>3186</v>
      </c>
      <c r="W1002" s="10">
        <v>22</v>
      </c>
      <c r="X1002" s="32"/>
      <c r="Y1002" s="33"/>
      <c r="Z1002" s="49"/>
      <c r="AA1002" s="33"/>
      <c r="AB1002" s="34">
        <f t="shared" si="345"/>
        <v>0</v>
      </c>
      <c r="AC1002" s="10"/>
      <c r="AD1002" s="10"/>
      <c r="AE1002" s="10"/>
      <c r="AF1002" s="12">
        <f t="shared" si="338"/>
        <v>0</v>
      </c>
    </row>
    <row r="1003" spans="1:32" x14ac:dyDescent="0.25">
      <c r="A1003" s="10">
        <v>23</v>
      </c>
      <c r="B1003" s="32">
        <v>45679</v>
      </c>
      <c r="C1003" s="33">
        <f t="shared" si="339"/>
        <v>7789</v>
      </c>
      <c r="D1003" s="51">
        <f>626*3+596+34</f>
        <v>2508</v>
      </c>
      <c r="E1003"/>
      <c r="F1003" s="34">
        <f t="shared" si="343"/>
        <v>2508</v>
      </c>
      <c r="G1003" s="10"/>
      <c r="H1003" s="10"/>
      <c r="I1003" s="10"/>
      <c r="J1003" s="12">
        <f t="shared" si="334"/>
        <v>2508</v>
      </c>
      <c r="L1003" s="10">
        <v>23</v>
      </c>
      <c r="M1003" s="32">
        <v>45679</v>
      </c>
      <c r="N1003" s="33">
        <f t="shared" si="340"/>
        <v>7257</v>
      </c>
      <c r="O1003" s="51">
        <f>626*12+614*2+102</f>
        <v>8842</v>
      </c>
      <c r="Q1003" s="34">
        <f t="shared" si="344"/>
        <v>8842</v>
      </c>
      <c r="R1003" s="10"/>
      <c r="S1003" s="10">
        <v>90</v>
      </c>
      <c r="T1003" s="10"/>
      <c r="U1003" s="12">
        <f t="shared" si="336"/>
        <v>8932</v>
      </c>
      <c r="W1003" s="10">
        <v>23</v>
      </c>
      <c r="X1003" s="32"/>
      <c r="Y1003" s="33"/>
      <c r="Z1003" s="51"/>
      <c r="AB1003" s="34">
        <f t="shared" si="345"/>
        <v>0</v>
      </c>
      <c r="AC1003" s="10"/>
      <c r="AD1003" s="10"/>
      <c r="AE1003" s="10"/>
      <c r="AF1003" s="12">
        <f t="shared" si="338"/>
        <v>0</v>
      </c>
    </row>
    <row r="1004" spans="1:32" x14ac:dyDescent="0.25">
      <c r="A1004" s="10">
        <v>24</v>
      </c>
      <c r="B1004" s="32">
        <v>45679</v>
      </c>
      <c r="C1004" s="33">
        <f t="shared" si="339"/>
        <v>7790</v>
      </c>
      <c r="D1004" s="51">
        <f>626*20+170</f>
        <v>12690</v>
      </c>
      <c r="E1004" s="33"/>
      <c r="F1004" s="34">
        <f t="shared" si="343"/>
        <v>12690</v>
      </c>
      <c r="G1004" s="10"/>
      <c r="H1004" s="10"/>
      <c r="I1004" s="10"/>
      <c r="J1004" s="12">
        <f t="shared" si="334"/>
        <v>12690</v>
      </c>
      <c r="L1004" s="10">
        <v>24</v>
      </c>
      <c r="M1004" s="32">
        <v>45679</v>
      </c>
      <c r="N1004" s="33">
        <f t="shared" si="340"/>
        <v>7258</v>
      </c>
      <c r="O1004" s="51">
        <f>626*3+614+25.5</f>
        <v>2517.5</v>
      </c>
      <c r="P1004" s="33"/>
      <c r="Q1004" s="34">
        <f t="shared" si="344"/>
        <v>2517.5</v>
      </c>
      <c r="R1004" s="10"/>
      <c r="S1004" s="10"/>
      <c r="T1004" s="10"/>
      <c r="U1004" s="12">
        <f t="shared" si="336"/>
        <v>2517.5</v>
      </c>
      <c r="W1004" s="10">
        <v>24</v>
      </c>
      <c r="X1004" s="32"/>
      <c r="Y1004" s="33"/>
      <c r="Z1004" s="51"/>
      <c r="AA1004" s="33"/>
      <c r="AB1004" s="34">
        <f t="shared" si="345"/>
        <v>0</v>
      </c>
      <c r="AC1004" s="10"/>
      <c r="AD1004" s="10"/>
      <c r="AE1004" s="10"/>
      <c r="AF1004" s="12">
        <f t="shared" si="338"/>
        <v>0</v>
      </c>
    </row>
    <row r="1005" spans="1:32" x14ac:dyDescent="0.25">
      <c r="A1005" s="10">
        <v>25</v>
      </c>
      <c r="B1005" s="32">
        <v>45679</v>
      </c>
      <c r="C1005" s="33">
        <f t="shared" si="339"/>
        <v>7791</v>
      </c>
      <c r="D1005" s="51">
        <f>626+596+17</f>
        <v>1239</v>
      </c>
      <c r="E1005" s="33"/>
      <c r="F1005" s="34">
        <f t="shared" si="343"/>
        <v>1239</v>
      </c>
      <c r="G1005" s="10"/>
      <c r="H1005" s="10"/>
      <c r="I1005" s="10"/>
      <c r="J1005" s="12">
        <f t="shared" si="334"/>
        <v>1239</v>
      </c>
      <c r="L1005" s="10">
        <v>25</v>
      </c>
      <c r="M1005" s="32">
        <v>45679</v>
      </c>
      <c r="N1005" s="33">
        <f t="shared" si="340"/>
        <v>7259</v>
      </c>
      <c r="O1005" s="51">
        <f>1878+25.5</f>
        <v>1903.5</v>
      </c>
      <c r="P1005" s="33"/>
      <c r="Q1005" s="34">
        <f t="shared" si="344"/>
        <v>1903.5</v>
      </c>
      <c r="R1005" s="10"/>
      <c r="S1005" s="10"/>
      <c r="T1005" s="10"/>
      <c r="U1005" s="12">
        <f t="shared" si="336"/>
        <v>1903.5</v>
      </c>
      <c r="W1005" s="10">
        <v>25</v>
      </c>
      <c r="X1005" s="32"/>
      <c r="Z1005" s="51"/>
      <c r="AA1005" s="33"/>
      <c r="AB1005" s="34">
        <f t="shared" si="345"/>
        <v>0</v>
      </c>
      <c r="AC1005" s="10"/>
      <c r="AD1005" s="10"/>
      <c r="AE1005" s="10"/>
      <c r="AF1005" s="12">
        <f t="shared" si="338"/>
        <v>0</v>
      </c>
    </row>
    <row r="1006" spans="1:32" x14ac:dyDescent="0.25">
      <c r="A1006" s="10">
        <v>26</v>
      </c>
      <c r="B1006" s="32">
        <v>45679</v>
      </c>
      <c r="C1006" s="33">
        <f t="shared" si="339"/>
        <v>7792</v>
      </c>
      <c r="D1006" s="51">
        <f>626*4+596+43</f>
        <v>3143</v>
      </c>
      <c r="E1006" s="33"/>
      <c r="F1006" s="34">
        <f t="shared" si="343"/>
        <v>3143</v>
      </c>
      <c r="G1006" s="10"/>
      <c r="H1006" s="10"/>
      <c r="I1006" s="10"/>
      <c r="J1006" s="12">
        <f t="shared" si="334"/>
        <v>3143</v>
      </c>
      <c r="L1006" s="10">
        <v>26</v>
      </c>
      <c r="M1006" s="32">
        <v>45679</v>
      </c>
      <c r="N1006" s="33">
        <f t="shared" si="340"/>
        <v>7260</v>
      </c>
      <c r="O1006" s="51">
        <f>2504+34</f>
        <v>2538</v>
      </c>
      <c r="P1006" s="33"/>
      <c r="Q1006" s="34">
        <f t="shared" si="344"/>
        <v>2538</v>
      </c>
      <c r="R1006" s="10"/>
      <c r="S1006" s="10"/>
      <c r="T1006" s="10"/>
      <c r="U1006" s="12">
        <f t="shared" si="336"/>
        <v>2538</v>
      </c>
      <c r="W1006" s="10">
        <v>26</v>
      </c>
      <c r="X1006" s="32"/>
      <c r="Z1006" s="51"/>
      <c r="AA1006" s="33"/>
      <c r="AB1006" s="34">
        <f t="shared" si="345"/>
        <v>0</v>
      </c>
      <c r="AC1006" s="10"/>
      <c r="AD1006" s="10"/>
      <c r="AE1006" s="10"/>
      <c r="AF1006" s="12">
        <f t="shared" si="338"/>
        <v>0</v>
      </c>
    </row>
    <row r="1007" spans="1:32" x14ac:dyDescent="0.25">
      <c r="A1007" s="10">
        <v>27</v>
      </c>
      <c r="B1007" s="32">
        <v>45679</v>
      </c>
      <c r="C1007" s="33">
        <f t="shared" si="339"/>
        <v>7793</v>
      </c>
      <c r="D1007" s="51">
        <f>205</f>
        <v>205</v>
      </c>
      <c r="E1007" s="33"/>
      <c r="F1007" s="34">
        <f t="shared" si="343"/>
        <v>205</v>
      </c>
      <c r="G1007" s="10"/>
      <c r="H1007" s="10"/>
      <c r="I1007" s="10">
        <v>-27</v>
      </c>
      <c r="J1007" s="12">
        <f t="shared" si="334"/>
        <v>178</v>
      </c>
      <c r="L1007" s="10">
        <v>27</v>
      </c>
      <c r="M1007" s="32">
        <v>45679</v>
      </c>
      <c r="N1007" s="33">
        <f t="shared" si="340"/>
        <v>7261</v>
      </c>
      <c r="O1007" s="51">
        <f>626*5+596+205*5</f>
        <v>4751</v>
      </c>
      <c r="P1007" s="33"/>
      <c r="Q1007" s="34">
        <f t="shared" si="344"/>
        <v>4751</v>
      </c>
      <c r="R1007" s="10"/>
      <c r="S1007" s="10"/>
      <c r="T1007" s="10">
        <v>-384</v>
      </c>
      <c r="U1007" s="12">
        <f t="shared" si="336"/>
        <v>4367</v>
      </c>
      <c r="W1007" s="10">
        <v>27</v>
      </c>
      <c r="X1007" s="32"/>
      <c r="Y1007" s="33"/>
      <c r="Z1007" s="51"/>
      <c r="AA1007" s="33"/>
      <c r="AB1007" s="34">
        <f t="shared" si="345"/>
        <v>0</v>
      </c>
      <c r="AC1007" s="10"/>
      <c r="AD1007" s="10"/>
      <c r="AE1007" s="10"/>
      <c r="AF1007" s="12">
        <f t="shared" si="338"/>
        <v>0</v>
      </c>
    </row>
    <row r="1008" spans="1:32" x14ac:dyDescent="0.25">
      <c r="A1008" s="10">
        <v>28</v>
      </c>
      <c r="B1008" s="32"/>
      <c r="C1008" s="11" t="s">
        <v>28</v>
      </c>
      <c r="D1008" s="51"/>
      <c r="E1008" s="33"/>
      <c r="F1008" s="34">
        <f t="shared" si="343"/>
        <v>0</v>
      </c>
      <c r="G1008" s="10"/>
      <c r="H1008" s="10"/>
      <c r="I1008" s="10"/>
      <c r="J1008" s="12">
        <f t="shared" si="334"/>
        <v>0</v>
      </c>
      <c r="L1008" s="10">
        <v>28</v>
      </c>
      <c r="M1008" s="32">
        <v>45679</v>
      </c>
      <c r="N1008" s="33">
        <f t="shared" si="340"/>
        <v>7262</v>
      </c>
      <c r="O1008" s="51">
        <f>1878+25.5</f>
        <v>1903.5</v>
      </c>
      <c r="P1008" s="33"/>
      <c r="Q1008" s="34">
        <f t="shared" si="344"/>
        <v>1903.5</v>
      </c>
      <c r="R1008" s="10"/>
      <c r="S1008" s="10"/>
      <c r="T1008" s="10"/>
      <c r="U1008" s="12">
        <f t="shared" si="336"/>
        <v>1903.5</v>
      </c>
      <c r="W1008" s="10">
        <v>28</v>
      </c>
      <c r="X1008" s="32"/>
      <c r="Z1008" s="51"/>
      <c r="AA1008" s="33"/>
      <c r="AB1008" s="34">
        <f t="shared" si="345"/>
        <v>0</v>
      </c>
      <c r="AC1008" s="10"/>
      <c r="AD1008" s="10"/>
      <c r="AE1008" s="10"/>
      <c r="AF1008" s="12">
        <f t="shared" si="338"/>
        <v>0</v>
      </c>
    </row>
    <row r="1009" spans="1:32" x14ac:dyDescent="0.25">
      <c r="A1009" s="10">
        <v>29</v>
      </c>
      <c r="B1009" s="32"/>
      <c r="C1009"/>
      <c r="D1009" s="51"/>
      <c r="E1009" s="33"/>
      <c r="F1009" s="34">
        <f t="shared" si="343"/>
        <v>0</v>
      </c>
      <c r="G1009" s="10"/>
      <c r="H1009" s="10"/>
      <c r="I1009" s="10"/>
      <c r="J1009" s="12">
        <f t="shared" si="334"/>
        <v>0</v>
      </c>
      <c r="L1009" s="10">
        <v>29</v>
      </c>
      <c r="M1009" s="32"/>
      <c r="N1009" s="11" t="s">
        <v>28</v>
      </c>
      <c r="O1009" s="51"/>
      <c r="P1009" s="33"/>
      <c r="Q1009" s="34">
        <f t="shared" si="344"/>
        <v>0</v>
      </c>
      <c r="R1009" s="10"/>
      <c r="S1009" s="10"/>
      <c r="T1009" s="10"/>
      <c r="U1009" s="12">
        <f t="shared" si="336"/>
        <v>0</v>
      </c>
      <c r="W1009" s="10">
        <v>29</v>
      </c>
      <c r="X1009" s="32"/>
      <c r="Z1009" s="51"/>
      <c r="AA1009" s="33"/>
      <c r="AB1009" s="34">
        <f t="shared" si="345"/>
        <v>0</v>
      </c>
      <c r="AC1009" s="10"/>
      <c r="AD1009" s="10"/>
      <c r="AE1009" s="10"/>
      <c r="AF1009" s="12">
        <f t="shared" si="338"/>
        <v>0</v>
      </c>
    </row>
    <row r="1010" spans="1:32" x14ac:dyDescent="0.25">
      <c r="A1010" s="10">
        <v>30</v>
      </c>
      <c r="B1010" s="32"/>
      <c r="C1010" s="33"/>
      <c r="D1010" s="51"/>
      <c r="E1010" s="33"/>
      <c r="F1010" s="34">
        <f t="shared" si="343"/>
        <v>0</v>
      </c>
      <c r="G1010" s="10"/>
      <c r="H1010" s="10"/>
      <c r="I1010" s="10"/>
      <c r="J1010" s="12">
        <f t="shared" si="334"/>
        <v>0</v>
      </c>
      <c r="L1010" s="10">
        <v>30</v>
      </c>
      <c r="M1010" s="32"/>
      <c r="N1010" s="33"/>
      <c r="O1010" s="51"/>
      <c r="P1010" s="33"/>
      <c r="Q1010" s="34">
        <f t="shared" si="344"/>
        <v>0</v>
      </c>
      <c r="R1010" s="10"/>
      <c r="S1010" s="10"/>
      <c r="T1010" s="10"/>
      <c r="U1010" s="12">
        <f t="shared" si="336"/>
        <v>0</v>
      </c>
      <c r="W1010" s="10">
        <v>30</v>
      </c>
      <c r="X1010" s="32"/>
      <c r="Y1010" s="33"/>
      <c r="Z1010" s="51"/>
      <c r="AA1010" s="33"/>
      <c r="AB1010" s="34">
        <f t="shared" si="345"/>
        <v>0</v>
      </c>
      <c r="AC1010" s="10"/>
      <c r="AD1010" s="10"/>
      <c r="AE1010" s="10"/>
      <c r="AF1010" s="12">
        <f t="shared" si="338"/>
        <v>0</v>
      </c>
    </row>
    <row r="1011" spans="1:32" x14ac:dyDescent="0.25">
      <c r="A1011" s="10">
        <v>31</v>
      </c>
      <c r="B1011" s="32"/>
      <c r="C1011" s="33"/>
      <c r="D1011" s="51"/>
      <c r="E1011" s="33"/>
      <c r="F1011" s="34">
        <f t="shared" si="343"/>
        <v>0</v>
      </c>
      <c r="G1011" s="10"/>
      <c r="H1011" s="10"/>
      <c r="I1011" s="10"/>
      <c r="J1011" s="12">
        <f t="shared" si="334"/>
        <v>0</v>
      </c>
      <c r="L1011" s="10">
        <v>31</v>
      </c>
      <c r="M1011" s="32"/>
      <c r="N1011" s="33"/>
      <c r="O1011" s="51"/>
      <c r="P1011" s="33"/>
      <c r="Q1011" s="34">
        <f t="shared" si="344"/>
        <v>0</v>
      </c>
      <c r="R1011" s="10"/>
      <c r="S1011" s="10"/>
      <c r="T1011" s="10"/>
      <c r="U1011" s="12">
        <f t="shared" si="336"/>
        <v>0</v>
      </c>
      <c r="W1011" s="10">
        <v>31</v>
      </c>
      <c r="X1011" s="32"/>
      <c r="Z1011" s="51"/>
      <c r="AA1011" s="33"/>
      <c r="AB1011" s="34">
        <f t="shared" si="345"/>
        <v>0</v>
      </c>
      <c r="AC1011" s="10"/>
      <c r="AD1011" s="10"/>
      <c r="AE1011" s="10"/>
      <c r="AF1011" s="12">
        <f t="shared" si="338"/>
        <v>0</v>
      </c>
    </row>
    <row r="1012" spans="1:32" x14ac:dyDescent="0.25">
      <c r="A1012" s="10">
        <v>32</v>
      </c>
      <c r="B1012" s="32"/>
      <c r="D1012" s="51"/>
      <c r="E1012" s="33"/>
      <c r="F1012" s="34">
        <f t="shared" si="343"/>
        <v>0</v>
      </c>
      <c r="G1012" s="10"/>
      <c r="H1012" s="10"/>
      <c r="I1012" s="10"/>
      <c r="J1012" s="12">
        <f t="shared" si="334"/>
        <v>0</v>
      </c>
      <c r="L1012" s="10">
        <v>32</v>
      </c>
      <c r="M1012" s="32"/>
      <c r="N1012" s="33"/>
      <c r="O1012" s="51"/>
      <c r="P1012" s="33"/>
      <c r="Q1012" s="34">
        <f t="shared" si="344"/>
        <v>0</v>
      </c>
      <c r="R1012" s="10"/>
      <c r="S1012" s="10"/>
      <c r="T1012" s="10"/>
      <c r="U1012" s="12">
        <f t="shared" si="336"/>
        <v>0</v>
      </c>
      <c r="W1012" s="10">
        <v>32</v>
      </c>
      <c r="X1012" s="32"/>
      <c r="Y1012" s="33"/>
      <c r="Z1012" s="51"/>
      <c r="AA1012" s="33"/>
      <c r="AB1012" s="34">
        <f t="shared" si="345"/>
        <v>0</v>
      </c>
      <c r="AC1012" s="10"/>
      <c r="AD1012" s="10"/>
      <c r="AE1012" s="10"/>
      <c r="AF1012" s="12">
        <f t="shared" si="338"/>
        <v>0</v>
      </c>
    </row>
    <row r="1013" spans="1:32" x14ac:dyDescent="0.25">
      <c r="A1013" s="10">
        <v>33</v>
      </c>
      <c r="B1013" s="32"/>
      <c r="C1013" s="33"/>
      <c r="D1013" s="51"/>
      <c r="E1013" s="33"/>
      <c r="F1013" s="34">
        <f t="shared" si="343"/>
        <v>0</v>
      </c>
      <c r="G1013" s="10"/>
      <c r="H1013" s="10"/>
      <c r="I1013" s="10"/>
      <c r="J1013" s="12">
        <f t="shared" si="334"/>
        <v>0</v>
      </c>
      <c r="L1013" s="10">
        <v>33</v>
      </c>
      <c r="M1013" s="32"/>
      <c r="N1013" s="33"/>
      <c r="O1013" s="51"/>
      <c r="P1013" s="33"/>
      <c r="Q1013" s="34">
        <f t="shared" si="344"/>
        <v>0</v>
      </c>
      <c r="R1013" s="10"/>
      <c r="S1013" s="10"/>
      <c r="T1013" s="10"/>
      <c r="U1013" s="12">
        <f t="shared" si="336"/>
        <v>0</v>
      </c>
      <c r="W1013" s="10">
        <v>33</v>
      </c>
      <c r="X1013" s="32"/>
      <c r="Y1013" s="33"/>
      <c r="Z1013" s="51"/>
      <c r="AA1013" s="33"/>
      <c r="AB1013" s="34">
        <f t="shared" si="345"/>
        <v>0</v>
      </c>
      <c r="AC1013" s="10"/>
      <c r="AD1013" s="10"/>
      <c r="AE1013" s="10"/>
      <c r="AF1013" s="12">
        <f t="shared" si="338"/>
        <v>0</v>
      </c>
    </row>
    <row r="1014" spans="1:32" x14ac:dyDescent="0.25">
      <c r="A1014" s="10">
        <v>34</v>
      </c>
      <c r="B1014" s="32"/>
      <c r="C1014" s="33"/>
      <c r="D1014" s="51"/>
      <c r="E1014" s="33"/>
      <c r="F1014" s="34">
        <f t="shared" si="343"/>
        <v>0</v>
      </c>
      <c r="G1014" s="10"/>
      <c r="H1014" s="10"/>
      <c r="I1014" s="10"/>
      <c r="J1014" s="12">
        <f t="shared" si="334"/>
        <v>0</v>
      </c>
      <c r="L1014" s="10">
        <v>34</v>
      </c>
      <c r="M1014" s="32"/>
      <c r="N1014" s="33"/>
      <c r="O1014" s="51"/>
      <c r="P1014" s="33"/>
      <c r="Q1014" s="34">
        <f t="shared" si="344"/>
        <v>0</v>
      </c>
      <c r="R1014" s="10"/>
      <c r="S1014" s="10"/>
      <c r="T1014" s="10"/>
      <c r="U1014" s="12">
        <f t="shared" si="336"/>
        <v>0</v>
      </c>
      <c r="W1014" s="10">
        <v>34</v>
      </c>
      <c r="X1014" s="32"/>
      <c r="Y1014" s="33"/>
      <c r="Z1014" s="51"/>
      <c r="AA1014" s="33"/>
      <c r="AB1014" s="34">
        <f t="shared" ref="AB1014:AB1019" si="346">SUM(Z1014:AA1014)</f>
        <v>0</v>
      </c>
      <c r="AC1014" s="10"/>
      <c r="AD1014" s="10"/>
      <c r="AE1014" s="10"/>
      <c r="AF1014" s="12">
        <f t="shared" si="338"/>
        <v>0</v>
      </c>
    </row>
    <row r="1015" spans="1:32" x14ac:dyDescent="0.25">
      <c r="A1015" s="10">
        <v>35</v>
      </c>
      <c r="B1015" s="32"/>
      <c r="C1015" s="33"/>
      <c r="D1015" s="51"/>
      <c r="E1015" s="33"/>
      <c r="F1015" s="34">
        <f t="shared" si="343"/>
        <v>0</v>
      </c>
      <c r="G1015" s="10"/>
      <c r="H1015" s="10"/>
      <c r="I1015" s="10"/>
      <c r="J1015" s="12">
        <f t="shared" si="334"/>
        <v>0</v>
      </c>
      <c r="L1015" s="10">
        <v>35</v>
      </c>
      <c r="M1015" s="32"/>
      <c r="N1015" s="33"/>
      <c r="O1015" s="51"/>
      <c r="P1015" s="33"/>
      <c r="Q1015" s="34">
        <f t="shared" si="344"/>
        <v>0</v>
      </c>
      <c r="R1015" s="10"/>
      <c r="S1015" s="10"/>
      <c r="T1015" s="10"/>
      <c r="U1015" s="12">
        <f t="shared" si="336"/>
        <v>0</v>
      </c>
      <c r="W1015" s="10">
        <v>35</v>
      </c>
      <c r="X1015" s="32"/>
      <c r="Y1015" s="33"/>
      <c r="Z1015" s="51"/>
      <c r="AA1015" s="33"/>
      <c r="AB1015" s="34">
        <f t="shared" si="346"/>
        <v>0</v>
      </c>
      <c r="AC1015" s="10"/>
      <c r="AD1015" s="10"/>
      <c r="AE1015" s="10"/>
      <c r="AF1015" s="12">
        <f t="shared" si="338"/>
        <v>0</v>
      </c>
    </row>
    <row r="1016" spans="1:32" x14ac:dyDescent="0.25">
      <c r="A1016" s="10">
        <v>36</v>
      </c>
      <c r="B1016" s="32"/>
      <c r="C1016" s="33"/>
      <c r="D1016" s="51"/>
      <c r="E1016" s="33"/>
      <c r="F1016" s="34">
        <f t="shared" si="343"/>
        <v>0</v>
      </c>
      <c r="G1016" s="10"/>
      <c r="H1016" s="10"/>
      <c r="I1016" s="10"/>
      <c r="J1016" s="12">
        <f t="shared" si="334"/>
        <v>0</v>
      </c>
      <c r="L1016" s="10">
        <v>36</v>
      </c>
      <c r="M1016" s="32"/>
      <c r="N1016" s="33"/>
      <c r="O1016" s="51"/>
      <c r="P1016" s="33"/>
      <c r="Q1016" s="34">
        <f t="shared" si="344"/>
        <v>0</v>
      </c>
      <c r="R1016" s="10"/>
      <c r="S1016" s="10"/>
      <c r="T1016" s="10"/>
      <c r="U1016" s="12">
        <f t="shared" si="336"/>
        <v>0</v>
      </c>
      <c r="W1016" s="10">
        <v>36</v>
      </c>
      <c r="X1016" s="32"/>
      <c r="Y1016" s="33"/>
      <c r="Z1016" s="51"/>
      <c r="AA1016" s="33"/>
      <c r="AB1016" s="34">
        <f t="shared" si="346"/>
        <v>0</v>
      </c>
      <c r="AC1016" s="10"/>
      <c r="AD1016" s="10"/>
      <c r="AE1016" s="10"/>
      <c r="AF1016" s="12">
        <f t="shared" si="338"/>
        <v>0</v>
      </c>
    </row>
    <row r="1017" spans="1:32" x14ac:dyDescent="0.25">
      <c r="A1017" s="10">
        <v>37</v>
      </c>
      <c r="B1017" s="32"/>
      <c r="C1017" s="33"/>
      <c r="D1017" s="51"/>
      <c r="E1017" s="33"/>
      <c r="F1017" s="34">
        <f t="shared" si="343"/>
        <v>0</v>
      </c>
      <c r="G1017" s="10"/>
      <c r="H1017" s="10"/>
      <c r="I1017" s="10"/>
      <c r="J1017" s="12">
        <f t="shared" si="334"/>
        <v>0</v>
      </c>
      <c r="L1017" s="10">
        <v>37</v>
      </c>
      <c r="M1017" s="32"/>
      <c r="O1017" s="51"/>
      <c r="P1017" s="33"/>
      <c r="Q1017" s="34">
        <f t="shared" si="344"/>
        <v>0</v>
      </c>
      <c r="R1017" s="10"/>
      <c r="S1017" s="10"/>
      <c r="T1017" s="10"/>
      <c r="U1017" s="12">
        <f t="shared" si="336"/>
        <v>0</v>
      </c>
      <c r="W1017" s="10">
        <v>37</v>
      </c>
      <c r="X1017" s="32"/>
      <c r="Y1017" s="33"/>
      <c r="Z1017" s="51"/>
      <c r="AA1017" s="33"/>
      <c r="AB1017" s="34">
        <f t="shared" si="346"/>
        <v>0</v>
      </c>
      <c r="AC1017" s="10"/>
      <c r="AD1017" s="10"/>
      <c r="AE1017" s="10"/>
      <c r="AF1017" s="12">
        <f t="shared" si="338"/>
        <v>0</v>
      </c>
    </row>
    <row r="1018" spans="1:32" x14ac:dyDescent="0.25">
      <c r="A1018" s="10">
        <v>38</v>
      </c>
      <c r="B1018" s="32"/>
      <c r="C1018" s="33"/>
      <c r="D1018" s="51"/>
      <c r="E1018" s="33"/>
      <c r="F1018" s="34">
        <f t="shared" si="343"/>
        <v>0</v>
      </c>
      <c r="G1018" s="10"/>
      <c r="H1018" s="10"/>
      <c r="I1018" s="10"/>
      <c r="J1018" s="12">
        <f t="shared" si="334"/>
        <v>0</v>
      </c>
      <c r="L1018" s="10">
        <v>38</v>
      </c>
      <c r="M1018" s="32"/>
      <c r="N1018" s="33"/>
      <c r="O1018" s="51"/>
      <c r="P1018" s="33"/>
      <c r="Q1018" s="34">
        <f t="shared" si="344"/>
        <v>0</v>
      </c>
      <c r="R1018" s="10"/>
      <c r="S1018" s="10"/>
      <c r="T1018" s="10"/>
      <c r="U1018" s="12">
        <f t="shared" si="336"/>
        <v>0</v>
      </c>
      <c r="W1018" s="10">
        <v>38</v>
      </c>
      <c r="X1018" s="32"/>
      <c r="Y1018" s="33"/>
      <c r="Z1018" s="51"/>
      <c r="AA1018" s="33"/>
      <c r="AB1018" s="34">
        <f t="shared" si="346"/>
        <v>0</v>
      </c>
      <c r="AC1018" s="10"/>
      <c r="AD1018" s="10"/>
      <c r="AE1018" s="10"/>
      <c r="AF1018" s="12">
        <f t="shared" si="338"/>
        <v>0</v>
      </c>
    </row>
    <row r="1019" spans="1:32" x14ac:dyDescent="0.25">
      <c r="A1019" s="10">
        <v>39</v>
      </c>
      <c r="B1019" s="32"/>
      <c r="C1019" s="33"/>
      <c r="D1019" s="51"/>
      <c r="E1019" s="33"/>
      <c r="F1019" s="34">
        <f t="shared" si="343"/>
        <v>0</v>
      </c>
      <c r="G1019" s="10"/>
      <c r="H1019" s="10"/>
      <c r="I1019" s="10"/>
      <c r="J1019" s="12">
        <f t="shared" si="334"/>
        <v>0</v>
      </c>
      <c r="L1019" s="10">
        <v>39</v>
      </c>
      <c r="M1019" s="32"/>
      <c r="N1019" s="33"/>
      <c r="O1019" s="51"/>
      <c r="P1019" s="33"/>
      <c r="Q1019" s="34">
        <f t="shared" si="344"/>
        <v>0</v>
      </c>
      <c r="R1019" s="10"/>
      <c r="S1019" s="10"/>
      <c r="T1019" s="10"/>
      <c r="U1019" s="12">
        <f t="shared" si="336"/>
        <v>0</v>
      </c>
      <c r="W1019" s="10">
        <v>39</v>
      </c>
      <c r="X1019" s="32"/>
      <c r="Y1019" s="33"/>
      <c r="Z1019" s="51"/>
      <c r="AA1019" s="33"/>
      <c r="AB1019" s="34">
        <f t="shared" si="346"/>
        <v>0</v>
      </c>
      <c r="AC1019" s="10"/>
      <c r="AD1019" s="10"/>
      <c r="AE1019" s="10"/>
      <c r="AF1019" s="12">
        <f t="shared" si="338"/>
        <v>0</v>
      </c>
    </row>
    <row r="1020" spans="1:32" x14ac:dyDescent="0.25">
      <c r="A1020" s="10"/>
      <c r="B1020" s="32"/>
      <c r="C1020"/>
      <c r="D1020" s="51"/>
      <c r="E1020" s="33"/>
      <c r="F1020" s="34"/>
      <c r="G1020" s="10"/>
      <c r="H1020" s="10"/>
      <c r="I1020" s="10"/>
      <c r="J1020" s="12">
        <f t="shared" si="334"/>
        <v>0</v>
      </c>
      <c r="L1020" s="10"/>
      <c r="M1020" s="32"/>
      <c r="O1020" s="51"/>
      <c r="P1020" s="33"/>
      <c r="Q1020" s="34"/>
      <c r="R1020" s="10"/>
      <c r="S1020" s="10"/>
      <c r="T1020" s="10"/>
      <c r="U1020" s="12">
        <f t="shared" si="336"/>
        <v>0</v>
      </c>
      <c r="W1020" s="10"/>
      <c r="X1020" s="32"/>
      <c r="Z1020" s="51"/>
      <c r="AA1020" s="33"/>
      <c r="AB1020" s="34"/>
      <c r="AC1020" s="10"/>
      <c r="AD1020" s="10"/>
      <c r="AE1020" s="10"/>
      <c r="AF1020" s="12">
        <f t="shared" si="338"/>
        <v>0</v>
      </c>
    </row>
    <row r="1021" spans="1:32" x14ac:dyDescent="0.25">
      <c r="A1021" s="10"/>
      <c r="B1021" s="32"/>
      <c r="C1021" s="33"/>
      <c r="D1021" s="51"/>
      <c r="E1021" s="33"/>
      <c r="F1021" s="34">
        <f t="shared" ref="F1021" si="347">SUM(D1021:E1021)</f>
        <v>0</v>
      </c>
      <c r="G1021" s="10"/>
      <c r="H1021" s="10"/>
      <c r="I1021" s="10"/>
      <c r="J1021" s="12">
        <f t="shared" si="334"/>
        <v>0</v>
      </c>
      <c r="L1021" s="10"/>
      <c r="M1021" s="32"/>
      <c r="N1021" s="33"/>
      <c r="O1021" s="51"/>
      <c r="P1021" s="33"/>
      <c r="Q1021" s="34">
        <f t="shared" ref="Q1021" si="348">SUM(O1021:P1021)</f>
        <v>0</v>
      </c>
      <c r="R1021" s="10"/>
      <c r="S1021" s="10"/>
      <c r="T1021" s="10"/>
      <c r="U1021" s="12">
        <f t="shared" si="336"/>
        <v>0</v>
      </c>
      <c r="W1021" s="10"/>
      <c r="X1021" s="32"/>
      <c r="Y1021" s="33"/>
      <c r="Z1021" s="51"/>
      <c r="AA1021" s="33"/>
      <c r="AB1021" s="34">
        <f t="shared" ref="AB1021" si="349">SUM(Z1021:AA1021)</f>
        <v>0</v>
      </c>
      <c r="AC1021" s="10"/>
      <c r="AD1021" s="10"/>
      <c r="AE1021" s="10"/>
      <c r="AF1021" s="12">
        <f t="shared" si="338"/>
        <v>0</v>
      </c>
    </row>
    <row r="1022" spans="1:32" x14ac:dyDescent="0.25">
      <c r="A1022" s="10"/>
      <c r="B1022" s="33"/>
      <c r="C1022" s="33"/>
      <c r="D1022" s="33"/>
      <c r="E1022" s="33"/>
      <c r="F1022" s="33"/>
      <c r="G1022" s="10"/>
      <c r="H1022" s="10"/>
      <c r="I1022" s="10"/>
      <c r="J1022" s="12">
        <f t="shared" si="334"/>
        <v>0</v>
      </c>
      <c r="L1022" s="10"/>
      <c r="M1022" s="33"/>
      <c r="N1022" s="33"/>
      <c r="O1022" s="33"/>
      <c r="P1022" s="33"/>
      <c r="Q1022" s="33"/>
      <c r="R1022" s="10"/>
      <c r="S1022" s="10"/>
      <c r="T1022" s="10"/>
      <c r="U1022" s="12">
        <f t="shared" si="336"/>
        <v>0</v>
      </c>
      <c r="W1022" s="10"/>
      <c r="X1022" s="33"/>
      <c r="Y1022" s="33"/>
      <c r="Z1022" s="33"/>
      <c r="AA1022" s="33"/>
      <c r="AB1022" s="33"/>
      <c r="AC1022" s="10"/>
      <c r="AD1022" s="10"/>
      <c r="AE1022" s="10"/>
      <c r="AF1022" s="12">
        <f t="shared" si="338"/>
        <v>0</v>
      </c>
    </row>
    <row r="1023" spans="1:32" x14ac:dyDescent="0.25">
      <c r="B1023" s="70"/>
      <c r="C1023" s="70"/>
      <c r="D1023" s="38"/>
      <c r="E1023" s="38"/>
      <c r="F1023" s="38"/>
      <c r="G1023" s="39"/>
      <c r="H1023" s="39"/>
      <c r="I1023" s="39"/>
      <c r="J1023" s="39"/>
      <c r="M1023" s="70"/>
      <c r="N1023" s="70"/>
      <c r="O1023" s="38"/>
      <c r="P1023" s="38"/>
      <c r="Q1023" s="38"/>
      <c r="R1023" s="39"/>
      <c r="S1023" s="39"/>
      <c r="T1023" s="39"/>
      <c r="U1023" s="39"/>
      <c r="X1023" s="70"/>
      <c r="Y1023" s="70"/>
      <c r="Z1023" s="38"/>
      <c r="AA1023" s="38"/>
      <c r="AB1023" s="38"/>
      <c r="AC1023" s="39"/>
      <c r="AD1023" s="39"/>
      <c r="AE1023" s="39"/>
      <c r="AF1023" s="39"/>
    </row>
    <row r="1024" spans="1:32" x14ac:dyDescent="0.25">
      <c r="B1024" s="70"/>
      <c r="C1024" s="70"/>
      <c r="D1024" s="40">
        <f>SUM(D981:D1023)</f>
        <v>159573</v>
      </c>
      <c r="E1024" s="40">
        <f>SUM(E981:E1005)</f>
        <v>0</v>
      </c>
      <c r="F1024" s="40">
        <f>SUM(F981:F1023)</f>
        <v>159573</v>
      </c>
      <c r="G1024" s="4"/>
      <c r="H1024" s="43">
        <f>SUM(H981:H1023)</f>
        <v>89</v>
      </c>
      <c r="I1024" s="43">
        <f>SUM(I981:I1005)</f>
        <v>0</v>
      </c>
      <c r="J1024" s="44">
        <f>SUM(J981:J1023)</f>
        <v>159635</v>
      </c>
      <c r="M1024" s="70"/>
      <c r="N1024" s="70"/>
      <c r="O1024" s="40">
        <f>SUM(O981:O1023)</f>
        <v>150722</v>
      </c>
      <c r="P1024" s="40">
        <f>SUM(P981:P1005)</f>
        <v>-528</v>
      </c>
      <c r="Q1024" s="40">
        <f>SUM(Q981:Q1023)</f>
        <v>150194</v>
      </c>
      <c r="R1024" s="4"/>
      <c r="S1024" s="43">
        <f>SUM(S981:S1023)</f>
        <v>180.75</v>
      </c>
      <c r="T1024" s="43">
        <f>SUM(T981:T1005)</f>
        <v>0</v>
      </c>
      <c r="U1024" s="44">
        <f>SUM(U981:U1023)</f>
        <v>149990.75</v>
      </c>
      <c r="X1024" s="70"/>
      <c r="Y1024" s="70"/>
      <c r="Z1024" s="40">
        <f>SUM(Z981:Z1023)</f>
        <v>309768</v>
      </c>
      <c r="AA1024" s="40">
        <f>SUM(AA981:AA1005)</f>
        <v>-2928</v>
      </c>
      <c r="AB1024" s="40">
        <f>SUM(AB981:AB1023)</f>
        <v>306840</v>
      </c>
      <c r="AC1024" s="4"/>
      <c r="AD1024" s="43">
        <f>SUM(AD981:AD1023)</f>
        <v>1450.5</v>
      </c>
      <c r="AE1024" s="43">
        <f>SUM(AE981:AE1005)</f>
        <v>0</v>
      </c>
      <c r="AF1024" s="44">
        <f>SUM(AF981:AF1023)</f>
        <v>308290.5</v>
      </c>
    </row>
    <row r="1025" spans="1:32" x14ac:dyDescent="0.25">
      <c r="B1025" s="70"/>
      <c r="C1025" s="70"/>
      <c r="D1025" s="45"/>
      <c r="E1025" s="70"/>
      <c r="F1025" s="70"/>
      <c r="M1025" s="70"/>
      <c r="N1025" s="70"/>
      <c r="O1025" s="45"/>
      <c r="P1025" s="70"/>
      <c r="Q1025" s="70"/>
      <c r="X1025" s="70"/>
      <c r="Y1025" s="70"/>
      <c r="Z1025" s="45"/>
      <c r="AA1025" s="70"/>
      <c r="AB1025" s="70"/>
    </row>
    <row r="1026" spans="1:32" x14ac:dyDescent="0.25">
      <c r="B1026" s="70"/>
      <c r="C1026" s="70"/>
      <c r="D1026" s="70"/>
      <c r="E1026" s="70"/>
      <c r="F1026" s="70"/>
      <c r="M1026" s="70"/>
      <c r="N1026" s="70"/>
      <c r="O1026" s="70"/>
      <c r="P1026" s="70"/>
      <c r="Q1026" s="70"/>
      <c r="X1026" s="70"/>
      <c r="Y1026" s="70"/>
      <c r="Z1026" s="70"/>
      <c r="AA1026" s="70"/>
      <c r="AB1026" s="70"/>
    </row>
    <row r="1027" spans="1:32" x14ac:dyDescent="0.25">
      <c r="A1027" s="18"/>
      <c r="B1027" s="18"/>
      <c r="C1027" s="18"/>
      <c r="D1027" s="18"/>
      <c r="E1027" s="18"/>
      <c r="F1027" s="18"/>
      <c r="G1027" s="18"/>
      <c r="H1027" s="18"/>
      <c r="I1027" s="18"/>
      <c r="J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W1027" s="18"/>
      <c r="X1027" s="18"/>
      <c r="Y1027" s="18"/>
      <c r="Z1027" s="18"/>
      <c r="AA1027" s="18"/>
      <c r="AB1027" s="18"/>
      <c r="AC1027" s="18"/>
      <c r="AD1027" s="18"/>
      <c r="AE1027" s="18"/>
      <c r="AF1027" s="18"/>
    </row>
    <row r="1028" spans="1:32" x14ac:dyDescent="0.25">
      <c r="A1028" t="s">
        <v>0</v>
      </c>
      <c r="B1028" s="70"/>
      <c r="C1028" s="70"/>
      <c r="D1028" s="70"/>
      <c r="E1028" s="70"/>
      <c r="F1028" s="70"/>
      <c r="L1028" t="s">
        <v>0</v>
      </c>
      <c r="M1028" s="70"/>
      <c r="N1028" s="70"/>
      <c r="O1028" s="70"/>
      <c r="P1028" s="70"/>
      <c r="Q1028" s="70"/>
      <c r="W1028" t="s">
        <v>0</v>
      </c>
      <c r="X1028" s="70"/>
      <c r="Y1028" s="70"/>
      <c r="Z1028" s="70"/>
      <c r="AA1028" s="70"/>
      <c r="AB1028" s="70"/>
    </row>
    <row r="1029" spans="1:32" x14ac:dyDescent="0.25">
      <c r="A1029" t="s">
        <v>30</v>
      </c>
      <c r="B1029" s="70"/>
      <c r="C1029" s="70"/>
      <c r="D1029" s="70"/>
      <c r="E1029" s="70"/>
      <c r="F1029" s="70"/>
      <c r="L1029" t="s">
        <v>30</v>
      </c>
      <c r="M1029" s="70"/>
      <c r="N1029" s="70"/>
      <c r="O1029" s="70"/>
      <c r="P1029" s="70"/>
      <c r="Q1029" s="70"/>
      <c r="W1029" t="s">
        <v>30</v>
      </c>
      <c r="X1029" s="70"/>
      <c r="Y1029" s="70"/>
      <c r="Z1029" s="70"/>
      <c r="AA1029" s="70"/>
      <c r="AB1029" s="70"/>
    </row>
    <row r="1030" spans="1:32" x14ac:dyDescent="0.25">
      <c r="B1030" s="70"/>
      <c r="C1030" s="70"/>
      <c r="D1030" s="70"/>
      <c r="E1030" s="70"/>
      <c r="F1030" s="70"/>
      <c r="M1030" s="70"/>
      <c r="N1030" s="70"/>
      <c r="O1030" s="70"/>
      <c r="P1030" s="70"/>
      <c r="Q1030" s="70"/>
      <c r="X1030" s="70"/>
      <c r="Y1030" s="70"/>
      <c r="Z1030" s="70"/>
      <c r="AA1030" s="70"/>
      <c r="AB1030" s="70"/>
    </row>
    <row r="1031" spans="1:32" x14ac:dyDescent="0.25">
      <c r="A1031" s="4" t="s">
        <v>15</v>
      </c>
      <c r="B1031" s="70"/>
      <c r="C1031" s="70"/>
      <c r="D1031" s="70"/>
      <c r="E1031" s="70"/>
      <c r="F1031" s="70"/>
      <c r="L1031" s="4" t="s">
        <v>15</v>
      </c>
      <c r="M1031" s="70"/>
      <c r="N1031" s="70"/>
      <c r="O1031" s="70"/>
      <c r="P1031" s="70"/>
      <c r="Q1031" s="70"/>
      <c r="W1031" s="4" t="s">
        <v>15</v>
      </c>
      <c r="X1031" s="70"/>
      <c r="Y1031" s="70"/>
      <c r="Z1031" s="70"/>
      <c r="AA1031" s="70"/>
      <c r="AB1031" s="70"/>
    </row>
    <row r="1032" spans="1:32" x14ac:dyDescent="0.25">
      <c r="B1032" s="70"/>
      <c r="C1032" s="70"/>
      <c r="D1032" s="70"/>
      <c r="E1032" s="70"/>
      <c r="F1032" s="70"/>
      <c r="M1032" s="70"/>
      <c r="N1032" s="70"/>
      <c r="O1032" s="70"/>
      <c r="P1032" s="70"/>
      <c r="Q1032" s="70"/>
      <c r="X1032" s="70"/>
      <c r="Y1032" s="70"/>
      <c r="Z1032" s="70"/>
      <c r="AA1032" s="70"/>
      <c r="AB1032" s="70"/>
    </row>
    <row r="1033" spans="1:32" ht="15.75" x14ac:dyDescent="0.25">
      <c r="A1033" t="s">
        <v>37</v>
      </c>
      <c r="B1033" s="70"/>
      <c r="C1033" s="70"/>
      <c r="D1033" s="70"/>
      <c r="E1033" s="70"/>
      <c r="F1033" s="70"/>
      <c r="H1033" s="70" t="s">
        <v>16</v>
      </c>
      <c r="I1033" s="19">
        <v>1</v>
      </c>
      <c r="L1033" t="s">
        <v>37</v>
      </c>
      <c r="M1033" s="70"/>
      <c r="N1033" s="70"/>
      <c r="O1033" s="70"/>
      <c r="P1033" s="70"/>
      <c r="Q1033" s="70"/>
      <c r="S1033" s="70" t="s">
        <v>16</v>
      </c>
      <c r="T1033" s="19">
        <v>2</v>
      </c>
      <c r="W1033" t="s">
        <v>37</v>
      </c>
      <c r="X1033" s="70"/>
      <c r="Y1033" s="70"/>
      <c r="Z1033" s="70"/>
      <c r="AA1033" s="70"/>
      <c r="AB1033" s="70"/>
      <c r="AD1033" s="70" t="s">
        <v>16</v>
      </c>
      <c r="AE1033" s="20">
        <v>3</v>
      </c>
    </row>
    <row r="1034" spans="1:32" x14ac:dyDescent="0.25">
      <c r="A1034" s="21" t="s">
        <v>84</v>
      </c>
      <c r="B1034" s="20"/>
      <c r="C1034" s="70"/>
      <c r="D1034" s="70"/>
      <c r="E1034" s="70"/>
      <c r="F1034" s="70"/>
      <c r="H1034" s="22" t="s">
        <v>17</v>
      </c>
      <c r="I1034" s="23" t="s">
        <v>46</v>
      </c>
      <c r="J1034" s="24"/>
      <c r="L1034" s="21" t="s">
        <v>84</v>
      </c>
      <c r="M1034" s="20"/>
      <c r="N1034" s="70"/>
      <c r="O1034" s="70"/>
      <c r="P1034" s="70"/>
      <c r="Q1034" s="70"/>
      <c r="S1034" s="22" t="s">
        <v>17</v>
      </c>
      <c r="T1034" s="23" t="s">
        <v>34</v>
      </c>
      <c r="U1034" s="24"/>
      <c r="W1034" s="21" t="s">
        <v>84</v>
      </c>
      <c r="X1034" s="20"/>
      <c r="Y1034" s="70"/>
      <c r="Z1034" s="70"/>
      <c r="AA1034" s="70"/>
      <c r="AB1034" s="70"/>
      <c r="AD1034" s="22" t="s">
        <v>17</v>
      </c>
      <c r="AE1034" s="23" t="s">
        <v>47</v>
      </c>
      <c r="AF1034" s="24"/>
    </row>
    <row r="1035" spans="1:32" x14ac:dyDescent="0.25">
      <c r="B1035" s="70"/>
      <c r="C1035" s="70"/>
      <c r="D1035" s="70"/>
      <c r="E1035" s="70"/>
      <c r="F1035" s="70"/>
      <c r="M1035" s="70"/>
      <c r="N1035" s="70"/>
      <c r="O1035" s="70"/>
      <c r="P1035" s="70"/>
      <c r="Q1035" s="70"/>
      <c r="X1035" s="70"/>
      <c r="Y1035" s="70"/>
      <c r="Z1035" s="70"/>
      <c r="AA1035" s="70"/>
      <c r="AB1035" s="70"/>
    </row>
    <row r="1036" spans="1:32" x14ac:dyDescent="0.25">
      <c r="B1036" s="25"/>
      <c r="C1036" s="26"/>
      <c r="D1036" s="79" t="s">
        <v>18</v>
      </c>
      <c r="E1036" s="79"/>
      <c r="F1036" s="27"/>
      <c r="H1036" s="77" t="s">
        <v>19</v>
      </c>
      <c r="I1036" s="78"/>
      <c r="J1036" s="75" t="s">
        <v>20</v>
      </c>
      <c r="M1036" s="25"/>
      <c r="N1036" s="26"/>
      <c r="O1036" s="79" t="s">
        <v>18</v>
      </c>
      <c r="P1036" s="79"/>
      <c r="Q1036" s="27"/>
      <c r="S1036" s="77" t="s">
        <v>19</v>
      </c>
      <c r="T1036" s="78"/>
      <c r="U1036" s="75" t="s">
        <v>20</v>
      </c>
      <c r="X1036" s="25"/>
      <c r="Y1036" s="26"/>
      <c r="Z1036" s="79" t="s">
        <v>18</v>
      </c>
      <c r="AA1036" s="79"/>
      <c r="AB1036" s="27"/>
      <c r="AD1036" s="77" t="s">
        <v>19</v>
      </c>
      <c r="AE1036" s="78"/>
      <c r="AF1036" s="75" t="s">
        <v>20</v>
      </c>
    </row>
    <row r="1037" spans="1:32" ht="30" x14ac:dyDescent="0.25">
      <c r="B1037" s="28" t="s">
        <v>21</v>
      </c>
      <c r="C1037" s="28" t="s">
        <v>22</v>
      </c>
      <c r="D1037" s="29" t="s">
        <v>23</v>
      </c>
      <c r="E1037" s="30" t="s">
        <v>24</v>
      </c>
      <c r="F1037" s="30" t="s">
        <v>25</v>
      </c>
      <c r="H1037" s="31" t="s">
        <v>26</v>
      </c>
      <c r="I1037" s="31" t="s">
        <v>27</v>
      </c>
      <c r="J1037" s="76"/>
      <c r="M1037" s="28" t="s">
        <v>21</v>
      </c>
      <c r="N1037" s="28" t="s">
        <v>22</v>
      </c>
      <c r="O1037" s="29" t="s">
        <v>23</v>
      </c>
      <c r="P1037" s="30" t="s">
        <v>24</v>
      </c>
      <c r="Q1037" s="30" t="s">
        <v>25</v>
      </c>
      <c r="S1037" s="31" t="s">
        <v>26</v>
      </c>
      <c r="T1037" s="31" t="s">
        <v>27</v>
      </c>
      <c r="U1037" s="76"/>
      <c r="X1037" s="28" t="s">
        <v>21</v>
      </c>
      <c r="Y1037" s="28" t="s">
        <v>22</v>
      </c>
      <c r="Z1037" s="29" t="s">
        <v>23</v>
      </c>
      <c r="AA1037" s="30" t="s">
        <v>24</v>
      </c>
      <c r="AB1037" s="30" t="s">
        <v>25</v>
      </c>
      <c r="AD1037" s="31" t="s">
        <v>26</v>
      </c>
      <c r="AE1037" s="31" t="s">
        <v>27</v>
      </c>
      <c r="AF1037" s="76"/>
    </row>
    <row r="1038" spans="1:32" x14ac:dyDescent="0.25">
      <c r="A1038" s="10">
        <v>1</v>
      </c>
      <c r="B1038" s="32">
        <v>45680</v>
      </c>
      <c r="C1038" s="33">
        <v>7794</v>
      </c>
      <c r="D1038" s="34">
        <f>626*6+51</f>
        <v>3807</v>
      </c>
      <c r="E1038" s="34"/>
      <c r="F1038" s="34">
        <f>SUM(D1038:E1038)</f>
        <v>3807</v>
      </c>
      <c r="G1038" s="12"/>
      <c r="H1038" s="12"/>
      <c r="I1038" s="12">
        <v>-444</v>
      </c>
      <c r="J1038" s="12">
        <f>SUM(F1038:I1038)</f>
        <v>3363</v>
      </c>
      <c r="L1038" s="10">
        <v>1</v>
      </c>
      <c r="M1038" s="32">
        <v>45680</v>
      </c>
      <c r="N1038" s="33">
        <v>6714</v>
      </c>
      <c r="O1038" s="34">
        <f>1878+25.5+674</f>
        <v>2577.5</v>
      </c>
      <c r="P1038" s="34"/>
      <c r="Q1038" s="34">
        <f>SUM(O1038:P1038)</f>
        <v>2577.5</v>
      </c>
      <c r="R1038" s="12"/>
      <c r="S1038" s="12"/>
      <c r="T1038" s="12"/>
      <c r="U1038" s="12">
        <f>SUM(Q1038:T1038)</f>
        <v>2577.5</v>
      </c>
      <c r="W1038" s="10">
        <v>1</v>
      </c>
      <c r="X1038" s="32">
        <v>45680</v>
      </c>
      <c r="Y1038" s="33">
        <v>7801</v>
      </c>
      <c r="Z1038" s="34">
        <f>626*5+614+596+51</f>
        <v>4391</v>
      </c>
      <c r="AA1038" s="34"/>
      <c r="AB1038" s="34">
        <f>SUM(Z1038:AA1038)</f>
        <v>4391</v>
      </c>
      <c r="AC1038" s="12"/>
      <c r="AD1038" s="12">
        <f>49.5+2.25</f>
        <v>51.75</v>
      </c>
      <c r="AE1038" s="12"/>
      <c r="AF1038" s="12">
        <f>SUM(AB1038:AE1038)</f>
        <v>4442.75</v>
      </c>
    </row>
    <row r="1039" spans="1:32" x14ac:dyDescent="0.25">
      <c r="A1039" s="10">
        <v>2</v>
      </c>
      <c r="B1039" s="32">
        <v>45680</v>
      </c>
      <c r="C1039" s="33">
        <f>C1038+1</f>
        <v>7795</v>
      </c>
      <c r="D1039">
        <f>6260+1192+102</f>
        <v>7554</v>
      </c>
      <c r="E1039" s="34"/>
      <c r="F1039" s="34">
        <f t="shared" ref="F1039:F1042" si="350">SUM(D1039:E1039)</f>
        <v>7554</v>
      </c>
      <c r="G1039" s="12"/>
      <c r="H1039" s="12"/>
      <c r="I1039" s="12"/>
      <c r="J1039" s="12">
        <f t="shared" ref="J1039:J1079" si="351">SUM(F1039:I1039)</f>
        <v>7554</v>
      </c>
      <c r="L1039" s="10">
        <v>2</v>
      </c>
      <c r="M1039" s="32">
        <v>45680</v>
      </c>
      <c r="N1039" s="33">
        <f>N1038+1</f>
        <v>6715</v>
      </c>
      <c r="O1039">
        <f>1252+1192+34</f>
        <v>2478</v>
      </c>
      <c r="P1039" s="34"/>
      <c r="Q1039" s="34">
        <f t="shared" ref="Q1039:Q1042" si="352">SUM(O1039:P1039)</f>
        <v>2478</v>
      </c>
      <c r="R1039" s="12"/>
      <c r="S1039" s="12"/>
      <c r="T1039" s="12"/>
      <c r="U1039" s="12">
        <f t="shared" ref="U1039:U1079" si="353">SUM(Q1039:T1039)</f>
        <v>2478</v>
      </c>
      <c r="W1039" s="10">
        <v>2</v>
      </c>
      <c r="X1039" s="32">
        <v>45680</v>
      </c>
      <c r="Y1039" s="33">
        <f>Y1038+1</f>
        <v>7802</v>
      </c>
      <c r="Z1039" s="34">
        <f>626*15+596*5+170+1950</f>
        <v>14490</v>
      </c>
      <c r="AA1039" s="34"/>
      <c r="AB1039" s="34">
        <f t="shared" ref="AB1039:AB1041" si="354">SUM(Z1039:AA1039)</f>
        <v>14490</v>
      </c>
      <c r="AC1039" s="12"/>
      <c r="AD1039" s="12">
        <v>27</v>
      </c>
      <c r="AE1039" s="12"/>
      <c r="AF1039" s="12">
        <f t="shared" ref="AF1039:AF1079" si="355">SUM(AB1039:AE1039)</f>
        <v>14517</v>
      </c>
    </row>
    <row r="1040" spans="1:32" x14ac:dyDescent="0.25">
      <c r="A1040" s="10">
        <v>3</v>
      </c>
      <c r="B1040" s="32">
        <v>45680</v>
      </c>
      <c r="C1040" s="33">
        <f t="shared" ref="C1040:C1047" si="356">C1039+1</f>
        <v>7796</v>
      </c>
      <c r="D1040" s="34">
        <f>626*3+596*3+51</f>
        <v>3717</v>
      </c>
      <c r="E1040" s="34"/>
      <c r="F1040" s="34">
        <f t="shared" si="350"/>
        <v>3717</v>
      </c>
      <c r="G1040" s="12"/>
      <c r="H1040" s="12"/>
      <c r="I1040" s="12"/>
      <c r="J1040" s="12">
        <f t="shared" si="351"/>
        <v>3717</v>
      </c>
      <c r="L1040" s="10">
        <v>3</v>
      </c>
      <c r="M1040" s="32">
        <v>45680</v>
      </c>
      <c r="N1040" s="33">
        <f t="shared" ref="N1040:N1061" si="357">N1039+1</f>
        <v>6716</v>
      </c>
      <c r="O1040" s="34">
        <f>1878+596*18+205+674</f>
        <v>13485</v>
      </c>
      <c r="P1040" s="34"/>
      <c r="Q1040" s="34">
        <f t="shared" si="352"/>
        <v>13485</v>
      </c>
      <c r="R1040" s="12"/>
      <c r="S1040" s="12">
        <v>18</v>
      </c>
      <c r="T1040" s="12"/>
      <c r="U1040" s="12">
        <f t="shared" si="353"/>
        <v>13503</v>
      </c>
      <c r="W1040" s="10">
        <v>3</v>
      </c>
      <c r="X1040" s="32">
        <v>45680</v>
      </c>
      <c r="Y1040" s="33">
        <f t="shared" ref="Y1040:Y1046" si="358">Y1039+1</f>
        <v>7803</v>
      </c>
      <c r="Z1040" s="34">
        <f>626*2+17</f>
        <v>1269</v>
      </c>
      <c r="AA1040" s="34"/>
      <c r="AB1040" s="34">
        <f t="shared" si="354"/>
        <v>1269</v>
      </c>
      <c r="AC1040" s="12"/>
      <c r="AD1040" s="12"/>
      <c r="AE1040" s="12"/>
      <c r="AF1040" s="12">
        <f t="shared" si="355"/>
        <v>1269</v>
      </c>
    </row>
    <row r="1041" spans="1:32" x14ac:dyDescent="0.25">
      <c r="A1041" s="10">
        <v>4</v>
      </c>
      <c r="B1041" s="32">
        <v>45680</v>
      </c>
      <c r="C1041" s="33">
        <f t="shared" si="356"/>
        <v>7797</v>
      </c>
      <c r="D1041" s="34">
        <f>626+9</f>
        <v>635</v>
      </c>
      <c r="E1041" s="34"/>
      <c r="F1041" s="34">
        <f t="shared" si="350"/>
        <v>635</v>
      </c>
      <c r="G1041" s="12"/>
      <c r="H1041" s="12"/>
      <c r="I1041" s="12"/>
      <c r="J1041" s="12">
        <f t="shared" si="351"/>
        <v>635</v>
      </c>
      <c r="L1041" s="10">
        <v>4</v>
      </c>
      <c r="M1041" s="32">
        <v>45680</v>
      </c>
      <c r="N1041" s="33">
        <f t="shared" si="357"/>
        <v>6717</v>
      </c>
      <c r="O1041" s="34">
        <f>1192+222</f>
        <v>1414</v>
      </c>
      <c r="P1041" s="34"/>
      <c r="Q1041" s="34">
        <f t="shared" si="352"/>
        <v>1414</v>
      </c>
      <c r="R1041" s="12"/>
      <c r="S1041" s="12">
        <v>84</v>
      </c>
      <c r="T1041" s="12"/>
      <c r="U1041" s="12">
        <f t="shared" si="353"/>
        <v>1498</v>
      </c>
      <c r="W1041" s="10">
        <v>4</v>
      </c>
      <c r="X1041" s="32">
        <v>45680</v>
      </c>
      <c r="Y1041" s="33">
        <f t="shared" si="358"/>
        <v>7804</v>
      </c>
      <c r="Z1041" s="34">
        <f>626*9+614*2+596*2+93.5</f>
        <v>8147.5</v>
      </c>
      <c r="AA1041" s="34"/>
      <c r="AB1041" s="34">
        <f t="shared" si="354"/>
        <v>8147.5</v>
      </c>
      <c r="AC1041" s="12"/>
      <c r="AD1041">
        <v>16.5</v>
      </c>
      <c r="AE1041" s="12"/>
      <c r="AF1041" s="12">
        <f t="shared" si="355"/>
        <v>8164</v>
      </c>
    </row>
    <row r="1042" spans="1:32" x14ac:dyDescent="0.25">
      <c r="A1042" s="10">
        <v>5</v>
      </c>
      <c r="B1042" s="32">
        <v>45680</v>
      </c>
      <c r="C1042" s="33">
        <f t="shared" si="356"/>
        <v>7798</v>
      </c>
      <c r="D1042" s="34">
        <f>626*3+25.5</f>
        <v>1903.5</v>
      </c>
      <c r="E1042" s="34"/>
      <c r="F1042" s="34">
        <f t="shared" si="350"/>
        <v>1903.5</v>
      </c>
      <c r="G1042" s="12"/>
      <c r="H1042" s="12"/>
      <c r="I1042" s="12">
        <v>-537</v>
      </c>
      <c r="J1042" s="12">
        <f t="shared" si="351"/>
        <v>1366.5</v>
      </c>
      <c r="L1042" s="10">
        <v>5</v>
      </c>
      <c r="M1042" s="32">
        <v>45680</v>
      </c>
      <c r="N1042" s="33">
        <f t="shared" si="357"/>
        <v>6718</v>
      </c>
      <c r="O1042" s="34">
        <f>626*4+34</f>
        <v>2538</v>
      </c>
      <c r="P1042" s="34"/>
      <c r="Q1042" s="34">
        <f t="shared" si="352"/>
        <v>2538</v>
      </c>
      <c r="R1042" s="12"/>
      <c r="S1042" s="12"/>
      <c r="T1042" s="12"/>
      <c r="U1042" s="12">
        <f t="shared" si="353"/>
        <v>2538</v>
      </c>
      <c r="W1042" s="10">
        <v>5</v>
      </c>
      <c r="X1042" s="32">
        <v>45680</v>
      </c>
      <c r="Y1042" s="33">
        <f t="shared" si="358"/>
        <v>7805</v>
      </c>
      <c r="Z1042" s="34">
        <f>626*35+614*5+596*10+410</f>
        <v>31350</v>
      </c>
      <c r="AA1042" s="34">
        <v>-400</v>
      </c>
      <c r="AB1042" s="34">
        <f t="shared" ref="AB1042:AB1047" si="359">SUM(Z1042:AA1042)</f>
        <v>30950</v>
      </c>
      <c r="AC1042" s="12"/>
      <c r="AD1042" s="12">
        <v>78</v>
      </c>
      <c r="AE1042" s="12"/>
      <c r="AF1042" s="12">
        <f t="shared" si="355"/>
        <v>31028</v>
      </c>
    </row>
    <row r="1043" spans="1:32" x14ac:dyDescent="0.25">
      <c r="A1043" s="10">
        <v>6</v>
      </c>
      <c r="B1043" s="32">
        <v>45680</v>
      </c>
      <c r="C1043" s="33">
        <f t="shared" si="356"/>
        <v>7799</v>
      </c>
      <c r="D1043" s="34">
        <f>626*6+51</f>
        <v>3807</v>
      </c>
      <c r="E1043" s="34"/>
      <c r="F1043" s="34">
        <f>SUM(D1043:E1043)</f>
        <v>3807</v>
      </c>
      <c r="G1043" s="12"/>
      <c r="H1043" s="12"/>
      <c r="I1043" s="10"/>
      <c r="J1043" s="12">
        <f t="shared" si="351"/>
        <v>3807</v>
      </c>
      <c r="L1043" s="10">
        <v>6</v>
      </c>
      <c r="M1043" s="32">
        <v>45680</v>
      </c>
      <c r="N1043" s="33">
        <f t="shared" si="357"/>
        <v>6719</v>
      </c>
      <c r="O1043" s="34">
        <f>5960+85</f>
        <v>6045</v>
      </c>
      <c r="P1043" s="34"/>
      <c r="Q1043" s="34">
        <f>SUM(O1043:P1043)</f>
        <v>6045</v>
      </c>
      <c r="R1043" s="12"/>
      <c r="S1043" s="12"/>
      <c r="T1043" s="10"/>
      <c r="U1043" s="12">
        <f t="shared" si="353"/>
        <v>6045</v>
      </c>
      <c r="W1043" s="10">
        <v>6</v>
      </c>
      <c r="X1043" s="32">
        <v>45680</v>
      </c>
      <c r="Y1043" s="33">
        <f t="shared" si="358"/>
        <v>7806</v>
      </c>
      <c r="Z1043" s="34">
        <f>626*50+614*4+596*50+832*2+205*4+674*2</f>
        <v>67388</v>
      </c>
      <c r="AA1043" s="34">
        <v>-896</v>
      </c>
      <c r="AB1043" s="34">
        <f t="shared" si="359"/>
        <v>66492</v>
      </c>
      <c r="AC1043" s="12"/>
      <c r="AD1043" s="12"/>
      <c r="AE1043" s="10">
        <v>-11100</v>
      </c>
      <c r="AF1043" s="12">
        <f t="shared" si="355"/>
        <v>55392</v>
      </c>
    </row>
    <row r="1044" spans="1:32" x14ac:dyDescent="0.25">
      <c r="A1044" s="10">
        <v>7</v>
      </c>
      <c r="B1044" s="32">
        <v>45680</v>
      </c>
      <c r="C1044" s="33">
        <f t="shared" si="356"/>
        <v>7800</v>
      </c>
      <c r="D1044" s="34">
        <f>1252+17</f>
        <v>1269</v>
      </c>
      <c r="E1044" s="34"/>
      <c r="F1044" s="34">
        <f t="shared" ref="F1044:F1076" si="360">SUM(D1044:E1044)</f>
        <v>1269</v>
      </c>
      <c r="G1044" s="12"/>
      <c r="H1044" s="12"/>
      <c r="I1044" s="12"/>
      <c r="J1044" s="12">
        <f t="shared" si="351"/>
        <v>1269</v>
      </c>
      <c r="L1044" s="10">
        <v>7</v>
      </c>
      <c r="M1044" s="32">
        <v>45680</v>
      </c>
      <c r="N1044" s="33">
        <f t="shared" si="357"/>
        <v>6720</v>
      </c>
      <c r="O1044" s="34">
        <f>2980+42.5+674</f>
        <v>3696.5</v>
      </c>
      <c r="P1044" s="34"/>
      <c r="Q1044" s="34">
        <f t="shared" ref="Q1044:Q1076" si="361">SUM(O1044:P1044)</f>
        <v>3696.5</v>
      </c>
      <c r="R1044" s="12"/>
      <c r="S1044" s="12"/>
      <c r="T1044" s="12"/>
      <c r="U1044" s="12">
        <f t="shared" si="353"/>
        <v>3696.5</v>
      </c>
      <c r="W1044" s="10">
        <v>7</v>
      </c>
      <c r="X1044" s="32">
        <v>45680</v>
      </c>
      <c r="Y1044" s="33">
        <f t="shared" si="358"/>
        <v>7807</v>
      </c>
      <c r="Z1044" s="34">
        <f>626*108+839*3+205*4</f>
        <v>70945</v>
      </c>
      <c r="AA1044" s="34">
        <v>-920</v>
      </c>
      <c r="AB1044" s="34">
        <f t="shared" si="359"/>
        <v>70025</v>
      </c>
      <c r="AC1044" s="12"/>
      <c r="AD1044" s="66"/>
      <c r="AE1044" s="12"/>
      <c r="AF1044" s="12">
        <f t="shared" si="355"/>
        <v>70025</v>
      </c>
    </row>
    <row r="1045" spans="1:32" x14ac:dyDescent="0.25">
      <c r="A1045" s="10">
        <v>8</v>
      </c>
      <c r="B1045" s="32">
        <v>45680</v>
      </c>
      <c r="C1045" s="33">
        <f t="shared" si="356"/>
        <v>7801</v>
      </c>
      <c r="D1045" s="34">
        <f>626*151+596*10+205*6+8.5*17</f>
        <v>101860.5</v>
      </c>
      <c r="E1045" s="34">
        <v>-1288</v>
      </c>
      <c r="F1045" s="34">
        <f t="shared" si="360"/>
        <v>100572.5</v>
      </c>
      <c r="G1045" s="12"/>
      <c r="H1045" s="12">
        <f>390+25</f>
        <v>415</v>
      </c>
      <c r="I1045" s="12">
        <f>-252+-84+-30</f>
        <v>-366</v>
      </c>
      <c r="J1045" s="12">
        <f t="shared" si="351"/>
        <v>100621.5</v>
      </c>
      <c r="L1045" s="10">
        <v>8</v>
      </c>
      <c r="M1045" s="32">
        <v>45680</v>
      </c>
      <c r="N1045" s="33">
        <f t="shared" si="357"/>
        <v>6721</v>
      </c>
      <c r="O1045" s="34">
        <f>614+596+17</f>
        <v>1227</v>
      </c>
      <c r="P1045" s="34"/>
      <c r="Q1045" s="34">
        <f t="shared" si="361"/>
        <v>1227</v>
      </c>
      <c r="R1045" s="12"/>
      <c r="S1045" s="12"/>
      <c r="T1045" s="12"/>
      <c r="U1045" s="12">
        <f t="shared" si="353"/>
        <v>1227</v>
      </c>
      <c r="W1045" s="10">
        <v>8</v>
      </c>
      <c r="X1045" s="32">
        <v>45680</v>
      </c>
      <c r="Y1045" s="33">
        <f t="shared" si="358"/>
        <v>7808</v>
      </c>
      <c r="Z1045" s="34">
        <f>626*155+674*5+596*45+205*8</f>
        <v>128860</v>
      </c>
      <c r="AA1045" s="37">
        <v>-1917</v>
      </c>
      <c r="AB1045" s="34">
        <f t="shared" si="359"/>
        <v>126943</v>
      </c>
      <c r="AC1045" s="12"/>
      <c r="AD1045" s="12"/>
      <c r="AE1045" s="12">
        <v>-2442</v>
      </c>
      <c r="AF1045" s="12">
        <f t="shared" si="355"/>
        <v>124501</v>
      </c>
    </row>
    <row r="1046" spans="1:32" x14ac:dyDescent="0.25">
      <c r="A1046" s="10">
        <v>9</v>
      </c>
      <c r="B1046" s="32">
        <v>45680</v>
      </c>
      <c r="C1046" s="33">
        <f t="shared" si="356"/>
        <v>7802</v>
      </c>
      <c r="D1046" s="34">
        <f>626*200+205*8</f>
        <v>126840</v>
      </c>
      <c r="E1046" s="34">
        <v>-1872</v>
      </c>
      <c r="F1046" s="34">
        <f t="shared" si="360"/>
        <v>124968</v>
      </c>
      <c r="G1046" s="12"/>
      <c r="H1046" s="12">
        <f>10101+624</f>
        <v>10725</v>
      </c>
      <c r="I1046" s="12">
        <f>-360+-84+-18</f>
        <v>-462</v>
      </c>
      <c r="J1046" s="12">
        <f t="shared" si="351"/>
        <v>135231</v>
      </c>
      <c r="L1046" s="10">
        <v>9</v>
      </c>
      <c r="M1046" s="32">
        <v>45680</v>
      </c>
      <c r="N1046" s="33">
        <f t="shared" si="357"/>
        <v>6722</v>
      </c>
      <c r="O1046" s="34">
        <f>1252+17</f>
        <v>1269</v>
      </c>
      <c r="P1046" s="34"/>
      <c r="Q1046" s="34">
        <f t="shared" si="361"/>
        <v>1269</v>
      </c>
      <c r="R1046" s="12"/>
      <c r="S1046" s="12"/>
      <c r="T1046" s="12"/>
      <c r="U1046" s="12">
        <f t="shared" si="353"/>
        <v>1269</v>
      </c>
      <c r="W1046" s="10">
        <v>9</v>
      </c>
      <c r="X1046" s="32">
        <v>45680</v>
      </c>
      <c r="Y1046" s="33">
        <f t="shared" si="358"/>
        <v>7809</v>
      </c>
      <c r="Z1046">
        <f>205</f>
        <v>205</v>
      </c>
      <c r="AA1046" s="34"/>
      <c r="AB1046" s="34">
        <f t="shared" si="359"/>
        <v>205</v>
      </c>
      <c r="AC1046" s="12"/>
      <c r="AD1046" s="66"/>
      <c r="AE1046" s="12"/>
      <c r="AF1046" s="12">
        <f t="shared" si="355"/>
        <v>205</v>
      </c>
    </row>
    <row r="1047" spans="1:32" x14ac:dyDescent="0.25">
      <c r="A1047" s="10">
        <v>10</v>
      </c>
      <c r="B1047" s="32">
        <v>45680</v>
      </c>
      <c r="C1047" s="33">
        <f t="shared" si="356"/>
        <v>7803</v>
      </c>
      <c r="D1047" s="34">
        <f>626*5+43</f>
        <v>3173</v>
      </c>
      <c r="E1047" s="34"/>
      <c r="F1047" s="34">
        <f t="shared" si="360"/>
        <v>3173</v>
      </c>
      <c r="G1047" s="12"/>
      <c r="H1047" s="12"/>
      <c r="I1047" s="12"/>
      <c r="J1047" s="12">
        <f t="shared" si="351"/>
        <v>3173</v>
      </c>
      <c r="L1047" s="10">
        <v>10</v>
      </c>
      <c r="M1047" s="32">
        <v>45680</v>
      </c>
      <c r="N1047" s="33">
        <f t="shared" si="357"/>
        <v>6723</v>
      </c>
      <c r="O1047" s="34">
        <f>1878+596+34</f>
        <v>2508</v>
      </c>
      <c r="P1047" s="34"/>
      <c r="Q1047" s="34">
        <f t="shared" si="361"/>
        <v>2508</v>
      </c>
      <c r="R1047" s="12"/>
      <c r="S1047" s="12"/>
      <c r="T1047" s="12"/>
      <c r="U1047" s="12">
        <f t="shared" si="353"/>
        <v>2508</v>
      </c>
      <c r="W1047" s="10">
        <v>10</v>
      </c>
      <c r="X1047" s="32"/>
      <c r="Y1047" s="11" t="s">
        <v>28</v>
      </c>
      <c r="Z1047" s="34"/>
      <c r="AA1047" s="34"/>
      <c r="AB1047" s="34">
        <f t="shared" si="359"/>
        <v>0</v>
      </c>
      <c r="AC1047" s="12"/>
      <c r="AD1047" s="12"/>
      <c r="AE1047" s="12"/>
      <c r="AF1047" s="12">
        <f t="shared" si="355"/>
        <v>0</v>
      </c>
    </row>
    <row r="1048" spans="1:32" x14ac:dyDescent="0.25">
      <c r="A1048" s="10">
        <v>11</v>
      </c>
      <c r="B1048" s="32"/>
      <c r="C1048" s="11" t="s">
        <v>28</v>
      </c>
      <c r="D1048" s="34"/>
      <c r="E1048" s="34"/>
      <c r="F1048" s="34">
        <f t="shared" si="360"/>
        <v>0</v>
      </c>
      <c r="G1048" s="12"/>
      <c r="H1048" s="12"/>
      <c r="I1048" s="12"/>
      <c r="J1048" s="12">
        <f t="shared" si="351"/>
        <v>0</v>
      </c>
      <c r="L1048" s="10">
        <v>11</v>
      </c>
      <c r="M1048" s="32">
        <v>45680</v>
      </c>
      <c r="N1048" s="33">
        <f t="shared" si="357"/>
        <v>6724</v>
      </c>
      <c r="O1048" s="34">
        <f>3130+42.5</f>
        <v>3172.5</v>
      </c>
      <c r="P1048" s="34"/>
      <c r="Q1048" s="34">
        <f t="shared" si="361"/>
        <v>3172.5</v>
      </c>
      <c r="R1048" s="12"/>
      <c r="S1048" s="12"/>
      <c r="T1048" s="12"/>
      <c r="U1048" s="12">
        <f t="shared" si="353"/>
        <v>3172.5</v>
      </c>
      <c r="W1048" s="10">
        <v>11</v>
      </c>
      <c r="X1048" s="32"/>
      <c r="Z1048" s="34"/>
      <c r="AA1048" s="34"/>
      <c r="AB1048" s="34">
        <f t="shared" ref="AB1048:AB1070" si="362">SUM(Z1048:AA1048)</f>
        <v>0</v>
      </c>
      <c r="AC1048" s="12"/>
      <c r="AD1048" s="12"/>
      <c r="AE1048" s="12"/>
      <c r="AF1048" s="12">
        <f t="shared" si="355"/>
        <v>0</v>
      </c>
    </row>
    <row r="1049" spans="1:32" x14ac:dyDescent="0.25">
      <c r="A1049" s="10">
        <v>12</v>
      </c>
      <c r="B1049" s="32"/>
      <c r="C1049" s="33"/>
      <c r="D1049" s="34"/>
      <c r="E1049" s="34"/>
      <c r="F1049" s="34">
        <f t="shared" si="360"/>
        <v>0</v>
      </c>
      <c r="G1049" s="12"/>
      <c r="H1049" s="12"/>
      <c r="I1049" s="12"/>
      <c r="J1049" s="12">
        <f t="shared" si="351"/>
        <v>0</v>
      </c>
      <c r="L1049" s="10">
        <v>12</v>
      </c>
      <c r="M1049" s="32">
        <v>45680</v>
      </c>
      <c r="N1049" s="33">
        <f t="shared" si="357"/>
        <v>6725</v>
      </c>
      <c r="O1049" s="34">
        <f>1878+25.5</f>
        <v>1903.5</v>
      </c>
      <c r="P1049" s="34"/>
      <c r="Q1049" s="34">
        <f t="shared" si="361"/>
        <v>1903.5</v>
      </c>
      <c r="R1049" s="12"/>
      <c r="S1049" s="12"/>
      <c r="T1049" s="12"/>
      <c r="U1049" s="12">
        <f t="shared" si="353"/>
        <v>1903.5</v>
      </c>
      <c r="W1049" s="10">
        <v>12</v>
      </c>
      <c r="X1049" s="32"/>
      <c r="Y1049" s="33"/>
      <c r="Z1049" s="34"/>
      <c r="AA1049" s="34"/>
      <c r="AB1049" s="34">
        <f t="shared" si="362"/>
        <v>0</v>
      </c>
      <c r="AC1049" s="12"/>
      <c r="AD1049" s="12"/>
      <c r="AE1049" s="12"/>
      <c r="AF1049" s="12">
        <f t="shared" si="355"/>
        <v>0</v>
      </c>
    </row>
    <row r="1050" spans="1:32" x14ac:dyDescent="0.25">
      <c r="A1050" s="10">
        <v>13</v>
      </c>
      <c r="B1050" s="32"/>
      <c r="C1050" s="33"/>
      <c r="D1050" s="34"/>
      <c r="E1050" s="34"/>
      <c r="F1050" s="34">
        <f t="shared" si="360"/>
        <v>0</v>
      </c>
      <c r="G1050" s="12"/>
      <c r="H1050" s="12"/>
      <c r="I1050" s="12"/>
      <c r="J1050" s="12">
        <f t="shared" si="351"/>
        <v>0</v>
      </c>
      <c r="L1050" s="10">
        <v>13</v>
      </c>
      <c r="M1050" s="32">
        <v>45680</v>
      </c>
      <c r="N1050" s="33">
        <f t="shared" si="357"/>
        <v>6726</v>
      </c>
      <c r="O1050" s="34">
        <f>6260+5960+51</f>
        <v>12271</v>
      </c>
      <c r="P1050" s="34"/>
      <c r="Q1050" s="34">
        <f t="shared" si="361"/>
        <v>12271</v>
      </c>
      <c r="R1050" s="12"/>
      <c r="S1050" s="12"/>
      <c r="T1050" s="12"/>
      <c r="U1050" s="12">
        <f t="shared" si="353"/>
        <v>12271</v>
      </c>
      <c r="W1050" s="10">
        <v>13</v>
      </c>
      <c r="X1050" s="32"/>
      <c r="Y1050" s="33"/>
      <c r="Z1050" s="34"/>
      <c r="AA1050" s="34"/>
      <c r="AB1050" s="34">
        <f t="shared" si="362"/>
        <v>0</v>
      </c>
      <c r="AC1050" s="12"/>
      <c r="AD1050" s="12"/>
      <c r="AE1050" s="12"/>
      <c r="AF1050" s="12">
        <f t="shared" si="355"/>
        <v>0</v>
      </c>
    </row>
    <row r="1051" spans="1:32" x14ac:dyDescent="0.25">
      <c r="A1051" s="10">
        <v>14</v>
      </c>
      <c r="B1051" s="32"/>
      <c r="C1051" s="33"/>
      <c r="D1051" s="34"/>
      <c r="E1051" s="34"/>
      <c r="F1051" s="34">
        <f t="shared" si="360"/>
        <v>0</v>
      </c>
      <c r="G1051" s="12"/>
      <c r="H1051" s="12"/>
      <c r="I1051" s="12"/>
      <c r="J1051" s="12">
        <f t="shared" si="351"/>
        <v>0</v>
      </c>
      <c r="L1051" s="10">
        <v>14</v>
      </c>
      <c r="M1051" s="32">
        <v>45680</v>
      </c>
      <c r="N1051" s="33">
        <f t="shared" si="357"/>
        <v>6727</v>
      </c>
      <c r="O1051" s="34">
        <f>4382+596+68</f>
        <v>5046</v>
      </c>
      <c r="P1051" s="34"/>
      <c r="Q1051" s="34">
        <f t="shared" si="361"/>
        <v>5046</v>
      </c>
      <c r="R1051" s="12"/>
      <c r="S1051" s="12"/>
      <c r="T1051" s="12"/>
      <c r="U1051" s="12">
        <f t="shared" si="353"/>
        <v>5046</v>
      </c>
      <c r="W1051" s="10">
        <v>14</v>
      </c>
      <c r="X1051" s="32"/>
      <c r="Y1051" s="33"/>
      <c r="AA1051" s="34"/>
      <c r="AB1051" s="34">
        <f t="shared" si="362"/>
        <v>0</v>
      </c>
      <c r="AC1051" s="12"/>
      <c r="AD1051" s="12"/>
      <c r="AE1051" s="12"/>
      <c r="AF1051" s="12">
        <f t="shared" si="355"/>
        <v>0</v>
      </c>
    </row>
    <row r="1052" spans="1:32" x14ac:dyDescent="0.25">
      <c r="A1052" s="10">
        <v>15</v>
      </c>
      <c r="B1052" s="32"/>
      <c r="C1052" s="33"/>
      <c r="D1052" s="34"/>
      <c r="E1052" s="34"/>
      <c r="F1052" s="34">
        <f t="shared" si="360"/>
        <v>0</v>
      </c>
      <c r="G1052" s="12"/>
      <c r="H1052" s="12"/>
      <c r="I1052" s="12"/>
      <c r="J1052" s="12">
        <f t="shared" si="351"/>
        <v>0</v>
      </c>
      <c r="L1052" s="10">
        <v>15</v>
      </c>
      <c r="M1052" s="32">
        <v>45680</v>
      </c>
      <c r="N1052" s="33">
        <f t="shared" si="357"/>
        <v>6728</v>
      </c>
      <c r="O1052" s="34">
        <f>626+8.5</f>
        <v>634.5</v>
      </c>
      <c r="P1052" s="34"/>
      <c r="Q1052" s="34">
        <f t="shared" si="361"/>
        <v>634.5</v>
      </c>
      <c r="R1052" s="12"/>
      <c r="S1052" s="12"/>
      <c r="T1052" s="12"/>
      <c r="U1052" s="12">
        <f t="shared" si="353"/>
        <v>634.5</v>
      </c>
      <c r="W1052" s="10">
        <v>15</v>
      </c>
      <c r="X1052" s="32"/>
      <c r="Y1052" s="33"/>
      <c r="Z1052" s="34"/>
      <c r="AA1052" s="34"/>
      <c r="AB1052" s="34">
        <f t="shared" si="362"/>
        <v>0</v>
      </c>
      <c r="AC1052" s="12"/>
      <c r="AD1052" s="12"/>
      <c r="AE1052" s="12"/>
      <c r="AF1052" s="12">
        <f t="shared" si="355"/>
        <v>0</v>
      </c>
    </row>
    <row r="1053" spans="1:32" x14ac:dyDescent="0.25">
      <c r="A1053" s="10">
        <v>16</v>
      </c>
      <c r="B1053" s="32"/>
      <c r="C1053" s="33"/>
      <c r="D1053" s="34"/>
      <c r="E1053" s="34"/>
      <c r="F1053" s="34">
        <f t="shared" si="360"/>
        <v>0</v>
      </c>
      <c r="G1053" s="12"/>
      <c r="H1053" s="12"/>
      <c r="I1053" s="12"/>
      <c r="J1053" s="12">
        <f t="shared" si="351"/>
        <v>0</v>
      </c>
      <c r="L1053" s="10">
        <v>16</v>
      </c>
      <c r="M1053" s="32">
        <v>45680</v>
      </c>
      <c r="N1053" s="33">
        <f t="shared" si="357"/>
        <v>6729</v>
      </c>
      <c r="O1053" s="34">
        <f>626*3+25.5</f>
        <v>1903.5</v>
      </c>
      <c r="P1053" s="34"/>
      <c r="Q1053" s="34">
        <f t="shared" si="361"/>
        <v>1903.5</v>
      </c>
      <c r="R1053" s="12"/>
      <c r="S1053" s="12"/>
      <c r="T1053" s="12"/>
      <c r="U1053" s="12">
        <f t="shared" si="353"/>
        <v>1903.5</v>
      </c>
      <c r="W1053" s="10">
        <v>16</v>
      </c>
      <c r="X1053" s="32"/>
      <c r="Y1053" s="33"/>
      <c r="Z1053" s="34"/>
      <c r="AA1053" s="34"/>
      <c r="AB1053" s="34">
        <f t="shared" si="362"/>
        <v>0</v>
      </c>
      <c r="AC1053" s="12"/>
      <c r="AD1053" s="12"/>
      <c r="AE1053" s="12"/>
      <c r="AF1053" s="12">
        <f t="shared" si="355"/>
        <v>0</v>
      </c>
    </row>
    <row r="1054" spans="1:32" x14ac:dyDescent="0.25">
      <c r="A1054" s="10">
        <v>17</v>
      </c>
      <c r="B1054" s="32"/>
      <c r="C1054" s="33"/>
      <c r="D1054" s="37"/>
      <c r="E1054" s="34"/>
      <c r="F1054" s="34">
        <f t="shared" si="360"/>
        <v>0</v>
      </c>
      <c r="G1054" s="12"/>
      <c r="H1054" s="12"/>
      <c r="I1054" s="12"/>
      <c r="J1054" s="12">
        <f t="shared" si="351"/>
        <v>0</v>
      </c>
      <c r="L1054" s="10">
        <v>17</v>
      </c>
      <c r="M1054" s="32">
        <v>45680</v>
      </c>
      <c r="N1054" s="33">
        <f t="shared" si="357"/>
        <v>6730</v>
      </c>
      <c r="O1054" s="37">
        <f>1252+596+25.5</f>
        <v>1873.5</v>
      </c>
      <c r="P1054" s="34"/>
      <c r="Q1054" s="34">
        <f t="shared" si="361"/>
        <v>1873.5</v>
      </c>
      <c r="R1054" s="12"/>
      <c r="S1054" s="12"/>
      <c r="T1054" s="12"/>
      <c r="U1054" s="12">
        <f t="shared" si="353"/>
        <v>1873.5</v>
      </c>
      <c r="W1054" s="10">
        <v>17</v>
      </c>
      <c r="X1054" s="32"/>
      <c r="Y1054" s="33"/>
      <c r="Z1054" s="37"/>
      <c r="AA1054" s="34"/>
      <c r="AB1054" s="34">
        <f t="shared" si="362"/>
        <v>0</v>
      </c>
      <c r="AC1054" s="12"/>
      <c r="AD1054" s="12"/>
      <c r="AE1054" s="12"/>
      <c r="AF1054" s="12">
        <f t="shared" si="355"/>
        <v>0</v>
      </c>
    </row>
    <row r="1055" spans="1:32" x14ac:dyDescent="0.25">
      <c r="A1055" s="10">
        <v>18</v>
      </c>
      <c r="B1055" s="32"/>
      <c r="C1055" s="33"/>
      <c r="D1055" s="34"/>
      <c r="E1055" s="34"/>
      <c r="F1055" s="34">
        <f t="shared" si="360"/>
        <v>0</v>
      </c>
      <c r="G1055" s="12"/>
      <c r="H1055" s="12"/>
      <c r="I1055" s="12"/>
      <c r="J1055" s="12">
        <f t="shared" si="351"/>
        <v>0</v>
      </c>
      <c r="L1055" s="10">
        <v>18</v>
      </c>
      <c r="M1055" s="32">
        <v>45680</v>
      </c>
      <c r="N1055" s="33">
        <f t="shared" si="357"/>
        <v>6731</v>
      </c>
      <c r="O1055" s="34">
        <f>1252+17</f>
        <v>1269</v>
      </c>
      <c r="P1055" s="34"/>
      <c r="Q1055" s="34">
        <f t="shared" si="361"/>
        <v>1269</v>
      </c>
      <c r="R1055" s="12"/>
      <c r="S1055" s="12"/>
      <c r="T1055" s="12"/>
      <c r="U1055" s="12">
        <f t="shared" si="353"/>
        <v>1269</v>
      </c>
      <c r="W1055" s="10">
        <v>18</v>
      </c>
      <c r="X1055" s="32"/>
      <c r="Y1055" s="33"/>
      <c r="Z1055" s="34"/>
      <c r="AA1055" s="34"/>
      <c r="AB1055" s="34">
        <f t="shared" si="362"/>
        <v>0</v>
      </c>
      <c r="AC1055" s="12"/>
      <c r="AD1055" s="12"/>
      <c r="AE1055" s="12"/>
      <c r="AF1055" s="12">
        <f t="shared" si="355"/>
        <v>0</v>
      </c>
    </row>
    <row r="1056" spans="1:32" x14ac:dyDescent="0.25">
      <c r="A1056" s="10">
        <v>19</v>
      </c>
      <c r="B1056" s="32"/>
      <c r="C1056" s="33"/>
      <c r="D1056" s="34"/>
      <c r="E1056" s="34"/>
      <c r="F1056" s="34">
        <f t="shared" si="360"/>
        <v>0</v>
      </c>
      <c r="G1056" s="12"/>
      <c r="H1056" s="12"/>
      <c r="I1056" s="12"/>
      <c r="J1056" s="12">
        <f t="shared" si="351"/>
        <v>0</v>
      </c>
      <c r="L1056" s="10">
        <v>19</v>
      </c>
      <c r="M1056" s="32">
        <v>45680</v>
      </c>
      <c r="N1056" s="33">
        <f t="shared" si="357"/>
        <v>6732</v>
      </c>
      <c r="O1056" s="34">
        <f>1348</f>
        <v>1348</v>
      </c>
      <c r="P1056" s="34"/>
      <c r="Q1056" s="34">
        <f t="shared" si="361"/>
        <v>1348</v>
      </c>
      <c r="R1056" s="12"/>
      <c r="S1056" s="12"/>
      <c r="T1056" s="12"/>
      <c r="U1056" s="12">
        <f t="shared" si="353"/>
        <v>1348</v>
      </c>
      <c r="W1056" s="10">
        <v>19</v>
      </c>
      <c r="X1056" s="32"/>
      <c r="Y1056" s="33"/>
      <c r="Z1056" s="34"/>
      <c r="AA1056" s="34"/>
      <c r="AB1056" s="34">
        <f t="shared" si="362"/>
        <v>0</v>
      </c>
      <c r="AC1056" s="12"/>
      <c r="AD1056" s="12"/>
      <c r="AE1056" s="12"/>
      <c r="AF1056" s="12">
        <f t="shared" si="355"/>
        <v>0</v>
      </c>
    </row>
    <row r="1057" spans="1:32" x14ac:dyDescent="0.25">
      <c r="A1057" s="10">
        <v>20</v>
      </c>
      <c r="B1057" s="32"/>
      <c r="C1057" s="33"/>
      <c r="D1057" s="34"/>
      <c r="E1057" s="34"/>
      <c r="F1057" s="34">
        <f t="shared" si="360"/>
        <v>0</v>
      </c>
      <c r="G1057" s="12"/>
      <c r="H1057" s="12"/>
      <c r="I1057" s="12"/>
      <c r="J1057" s="12">
        <f t="shared" si="351"/>
        <v>0</v>
      </c>
      <c r="L1057" s="10">
        <v>20</v>
      </c>
      <c r="M1057" s="32">
        <v>45680</v>
      </c>
      <c r="N1057" s="33">
        <f t="shared" si="357"/>
        <v>6733</v>
      </c>
      <c r="O1057" s="34">
        <f>3130+42.5</f>
        <v>3172.5</v>
      </c>
      <c r="P1057" s="34"/>
      <c r="Q1057" s="34">
        <f t="shared" si="361"/>
        <v>3172.5</v>
      </c>
      <c r="R1057" s="12"/>
      <c r="S1057" s="12"/>
      <c r="T1057" s="12">
        <v>-222</v>
      </c>
      <c r="U1057" s="12">
        <f t="shared" si="353"/>
        <v>2950.5</v>
      </c>
      <c r="W1057" s="10">
        <v>20</v>
      </c>
      <c r="X1057" s="32"/>
      <c r="Y1057" s="33"/>
      <c r="Z1057" s="34"/>
      <c r="AA1057" s="34"/>
      <c r="AB1057" s="34">
        <f t="shared" si="362"/>
        <v>0</v>
      </c>
      <c r="AC1057" s="12"/>
      <c r="AD1057" s="12"/>
      <c r="AE1057" s="12"/>
      <c r="AF1057" s="12">
        <f t="shared" si="355"/>
        <v>0</v>
      </c>
    </row>
    <row r="1058" spans="1:32" x14ac:dyDescent="0.25">
      <c r="A1058" s="10">
        <v>21</v>
      </c>
      <c r="B1058" s="32"/>
      <c r="C1058" s="33"/>
      <c r="D1058" s="50"/>
      <c r="E1058" s="33"/>
      <c r="F1058" s="34">
        <f t="shared" si="360"/>
        <v>0</v>
      </c>
      <c r="G1058" s="10"/>
      <c r="H1058" s="10"/>
      <c r="I1058" s="10"/>
      <c r="J1058" s="12">
        <f t="shared" si="351"/>
        <v>0</v>
      </c>
      <c r="L1058" s="10">
        <v>21</v>
      </c>
      <c r="M1058" s="32">
        <v>45680</v>
      </c>
      <c r="N1058" s="33">
        <f t="shared" si="357"/>
        <v>6734</v>
      </c>
      <c r="O1058" s="50">
        <f>1252+614+17</f>
        <v>1883</v>
      </c>
      <c r="P1058" s="33"/>
      <c r="Q1058" s="34">
        <f t="shared" si="361"/>
        <v>1883</v>
      </c>
      <c r="R1058" s="10"/>
      <c r="S1058" s="10"/>
      <c r="T1058" s="10"/>
      <c r="U1058" s="12">
        <f t="shared" si="353"/>
        <v>1883</v>
      </c>
      <c r="W1058" s="10">
        <v>21</v>
      </c>
      <c r="X1058" s="32"/>
      <c r="Y1058" s="33"/>
      <c r="Z1058" s="50"/>
      <c r="AA1058" s="33"/>
      <c r="AB1058" s="34">
        <f t="shared" si="362"/>
        <v>0</v>
      </c>
      <c r="AC1058" s="10"/>
      <c r="AD1058" s="10"/>
      <c r="AE1058" s="10"/>
      <c r="AF1058" s="12">
        <f t="shared" si="355"/>
        <v>0</v>
      </c>
    </row>
    <row r="1059" spans="1:32" x14ac:dyDescent="0.25">
      <c r="A1059" s="10">
        <v>22</v>
      </c>
      <c r="B1059" s="32"/>
      <c r="C1059" s="33"/>
      <c r="D1059" s="49"/>
      <c r="E1059" s="33"/>
      <c r="F1059" s="34">
        <f t="shared" si="360"/>
        <v>0</v>
      </c>
      <c r="G1059" s="10"/>
      <c r="H1059" s="10"/>
      <c r="I1059" s="10"/>
      <c r="J1059" s="12">
        <f t="shared" si="351"/>
        <v>0</v>
      </c>
      <c r="L1059" s="10">
        <v>22</v>
      </c>
      <c r="M1059" s="32">
        <v>45680</v>
      </c>
      <c r="N1059" s="33">
        <f t="shared" si="357"/>
        <v>6735</v>
      </c>
      <c r="O1059" s="49">
        <f>626+8.5</f>
        <v>634.5</v>
      </c>
      <c r="P1059" s="33"/>
      <c r="Q1059" s="34">
        <f t="shared" si="361"/>
        <v>634.5</v>
      </c>
      <c r="R1059" s="10"/>
      <c r="S1059" s="10"/>
      <c r="T1059" s="10"/>
      <c r="U1059" s="12">
        <f t="shared" si="353"/>
        <v>634.5</v>
      </c>
      <c r="W1059" s="10">
        <v>22</v>
      </c>
      <c r="X1059" s="32"/>
      <c r="Z1059" s="49"/>
      <c r="AA1059" s="33"/>
      <c r="AB1059" s="34">
        <f t="shared" si="362"/>
        <v>0</v>
      </c>
      <c r="AC1059" s="10"/>
      <c r="AD1059" s="10"/>
      <c r="AE1059" s="10"/>
      <c r="AF1059" s="12">
        <f t="shared" si="355"/>
        <v>0</v>
      </c>
    </row>
    <row r="1060" spans="1:32" x14ac:dyDescent="0.25">
      <c r="A1060" s="10">
        <v>23</v>
      </c>
      <c r="B1060" s="32"/>
      <c r="C1060" s="33"/>
      <c r="D1060" s="51"/>
      <c r="E1060"/>
      <c r="F1060" s="34">
        <f t="shared" si="360"/>
        <v>0</v>
      </c>
      <c r="G1060" s="10"/>
      <c r="H1060" s="10"/>
      <c r="I1060" s="10"/>
      <c r="J1060" s="12">
        <f t="shared" si="351"/>
        <v>0</v>
      </c>
      <c r="L1060" s="10">
        <v>23</v>
      </c>
      <c r="M1060" s="32">
        <v>45680</v>
      </c>
      <c r="N1060" s="33">
        <f t="shared" si="357"/>
        <v>6736</v>
      </c>
      <c r="O1060" s="51">
        <f>852</f>
        <v>852</v>
      </c>
      <c r="Q1060" s="34">
        <f t="shared" si="361"/>
        <v>852</v>
      </c>
      <c r="R1060" s="10"/>
      <c r="S1060" s="10"/>
      <c r="T1060" s="10"/>
      <c r="U1060" s="12">
        <f t="shared" si="353"/>
        <v>852</v>
      </c>
      <c r="W1060" s="10">
        <v>23</v>
      </c>
      <c r="X1060" s="32"/>
      <c r="Y1060" s="33"/>
      <c r="Z1060" s="51"/>
      <c r="AB1060" s="34">
        <f t="shared" si="362"/>
        <v>0</v>
      </c>
      <c r="AC1060" s="10"/>
      <c r="AD1060" s="10"/>
      <c r="AE1060" s="10"/>
      <c r="AF1060" s="12">
        <f t="shared" si="355"/>
        <v>0</v>
      </c>
    </row>
    <row r="1061" spans="1:32" x14ac:dyDescent="0.25">
      <c r="A1061" s="10">
        <v>24</v>
      </c>
      <c r="B1061" s="32"/>
      <c r="C1061" s="33"/>
      <c r="D1061" s="51"/>
      <c r="E1061" s="33"/>
      <c r="F1061" s="34">
        <f t="shared" si="360"/>
        <v>0</v>
      </c>
      <c r="G1061" s="10"/>
      <c r="H1061" s="10"/>
      <c r="I1061" s="10"/>
      <c r="J1061" s="12">
        <f t="shared" si="351"/>
        <v>0</v>
      </c>
      <c r="L1061" s="10">
        <v>24</v>
      </c>
      <c r="M1061" s="32">
        <v>45680</v>
      </c>
      <c r="N1061" s="33">
        <f t="shared" si="357"/>
        <v>6737</v>
      </c>
      <c r="O1061" s="51">
        <f>626+8.5</f>
        <v>634.5</v>
      </c>
      <c r="P1061" s="33"/>
      <c r="Q1061" s="34">
        <f t="shared" si="361"/>
        <v>634.5</v>
      </c>
      <c r="R1061" s="10"/>
      <c r="S1061" s="10"/>
      <c r="T1061" s="10"/>
      <c r="U1061" s="12">
        <f t="shared" si="353"/>
        <v>634.5</v>
      </c>
      <c r="W1061" s="10">
        <v>24</v>
      </c>
      <c r="X1061" s="32"/>
      <c r="Y1061" s="33"/>
      <c r="Z1061" s="51"/>
      <c r="AA1061" s="33"/>
      <c r="AB1061" s="34">
        <f t="shared" si="362"/>
        <v>0</v>
      </c>
      <c r="AC1061" s="10"/>
      <c r="AD1061" s="10"/>
      <c r="AE1061" s="10"/>
      <c r="AF1061" s="12">
        <f t="shared" si="355"/>
        <v>0</v>
      </c>
    </row>
    <row r="1062" spans="1:32" x14ac:dyDescent="0.25">
      <c r="A1062" s="10">
        <v>25</v>
      </c>
      <c r="B1062" s="32"/>
      <c r="C1062" s="33"/>
      <c r="D1062" s="51"/>
      <c r="E1062" s="33"/>
      <c r="F1062" s="34">
        <f t="shared" si="360"/>
        <v>0</v>
      </c>
      <c r="G1062" s="10"/>
      <c r="H1062" s="10"/>
      <c r="I1062" s="10"/>
      <c r="J1062" s="12">
        <f t="shared" si="351"/>
        <v>0</v>
      </c>
      <c r="L1062" s="10">
        <v>25</v>
      </c>
      <c r="M1062" s="32"/>
      <c r="N1062" s="11" t="s">
        <v>28</v>
      </c>
      <c r="O1062" s="51"/>
      <c r="P1062" s="33"/>
      <c r="Q1062" s="34">
        <f t="shared" si="361"/>
        <v>0</v>
      </c>
      <c r="R1062" s="10"/>
      <c r="S1062" s="10"/>
      <c r="T1062" s="10"/>
      <c r="U1062" s="12">
        <f t="shared" si="353"/>
        <v>0</v>
      </c>
      <c r="W1062" s="10">
        <v>25</v>
      </c>
      <c r="X1062" s="32"/>
      <c r="Z1062" s="51"/>
      <c r="AA1062" s="33"/>
      <c r="AB1062" s="34">
        <f t="shared" si="362"/>
        <v>0</v>
      </c>
      <c r="AC1062" s="10"/>
      <c r="AD1062" s="10"/>
      <c r="AE1062" s="10"/>
      <c r="AF1062" s="12">
        <f t="shared" si="355"/>
        <v>0</v>
      </c>
    </row>
    <row r="1063" spans="1:32" x14ac:dyDescent="0.25">
      <c r="A1063" s="10">
        <v>26</v>
      </c>
      <c r="B1063" s="32"/>
      <c r="C1063" s="33"/>
      <c r="D1063" s="51"/>
      <c r="E1063" s="33"/>
      <c r="F1063" s="34">
        <f t="shared" si="360"/>
        <v>0</v>
      </c>
      <c r="G1063" s="10"/>
      <c r="H1063" s="10"/>
      <c r="I1063" s="10"/>
      <c r="J1063" s="12">
        <f t="shared" si="351"/>
        <v>0</v>
      </c>
      <c r="L1063" s="10">
        <v>26</v>
      </c>
      <c r="M1063" s="32"/>
      <c r="N1063" s="33"/>
      <c r="O1063" s="51"/>
      <c r="P1063" s="33"/>
      <c r="Q1063" s="34">
        <f t="shared" si="361"/>
        <v>0</v>
      </c>
      <c r="R1063" s="10"/>
      <c r="S1063" s="10"/>
      <c r="T1063" s="10"/>
      <c r="U1063" s="12">
        <f t="shared" si="353"/>
        <v>0</v>
      </c>
      <c r="W1063" s="10">
        <v>26</v>
      </c>
      <c r="X1063" s="32"/>
      <c r="Z1063" s="51"/>
      <c r="AA1063" s="33"/>
      <c r="AB1063" s="34">
        <f t="shared" si="362"/>
        <v>0</v>
      </c>
      <c r="AC1063" s="10"/>
      <c r="AD1063" s="10"/>
      <c r="AE1063" s="10"/>
      <c r="AF1063" s="12">
        <f t="shared" si="355"/>
        <v>0</v>
      </c>
    </row>
    <row r="1064" spans="1:32" x14ac:dyDescent="0.25">
      <c r="A1064" s="10">
        <v>27</v>
      </c>
      <c r="B1064" s="32"/>
      <c r="C1064" s="33"/>
      <c r="D1064" s="51"/>
      <c r="E1064" s="33"/>
      <c r="F1064" s="34">
        <f t="shared" si="360"/>
        <v>0</v>
      </c>
      <c r="G1064" s="10"/>
      <c r="H1064" s="10"/>
      <c r="I1064" s="10"/>
      <c r="J1064" s="12">
        <f t="shared" si="351"/>
        <v>0</v>
      </c>
      <c r="L1064" s="10">
        <v>27</v>
      </c>
      <c r="M1064" s="32"/>
      <c r="N1064" s="33"/>
      <c r="O1064" s="51"/>
      <c r="P1064" s="33"/>
      <c r="Q1064" s="34">
        <f t="shared" si="361"/>
        <v>0</v>
      </c>
      <c r="R1064" s="10"/>
      <c r="S1064" s="10"/>
      <c r="T1064" s="10"/>
      <c r="U1064" s="12">
        <f t="shared" si="353"/>
        <v>0</v>
      </c>
      <c r="W1064" s="10">
        <v>27</v>
      </c>
      <c r="X1064" s="32"/>
      <c r="Y1064" s="33"/>
      <c r="Z1064" s="51"/>
      <c r="AA1064" s="33"/>
      <c r="AB1064" s="34">
        <f t="shared" si="362"/>
        <v>0</v>
      </c>
      <c r="AC1064" s="10"/>
      <c r="AD1064" s="10"/>
      <c r="AE1064" s="10"/>
      <c r="AF1064" s="12">
        <f t="shared" si="355"/>
        <v>0</v>
      </c>
    </row>
    <row r="1065" spans="1:32" x14ac:dyDescent="0.25">
      <c r="A1065" s="10">
        <v>28</v>
      </c>
      <c r="B1065" s="32"/>
      <c r="D1065" s="51"/>
      <c r="E1065" s="33"/>
      <c r="F1065" s="34">
        <f t="shared" si="360"/>
        <v>0</v>
      </c>
      <c r="G1065" s="10"/>
      <c r="H1065" s="10"/>
      <c r="I1065" s="10"/>
      <c r="J1065" s="12">
        <f t="shared" si="351"/>
        <v>0</v>
      </c>
      <c r="L1065" s="10">
        <v>28</v>
      </c>
      <c r="M1065" s="32"/>
      <c r="N1065" s="33"/>
      <c r="O1065" s="51"/>
      <c r="P1065" s="33"/>
      <c r="Q1065" s="34">
        <f t="shared" si="361"/>
        <v>0</v>
      </c>
      <c r="R1065" s="10"/>
      <c r="S1065" s="10"/>
      <c r="T1065" s="10"/>
      <c r="U1065" s="12">
        <f t="shared" si="353"/>
        <v>0</v>
      </c>
      <c r="W1065" s="10">
        <v>28</v>
      </c>
      <c r="X1065" s="32"/>
      <c r="Z1065" s="51"/>
      <c r="AA1065" s="33"/>
      <c r="AB1065" s="34">
        <f t="shared" si="362"/>
        <v>0</v>
      </c>
      <c r="AC1065" s="10"/>
      <c r="AD1065" s="10"/>
      <c r="AE1065" s="10"/>
      <c r="AF1065" s="12">
        <f t="shared" si="355"/>
        <v>0</v>
      </c>
    </row>
    <row r="1066" spans="1:32" x14ac:dyDescent="0.25">
      <c r="A1066" s="10">
        <v>29</v>
      </c>
      <c r="B1066" s="32"/>
      <c r="C1066"/>
      <c r="D1066" s="51"/>
      <c r="E1066" s="33"/>
      <c r="F1066" s="34">
        <f t="shared" si="360"/>
        <v>0</v>
      </c>
      <c r="G1066" s="10"/>
      <c r="H1066" s="10"/>
      <c r="I1066" s="10"/>
      <c r="J1066" s="12">
        <f t="shared" si="351"/>
        <v>0</v>
      </c>
      <c r="L1066" s="10">
        <v>29</v>
      </c>
      <c r="M1066" s="32"/>
      <c r="O1066" s="51"/>
      <c r="P1066" s="33"/>
      <c r="Q1066" s="34">
        <f t="shared" si="361"/>
        <v>0</v>
      </c>
      <c r="R1066" s="10"/>
      <c r="S1066" s="10"/>
      <c r="T1066" s="10"/>
      <c r="U1066" s="12">
        <f t="shared" si="353"/>
        <v>0</v>
      </c>
      <c r="W1066" s="10">
        <v>29</v>
      </c>
      <c r="X1066" s="32"/>
      <c r="Z1066" s="51"/>
      <c r="AA1066" s="33"/>
      <c r="AB1066" s="34">
        <f t="shared" si="362"/>
        <v>0</v>
      </c>
      <c r="AC1066" s="10"/>
      <c r="AD1066" s="10"/>
      <c r="AE1066" s="10"/>
      <c r="AF1066" s="12">
        <f t="shared" si="355"/>
        <v>0</v>
      </c>
    </row>
    <row r="1067" spans="1:32" x14ac:dyDescent="0.25">
      <c r="A1067" s="10">
        <v>30</v>
      </c>
      <c r="B1067" s="32"/>
      <c r="C1067" s="33"/>
      <c r="D1067" s="51"/>
      <c r="E1067" s="33"/>
      <c r="F1067" s="34">
        <f t="shared" si="360"/>
        <v>0</v>
      </c>
      <c r="G1067" s="10"/>
      <c r="H1067" s="10"/>
      <c r="I1067" s="10"/>
      <c r="J1067" s="12">
        <f t="shared" si="351"/>
        <v>0</v>
      </c>
      <c r="L1067" s="10">
        <v>30</v>
      </c>
      <c r="M1067" s="32"/>
      <c r="N1067" s="33"/>
      <c r="O1067" s="51"/>
      <c r="P1067" s="33"/>
      <c r="Q1067" s="34">
        <f t="shared" si="361"/>
        <v>0</v>
      </c>
      <c r="R1067" s="10"/>
      <c r="S1067" s="10"/>
      <c r="T1067" s="10"/>
      <c r="U1067" s="12">
        <f t="shared" si="353"/>
        <v>0</v>
      </c>
      <c r="W1067" s="10">
        <v>30</v>
      </c>
      <c r="X1067" s="32"/>
      <c r="Y1067" s="33"/>
      <c r="Z1067" s="51"/>
      <c r="AA1067" s="33"/>
      <c r="AB1067" s="34">
        <f t="shared" si="362"/>
        <v>0</v>
      </c>
      <c r="AC1067" s="10"/>
      <c r="AD1067" s="10"/>
      <c r="AE1067" s="10"/>
      <c r="AF1067" s="12">
        <f t="shared" si="355"/>
        <v>0</v>
      </c>
    </row>
    <row r="1068" spans="1:32" x14ac:dyDescent="0.25">
      <c r="A1068" s="10">
        <v>31</v>
      </c>
      <c r="B1068" s="32"/>
      <c r="C1068" s="33"/>
      <c r="D1068" s="51"/>
      <c r="E1068" s="33"/>
      <c r="F1068" s="34">
        <f t="shared" si="360"/>
        <v>0</v>
      </c>
      <c r="G1068" s="10"/>
      <c r="H1068" s="10"/>
      <c r="I1068" s="10"/>
      <c r="J1068" s="12">
        <f t="shared" si="351"/>
        <v>0</v>
      </c>
      <c r="L1068" s="10">
        <v>31</v>
      </c>
      <c r="M1068" s="32"/>
      <c r="N1068" s="33"/>
      <c r="O1068" s="51"/>
      <c r="P1068" s="33"/>
      <c r="Q1068" s="34">
        <f t="shared" si="361"/>
        <v>0</v>
      </c>
      <c r="R1068" s="10"/>
      <c r="S1068" s="10"/>
      <c r="T1068" s="10"/>
      <c r="U1068" s="12">
        <f t="shared" si="353"/>
        <v>0</v>
      </c>
      <c r="W1068" s="10">
        <v>31</v>
      </c>
      <c r="X1068" s="32"/>
      <c r="Z1068" s="51"/>
      <c r="AA1068" s="33"/>
      <c r="AB1068" s="34">
        <f t="shared" si="362"/>
        <v>0</v>
      </c>
      <c r="AC1068" s="10"/>
      <c r="AD1068" s="10"/>
      <c r="AE1068" s="10"/>
      <c r="AF1068" s="12">
        <f t="shared" si="355"/>
        <v>0</v>
      </c>
    </row>
    <row r="1069" spans="1:32" x14ac:dyDescent="0.25">
      <c r="A1069" s="10">
        <v>32</v>
      </c>
      <c r="B1069" s="32"/>
      <c r="C1069" s="70"/>
      <c r="D1069" s="51"/>
      <c r="E1069" s="33"/>
      <c r="F1069" s="34">
        <f t="shared" si="360"/>
        <v>0</v>
      </c>
      <c r="G1069" s="10"/>
      <c r="H1069" s="10"/>
      <c r="I1069" s="10"/>
      <c r="J1069" s="12">
        <f t="shared" si="351"/>
        <v>0</v>
      </c>
      <c r="L1069" s="10">
        <v>32</v>
      </c>
      <c r="M1069" s="32"/>
      <c r="N1069" s="33"/>
      <c r="O1069" s="51"/>
      <c r="P1069" s="33"/>
      <c r="Q1069" s="34">
        <f t="shared" si="361"/>
        <v>0</v>
      </c>
      <c r="R1069" s="10"/>
      <c r="S1069" s="10"/>
      <c r="T1069" s="10"/>
      <c r="U1069" s="12">
        <f t="shared" si="353"/>
        <v>0</v>
      </c>
      <c r="W1069" s="10">
        <v>32</v>
      </c>
      <c r="X1069" s="32"/>
      <c r="Y1069" s="33"/>
      <c r="Z1069" s="51"/>
      <c r="AA1069" s="33"/>
      <c r="AB1069" s="34">
        <f t="shared" si="362"/>
        <v>0</v>
      </c>
      <c r="AC1069" s="10"/>
      <c r="AD1069" s="10"/>
      <c r="AE1069" s="10"/>
      <c r="AF1069" s="12">
        <f t="shared" si="355"/>
        <v>0</v>
      </c>
    </row>
    <row r="1070" spans="1:32" x14ac:dyDescent="0.25">
      <c r="A1070" s="10">
        <v>33</v>
      </c>
      <c r="B1070" s="32"/>
      <c r="C1070" s="33"/>
      <c r="D1070" s="51"/>
      <c r="E1070" s="33"/>
      <c r="F1070" s="34">
        <f t="shared" si="360"/>
        <v>0</v>
      </c>
      <c r="G1070" s="10"/>
      <c r="H1070" s="10"/>
      <c r="I1070" s="10"/>
      <c r="J1070" s="12">
        <f t="shared" si="351"/>
        <v>0</v>
      </c>
      <c r="L1070" s="10">
        <v>33</v>
      </c>
      <c r="M1070" s="32"/>
      <c r="N1070" s="33"/>
      <c r="O1070" s="51"/>
      <c r="P1070" s="33"/>
      <c r="Q1070" s="34">
        <f t="shared" si="361"/>
        <v>0</v>
      </c>
      <c r="R1070" s="10"/>
      <c r="S1070" s="10"/>
      <c r="T1070" s="10"/>
      <c r="U1070" s="12">
        <f t="shared" si="353"/>
        <v>0</v>
      </c>
      <c r="W1070" s="10">
        <v>33</v>
      </c>
      <c r="X1070" s="32"/>
      <c r="Y1070" s="33"/>
      <c r="Z1070" s="51"/>
      <c r="AA1070" s="33"/>
      <c r="AB1070" s="34">
        <f t="shared" si="362"/>
        <v>0</v>
      </c>
      <c r="AC1070" s="10"/>
      <c r="AD1070" s="10"/>
      <c r="AE1070" s="10"/>
      <c r="AF1070" s="12">
        <f t="shared" si="355"/>
        <v>0</v>
      </c>
    </row>
    <row r="1071" spans="1:32" x14ac:dyDescent="0.25">
      <c r="A1071" s="10">
        <v>34</v>
      </c>
      <c r="B1071" s="32"/>
      <c r="C1071" s="33"/>
      <c r="D1071" s="51"/>
      <c r="E1071" s="33"/>
      <c r="F1071" s="34">
        <f t="shared" si="360"/>
        <v>0</v>
      </c>
      <c r="G1071" s="10"/>
      <c r="H1071" s="10"/>
      <c r="I1071" s="10"/>
      <c r="J1071" s="12">
        <f t="shared" si="351"/>
        <v>0</v>
      </c>
      <c r="L1071" s="10">
        <v>34</v>
      </c>
      <c r="M1071" s="32"/>
      <c r="N1071" s="33"/>
      <c r="O1071" s="51"/>
      <c r="P1071" s="33"/>
      <c r="Q1071" s="34">
        <f t="shared" si="361"/>
        <v>0</v>
      </c>
      <c r="R1071" s="10"/>
      <c r="S1071" s="10"/>
      <c r="T1071" s="10"/>
      <c r="U1071" s="12">
        <f t="shared" si="353"/>
        <v>0</v>
      </c>
      <c r="W1071" s="10">
        <v>34</v>
      </c>
      <c r="X1071" s="32"/>
      <c r="Y1071" s="33"/>
      <c r="Z1071" s="51"/>
      <c r="AA1071" s="33"/>
      <c r="AB1071" s="34">
        <f t="shared" ref="AB1071:AB1076" si="363">SUM(Z1071:AA1071)</f>
        <v>0</v>
      </c>
      <c r="AC1071" s="10"/>
      <c r="AD1071" s="10"/>
      <c r="AE1071" s="10"/>
      <c r="AF1071" s="12">
        <f t="shared" si="355"/>
        <v>0</v>
      </c>
    </row>
    <row r="1072" spans="1:32" x14ac:dyDescent="0.25">
      <c r="A1072" s="10">
        <v>35</v>
      </c>
      <c r="B1072" s="32"/>
      <c r="C1072" s="33"/>
      <c r="D1072" s="51"/>
      <c r="E1072" s="33"/>
      <c r="F1072" s="34">
        <f t="shared" si="360"/>
        <v>0</v>
      </c>
      <c r="G1072" s="10"/>
      <c r="H1072" s="10"/>
      <c r="I1072" s="10"/>
      <c r="J1072" s="12">
        <f t="shared" si="351"/>
        <v>0</v>
      </c>
      <c r="L1072" s="10">
        <v>35</v>
      </c>
      <c r="M1072" s="32"/>
      <c r="N1072" s="33"/>
      <c r="O1072" s="51"/>
      <c r="P1072" s="33"/>
      <c r="Q1072" s="34">
        <f t="shared" si="361"/>
        <v>0</v>
      </c>
      <c r="R1072" s="10"/>
      <c r="S1072" s="10"/>
      <c r="T1072" s="10"/>
      <c r="U1072" s="12">
        <f t="shared" si="353"/>
        <v>0</v>
      </c>
      <c r="W1072" s="10">
        <v>35</v>
      </c>
      <c r="X1072" s="32"/>
      <c r="Y1072" s="33"/>
      <c r="Z1072" s="51"/>
      <c r="AA1072" s="33"/>
      <c r="AB1072" s="34">
        <f t="shared" si="363"/>
        <v>0</v>
      </c>
      <c r="AC1072" s="10"/>
      <c r="AD1072" s="10"/>
      <c r="AE1072" s="10"/>
      <c r="AF1072" s="12">
        <f t="shared" si="355"/>
        <v>0</v>
      </c>
    </row>
    <row r="1073" spans="1:32" x14ac:dyDescent="0.25">
      <c r="A1073" s="10">
        <v>36</v>
      </c>
      <c r="B1073" s="32"/>
      <c r="C1073" s="33"/>
      <c r="D1073" s="51"/>
      <c r="E1073" s="33"/>
      <c r="F1073" s="34">
        <f t="shared" si="360"/>
        <v>0</v>
      </c>
      <c r="G1073" s="10"/>
      <c r="H1073" s="10"/>
      <c r="I1073" s="10"/>
      <c r="J1073" s="12">
        <f t="shared" si="351"/>
        <v>0</v>
      </c>
      <c r="L1073" s="10">
        <v>36</v>
      </c>
      <c r="M1073" s="32"/>
      <c r="N1073" s="33"/>
      <c r="O1073" s="51"/>
      <c r="P1073" s="33"/>
      <c r="Q1073" s="34">
        <f t="shared" si="361"/>
        <v>0</v>
      </c>
      <c r="R1073" s="10"/>
      <c r="S1073" s="10"/>
      <c r="T1073" s="10"/>
      <c r="U1073" s="12">
        <f t="shared" si="353"/>
        <v>0</v>
      </c>
      <c r="W1073" s="10">
        <v>36</v>
      </c>
      <c r="X1073" s="32"/>
      <c r="Y1073" s="33"/>
      <c r="Z1073" s="51"/>
      <c r="AA1073" s="33"/>
      <c r="AB1073" s="34">
        <f t="shared" si="363"/>
        <v>0</v>
      </c>
      <c r="AC1073" s="10"/>
      <c r="AD1073" s="10"/>
      <c r="AE1073" s="10"/>
      <c r="AF1073" s="12">
        <f t="shared" si="355"/>
        <v>0</v>
      </c>
    </row>
    <row r="1074" spans="1:32" x14ac:dyDescent="0.25">
      <c r="A1074" s="10">
        <v>37</v>
      </c>
      <c r="B1074" s="32"/>
      <c r="C1074" s="33"/>
      <c r="D1074" s="51"/>
      <c r="E1074" s="33"/>
      <c r="F1074" s="34">
        <f t="shared" si="360"/>
        <v>0</v>
      </c>
      <c r="G1074" s="10"/>
      <c r="H1074" s="10"/>
      <c r="I1074" s="10"/>
      <c r="J1074" s="12">
        <f t="shared" si="351"/>
        <v>0</v>
      </c>
      <c r="L1074" s="10">
        <v>37</v>
      </c>
      <c r="M1074" s="32"/>
      <c r="O1074" s="51"/>
      <c r="P1074" s="33"/>
      <c r="Q1074" s="34">
        <f t="shared" si="361"/>
        <v>0</v>
      </c>
      <c r="R1074" s="10"/>
      <c r="S1074" s="10"/>
      <c r="T1074" s="10"/>
      <c r="U1074" s="12">
        <f t="shared" si="353"/>
        <v>0</v>
      </c>
      <c r="W1074" s="10">
        <v>37</v>
      </c>
      <c r="X1074" s="32"/>
      <c r="Y1074" s="33"/>
      <c r="Z1074" s="51"/>
      <c r="AA1074" s="33"/>
      <c r="AB1074" s="34">
        <f t="shared" si="363"/>
        <v>0</v>
      </c>
      <c r="AC1074" s="10"/>
      <c r="AD1074" s="10"/>
      <c r="AE1074" s="10"/>
      <c r="AF1074" s="12">
        <f t="shared" si="355"/>
        <v>0</v>
      </c>
    </row>
    <row r="1075" spans="1:32" x14ac:dyDescent="0.25">
      <c r="A1075" s="10">
        <v>38</v>
      </c>
      <c r="B1075" s="32"/>
      <c r="C1075" s="33"/>
      <c r="D1075" s="51"/>
      <c r="E1075" s="33"/>
      <c r="F1075" s="34">
        <f t="shared" si="360"/>
        <v>0</v>
      </c>
      <c r="G1075" s="10"/>
      <c r="H1075" s="10"/>
      <c r="I1075" s="10"/>
      <c r="J1075" s="12">
        <f t="shared" si="351"/>
        <v>0</v>
      </c>
      <c r="L1075" s="10">
        <v>38</v>
      </c>
      <c r="M1075" s="32"/>
      <c r="N1075" s="33"/>
      <c r="O1075" s="51"/>
      <c r="P1075" s="33"/>
      <c r="Q1075" s="34">
        <f t="shared" si="361"/>
        <v>0</v>
      </c>
      <c r="R1075" s="10"/>
      <c r="S1075" s="10"/>
      <c r="T1075" s="10"/>
      <c r="U1075" s="12">
        <f t="shared" si="353"/>
        <v>0</v>
      </c>
      <c r="W1075" s="10">
        <v>38</v>
      </c>
      <c r="X1075" s="32"/>
      <c r="Y1075" s="33"/>
      <c r="Z1075" s="51"/>
      <c r="AA1075" s="33"/>
      <c r="AB1075" s="34">
        <f t="shared" si="363"/>
        <v>0</v>
      </c>
      <c r="AC1075" s="10"/>
      <c r="AD1075" s="10"/>
      <c r="AE1075" s="10"/>
      <c r="AF1075" s="12">
        <f t="shared" si="355"/>
        <v>0</v>
      </c>
    </row>
    <row r="1076" spans="1:32" x14ac:dyDescent="0.25">
      <c r="A1076" s="10">
        <v>39</v>
      </c>
      <c r="B1076" s="32"/>
      <c r="C1076" s="33"/>
      <c r="D1076" s="51"/>
      <c r="E1076" s="33"/>
      <c r="F1076" s="34">
        <f t="shared" si="360"/>
        <v>0</v>
      </c>
      <c r="G1076" s="10"/>
      <c r="H1076" s="10"/>
      <c r="I1076" s="10"/>
      <c r="J1076" s="12">
        <f t="shared" si="351"/>
        <v>0</v>
      </c>
      <c r="L1076" s="10">
        <v>39</v>
      </c>
      <c r="M1076" s="32"/>
      <c r="N1076" s="33"/>
      <c r="O1076" s="51"/>
      <c r="P1076" s="33"/>
      <c r="Q1076" s="34">
        <f t="shared" si="361"/>
        <v>0</v>
      </c>
      <c r="R1076" s="10"/>
      <c r="S1076" s="10"/>
      <c r="T1076" s="10"/>
      <c r="U1076" s="12">
        <f t="shared" si="353"/>
        <v>0</v>
      </c>
      <c r="W1076" s="10">
        <v>39</v>
      </c>
      <c r="X1076" s="32"/>
      <c r="Y1076" s="33"/>
      <c r="Z1076" s="51"/>
      <c r="AA1076" s="33"/>
      <c r="AB1076" s="34">
        <f t="shared" si="363"/>
        <v>0</v>
      </c>
      <c r="AC1076" s="10"/>
      <c r="AD1076" s="10"/>
      <c r="AE1076" s="10"/>
      <c r="AF1076" s="12">
        <f t="shared" si="355"/>
        <v>0</v>
      </c>
    </row>
    <row r="1077" spans="1:32" x14ac:dyDescent="0.25">
      <c r="A1077" s="10"/>
      <c r="B1077" s="32"/>
      <c r="C1077"/>
      <c r="D1077" s="51"/>
      <c r="E1077" s="33"/>
      <c r="F1077" s="34"/>
      <c r="G1077" s="10"/>
      <c r="H1077" s="10"/>
      <c r="I1077" s="10"/>
      <c r="J1077" s="12">
        <f t="shared" si="351"/>
        <v>0</v>
      </c>
      <c r="L1077" s="10"/>
      <c r="M1077" s="32"/>
      <c r="O1077" s="51"/>
      <c r="P1077" s="33"/>
      <c r="Q1077" s="34"/>
      <c r="R1077" s="10"/>
      <c r="S1077" s="10"/>
      <c r="T1077" s="10"/>
      <c r="U1077" s="12">
        <f t="shared" si="353"/>
        <v>0</v>
      </c>
      <c r="W1077" s="10"/>
      <c r="X1077" s="32"/>
      <c r="Z1077" s="51"/>
      <c r="AA1077" s="33"/>
      <c r="AB1077" s="34"/>
      <c r="AC1077" s="10"/>
      <c r="AD1077" s="10"/>
      <c r="AE1077" s="10"/>
      <c r="AF1077" s="12">
        <f t="shared" si="355"/>
        <v>0</v>
      </c>
    </row>
    <row r="1078" spans="1:32" x14ac:dyDescent="0.25">
      <c r="A1078" s="10"/>
      <c r="B1078" s="32"/>
      <c r="C1078" s="33"/>
      <c r="D1078" s="51"/>
      <c r="E1078" s="33"/>
      <c r="F1078" s="34">
        <f t="shared" ref="F1078" si="364">SUM(D1078:E1078)</f>
        <v>0</v>
      </c>
      <c r="G1078" s="10"/>
      <c r="H1078" s="10"/>
      <c r="I1078" s="10"/>
      <c r="J1078" s="12">
        <f t="shared" si="351"/>
        <v>0</v>
      </c>
      <c r="L1078" s="10"/>
      <c r="M1078" s="32"/>
      <c r="N1078" s="33"/>
      <c r="O1078" s="51"/>
      <c r="P1078" s="33"/>
      <c r="Q1078" s="34">
        <f t="shared" ref="Q1078" si="365">SUM(O1078:P1078)</f>
        <v>0</v>
      </c>
      <c r="R1078" s="10"/>
      <c r="S1078" s="10"/>
      <c r="T1078" s="10"/>
      <c r="U1078" s="12">
        <f t="shared" si="353"/>
        <v>0</v>
      </c>
      <c r="W1078" s="10"/>
      <c r="X1078" s="32"/>
      <c r="Y1078" s="33"/>
      <c r="Z1078" s="51"/>
      <c r="AA1078" s="33"/>
      <c r="AB1078" s="34">
        <f t="shared" ref="AB1078" si="366">SUM(Z1078:AA1078)</f>
        <v>0</v>
      </c>
      <c r="AC1078" s="10"/>
      <c r="AD1078" s="10"/>
      <c r="AE1078" s="10"/>
      <c r="AF1078" s="12">
        <f t="shared" si="355"/>
        <v>0</v>
      </c>
    </row>
    <row r="1079" spans="1:32" x14ac:dyDescent="0.25">
      <c r="A1079" s="10"/>
      <c r="B1079" s="33"/>
      <c r="C1079" s="33"/>
      <c r="D1079" s="33"/>
      <c r="E1079" s="33"/>
      <c r="F1079" s="33"/>
      <c r="G1079" s="10"/>
      <c r="H1079" s="10"/>
      <c r="I1079" s="10"/>
      <c r="J1079" s="12">
        <f t="shared" si="351"/>
        <v>0</v>
      </c>
      <c r="L1079" s="10"/>
      <c r="M1079" s="33"/>
      <c r="N1079" s="33"/>
      <c r="O1079" s="33"/>
      <c r="P1079" s="33"/>
      <c r="Q1079" s="33"/>
      <c r="R1079" s="10"/>
      <c r="S1079" s="10"/>
      <c r="T1079" s="10"/>
      <c r="U1079" s="12">
        <f t="shared" si="353"/>
        <v>0</v>
      </c>
      <c r="W1079" s="10"/>
      <c r="X1079" s="33"/>
      <c r="Y1079" s="33"/>
      <c r="Z1079" s="33"/>
      <c r="AA1079" s="33"/>
      <c r="AB1079" s="33"/>
      <c r="AC1079" s="10"/>
      <c r="AD1079" s="10"/>
      <c r="AE1079" s="10"/>
      <c r="AF1079" s="12">
        <f t="shared" si="355"/>
        <v>0</v>
      </c>
    </row>
    <row r="1080" spans="1:32" x14ac:dyDescent="0.25">
      <c r="B1080" s="70"/>
      <c r="C1080" s="70"/>
      <c r="D1080" s="38"/>
      <c r="E1080" s="38"/>
      <c r="F1080" s="38"/>
      <c r="G1080" s="39"/>
      <c r="H1080" s="39"/>
      <c r="I1080" s="39"/>
      <c r="J1080" s="39"/>
      <c r="M1080" s="70"/>
      <c r="N1080" s="70"/>
      <c r="O1080" s="38"/>
      <c r="P1080" s="38"/>
      <c r="Q1080" s="38"/>
      <c r="R1080" s="39"/>
      <c r="S1080" s="39"/>
      <c r="T1080" s="39"/>
      <c r="U1080" s="39"/>
      <c r="X1080" s="70"/>
      <c r="Y1080" s="70"/>
      <c r="Z1080" s="38"/>
      <c r="AA1080" s="38"/>
      <c r="AB1080" s="38"/>
      <c r="AC1080" s="39"/>
      <c r="AD1080" s="39"/>
      <c r="AE1080" s="39"/>
      <c r="AF1080" s="39"/>
    </row>
    <row r="1081" spans="1:32" x14ac:dyDescent="0.25">
      <c r="B1081" s="70"/>
      <c r="C1081" s="70"/>
      <c r="D1081" s="40">
        <f>SUM(D1038:D1080)</f>
        <v>254566</v>
      </c>
      <c r="E1081" s="40">
        <f>SUM(E1038:E1062)</f>
        <v>-3160</v>
      </c>
      <c r="F1081" s="40">
        <f>SUM(F1038:F1080)</f>
        <v>251406</v>
      </c>
      <c r="G1081" s="4"/>
      <c r="H1081" s="43">
        <f>SUM(H1038:H1080)</f>
        <v>11140</v>
      </c>
      <c r="I1081" s="43">
        <f>SUM(I1038:I1062)</f>
        <v>-1809</v>
      </c>
      <c r="J1081" s="44">
        <f>SUM(J1038:J1080)</f>
        <v>260737</v>
      </c>
      <c r="M1081" s="70"/>
      <c r="N1081" s="70"/>
      <c r="O1081" s="40">
        <f>SUM(O1038:O1080)</f>
        <v>73836</v>
      </c>
      <c r="P1081" s="40">
        <f>SUM(P1038:P1062)</f>
        <v>0</v>
      </c>
      <c r="Q1081" s="40">
        <f>SUM(Q1038:Q1080)</f>
        <v>73836</v>
      </c>
      <c r="R1081" s="4"/>
      <c r="S1081" s="43">
        <f>SUM(S1038:S1080)</f>
        <v>102</v>
      </c>
      <c r="T1081" s="43">
        <f>SUM(T1038:T1062)</f>
        <v>-222</v>
      </c>
      <c r="U1081" s="44">
        <f>SUM(U1038:U1080)</f>
        <v>73716</v>
      </c>
      <c r="X1081" s="70"/>
      <c r="Y1081" s="70"/>
      <c r="Z1081" s="40">
        <f>SUM(Z1038:Z1080)</f>
        <v>327045.5</v>
      </c>
      <c r="AA1081" s="40">
        <f>SUM(AA1038:AA1062)</f>
        <v>-4133</v>
      </c>
      <c r="AB1081" s="40">
        <f>SUM(AB1038:AB1080)</f>
        <v>322912.5</v>
      </c>
      <c r="AC1081" s="4"/>
      <c r="AD1081" s="43">
        <f>SUM(AD1038:AD1080)</f>
        <v>173.25</v>
      </c>
      <c r="AE1081" s="43">
        <f>SUM(AE1038:AE1062)</f>
        <v>-13542</v>
      </c>
      <c r="AF1081" s="44">
        <f>SUM(AF1038:AF1080)</f>
        <v>309543.75</v>
      </c>
    </row>
    <row r="1082" spans="1:32" x14ac:dyDescent="0.25">
      <c r="B1082" s="70"/>
      <c r="C1082" s="70"/>
      <c r="D1082" s="45"/>
      <c r="E1082" s="70"/>
      <c r="F1082" s="70"/>
      <c r="M1082" s="70"/>
      <c r="N1082" s="70"/>
      <c r="O1082" s="45"/>
      <c r="P1082" s="70"/>
      <c r="Q1082" s="70"/>
      <c r="X1082" s="70"/>
      <c r="Y1082" s="70"/>
      <c r="Z1082" s="45"/>
      <c r="AA1082" s="70"/>
      <c r="AB1082" s="70"/>
    </row>
    <row r="1083" spans="1:32" x14ac:dyDescent="0.25">
      <c r="B1083" s="70"/>
      <c r="C1083" s="70"/>
      <c r="D1083" s="70"/>
      <c r="E1083" s="70"/>
      <c r="F1083" s="70"/>
      <c r="M1083" s="70"/>
      <c r="N1083" s="70"/>
      <c r="O1083" s="70"/>
      <c r="P1083" s="70"/>
      <c r="Q1083" s="70"/>
      <c r="X1083" s="70"/>
      <c r="Y1083" s="70"/>
      <c r="Z1083" s="70"/>
      <c r="AA1083" s="70"/>
      <c r="AB1083" s="70"/>
    </row>
    <row r="1084" spans="1:32" x14ac:dyDescent="0.25">
      <c r="A1084" s="18"/>
      <c r="B1084" s="18"/>
      <c r="C1084" s="18"/>
      <c r="D1084" s="18"/>
      <c r="E1084" s="18"/>
      <c r="F1084" s="18"/>
      <c r="G1084" s="18"/>
      <c r="H1084" s="18"/>
      <c r="I1084" s="18"/>
      <c r="J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W1084" s="18"/>
      <c r="X1084" s="18"/>
      <c r="Y1084" s="18"/>
      <c r="Z1084" s="18"/>
      <c r="AA1084" s="18"/>
      <c r="AB1084" s="18"/>
      <c r="AC1084" s="18"/>
      <c r="AD1084" s="18"/>
      <c r="AE1084" s="18"/>
      <c r="AF1084" s="18"/>
    </row>
    <row r="1085" spans="1:32" x14ac:dyDescent="0.25">
      <c r="A1085" t="s">
        <v>0</v>
      </c>
      <c r="B1085" s="70"/>
      <c r="C1085" s="70"/>
      <c r="D1085" s="70"/>
      <c r="E1085" s="70"/>
      <c r="F1085" s="70"/>
      <c r="L1085" t="s">
        <v>0</v>
      </c>
      <c r="M1085" s="70"/>
      <c r="N1085" s="70"/>
      <c r="O1085" s="70"/>
      <c r="P1085" s="70"/>
      <c r="Q1085" s="70"/>
      <c r="W1085" t="s">
        <v>0</v>
      </c>
      <c r="X1085" s="70"/>
      <c r="Y1085" s="70"/>
      <c r="Z1085" s="70"/>
      <c r="AA1085" s="70"/>
      <c r="AB1085" s="70"/>
    </row>
    <row r="1086" spans="1:32" x14ac:dyDescent="0.25">
      <c r="A1086" t="s">
        <v>30</v>
      </c>
      <c r="B1086" s="70"/>
      <c r="C1086" s="70"/>
      <c r="D1086" s="70"/>
      <c r="E1086" s="70"/>
      <c r="F1086" s="70"/>
      <c r="L1086" t="s">
        <v>30</v>
      </c>
      <c r="M1086" s="70"/>
      <c r="N1086" s="70"/>
      <c r="O1086" s="70"/>
      <c r="P1086" s="70"/>
      <c r="Q1086" s="70"/>
      <c r="W1086" t="s">
        <v>30</v>
      </c>
      <c r="X1086" s="70"/>
      <c r="Y1086" s="70"/>
      <c r="Z1086" s="70"/>
      <c r="AA1086" s="70"/>
      <c r="AB1086" s="70"/>
    </row>
    <row r="1087" spans="1:32" x14ac:dyDescent="0.25">
      <c r="B1087" s="70"/>
      <c r="C1087" s="70"/>
      <c r="D1087" s="70"/>
      <c r="E1087" s="70"/>
      <c r="F1087" s="70"/>
      <c r="M1087" s="70"/>
      <c r="N1087" s="70"/>
      <c r="O1087" s="70"/>
      <c r="P1087" s="70"/>
      <c r="Q1087" s="70"/>
      <c r="X1087" s="70"/>
      <c r="Y1087" s="70"/>
      <c r="Z1087" s="70"/>
      <c r="AA1087" s="70"/>
      <c r="AB1087" s="70"/>
    </row>
    <row r="1088" spans="1:32" x14ac:dyDescent="0.25">
      <c r="A1088" s="4" t="s">
        <v>15</v>
      </c>
      <c r="B1088" s="70"/>
      <c r="C1088" s="70"/>
      <c r="D1088" s="70"/>
      <c r="E1088" s="70"/>
      <c r="F1088" s="70"/>
      <c r="L1088" s="4" t="s">
        <v>15</v>
      </c>
      <c r="M1088" s="70"/>
      <c r="N1088" s="70"/>
      <c r="O1088" s="70"/>
      <c r="P1088" s="70"/>
      <c r="Q1088" s="70"/>
      <c r="W1088" s="4" t="s">
        <v>15</v>
      </c>
      <c r="X1088" s="70"/>
      <c r="Y1088" s="70"/>
      <c r="Z1088" s="70"/>
      <c r="AA1088" s="70"/>
      <c r="AB1088" s="70"/>
    </row>
    <row r="1089" spans="1:32" x14ac:dyDescent="0.25">
      <c r="B1089" s="70"/>
      <c r="C1089" s="70"/>
      <c r="D1089" s="70"/>
      <c r="E1089" s="70"/>
      <c r="F1089" s="70"/>
      <c r="M1089" s="70"/>
      <c r="N1089" s="70"/>
      <c r="O1089" s="70"/>
      <c r="P1089" s="70"/>
      <c r="Q1089" s="70"/>
      <c r="X1089" s="70"/>
      <c r="Y1089" s="70"/>
      <c r="Z1089" s="70"/>
      <c r="AA1089" s="70"/>
      <c r="AB1089" s="70"/>
    </row>
    <row r="1090" spans="1:32" ht="15.75" x14ac:dyDescent="0.25">
      <c r="A1090" t="s">
        <v>38</v>
      </c>
      <c r="B1090" s="70"/>
      <c r="C1090" s="70"/>
      <c r="D1090" s="70"/>
      <c r="E1090" s="70"/>
      <c r="F1090" s="70"/>
      <c r="H1090" s="70" t="s">
        <v>16</v>
      </c>
      <c r="I1090" s="19">
        <v>1</v>
      </c>
      <c r="L1090" t="s">
        <v>38</v>
      </c>
      <c r="M1090" s="70"/>
      <c r="N1090" s="70"/>
      <c r="O1090" s="70"/>
      <c r="P1090" s="70"/>
      <c r="Q1090" s="70"/>
      <c r="S1090" s="70" t="s">
        <v>16</v>
      </c>
      <c r="T1090" s="19">
        <v>2</v>
      </c>
      <c r="W1090" t="s">
        <v>38</v>
      </c>
      <c r="X1090" s="70"/>
      <c r="Y1090" s="70"/>
      <c r="Z1090" s="70"/>
      <c r="AA1090" s="70"/>
      <c r="AB1090" s="70"/>
      <c r="AD1090" s="70" t="s">
        <v>16</v>
      </c>
      <c r="AE1090" s="20">
        <v>3</v>
      </c>
    </row>
    <row r="1091" spans="1:32" x14ac:dyDescent="0.25">
      <c r="A1091" s="21" t="s">
        <v>86</v>
      </c>
      <c r="B1091" s="20"/>
      <c r="C1091" s="70"/>
      <c r="D1091" s="70"/>
      <c r="E1091" s="70"/>
      <c r="F1091" s="70"/>
      <c r="H1091" s="22" t="s">
        <v>17</v>
      </c>
      <c r="I1091" s="23" t="s">
        <v>46</v>
      </c>
      <c r="J1091" s="24"/>
      <c r="L1091" s="21" t="s">
        <v>86</v>
      </c>
      <c r="M1091" s="20"/>
      <c r="N1091" s="70"/>
      <c r="O1091" s="70"/>
      <c r="P1091" s="70"/>
      <c r="Q1091" s="70"/>
      <c r="S1091" s="22" t="s">
        <v>17</v>
      </c>
      <c r="T1091" s="23" t="s">
        <v>34</v>
      </c>
      <c r="U1091" s="24"/>
      <c r="W1091" s="21" t="s">
        <v>86</v>
      </c>
      <c r="X1091" s="20"/>
      <c r="Y1091" s="70"/>
      <c r="Z1091" s="70"/>
      <c r="AA1091" s="70"/>
      <c r="AB1091" s="70"/>
      <c r="AD1091" s="22" t="s">
        <v>17</v>
      </c>
      <c r="AE1091" s="23" t="s">
        <v>47</v>
      </c>
      <c r="AF1091" s="24"/>
    </row>
    <row r="1092" spans="1:32" x14ac:dyDescent="0.25">
      <c r="B1092" s="70"/>
      <c r="C1092" s="70"/>
      <c r="D1092" s="70"/>
      <c r="E1092" s="70"/>
      <c r="F1092" s="70"/>
      <c r="M1092" s="70"/>
      <c r="N1092" s="70"/>
      <c r="O1092" s="70"/>
      <c r="P1092" s="70"/>
      <c r="Q1092" s="70"/>
      <c r="X1092" s="70"/>
      <c r="Y1092" s="70"/>
      <c r="Z1092" s="70"/>
      <c r="AA1092" s="70"/>
      <c r="AB1092" s="70"/>
    </row>
    <row r="1093" spans="1:32" x14ac:dyDescent="0.25">
      <c r="B1093" s="25"/>
      <c r="C1093" s="26"/>
      <c r="D1093" s="79" t="s">
        <v>18</v>
      </c>
      <c r="E1093" s="79"/>
      <c r="F1093" s="27"/>
      <c r="H1093" s="77" t="s">
        <v>19</v>
      </c>
      <c r="I1093" s="78"/>
      <c r="J1093" s="75" t="s">
        <v>20</v>
      </c>
      <c r="M1093" s="25"/>
      <c r="N1093" s="26"/>
      <c r="O1093" s="79" t="s">
        <v>18</v>
      </c>
      <c r="P1093" s="79"/>
      <c r="Q1093" s="27"/>
      <c r="S1093" s="77" t="s">
        <v>19</v>
      </c>
      <c r="T1093" s="78"/>
      <c r="U1093" s="75" t="s">
        <v>20</v>
      </c>
      <c r="X1093" s="25"/>
      <c r="Y1093" s="26"/>
      <c r="Z1093" s="79" t="s">
        <v>18</v>
      </c>
      <c r="AA1093" s="79"/>
      <c r="AB1093" s="27"/>
      <c r="AD1093" s="77" t="s">
        <v>19</v>
      </c>
      <c r="AE1093" s="78"/>
      <c r="AF1093" s="75" t="s">
        <v>20</v>
      </c>
    </row>
    <row r="1094" spans="1:32" ht="30" x14ac:dyDescent="0.25">
      <c r="B1094" s="28" t="s">
        <v>21</v>
      </c>
      <c r="C1094" s="28" t="s">
        <v>22</v>
      </c>
      <c r="D1094" s="29" t="s">
        <v>23</v>
      </c>
      <c r="E1094" s="30" t="s">
        <v>24</v>
      </c>
      <c r="F1094" s="30" t="s">
        <v>25</v>
      </c>
      <c r="H1094" s="31" t="s">
        <v>26</v>
      </c>
      <c r="I1094" s="31" t="s">
        <v>27</v>
      </c>
      <c r="J1094" s="76"/>
      <c r="M1094" s="28" t="s">
        <v>21</v>
      </c>
      <c r="N1094" s="28" t="s">
        <v>22</v>
      </c>
      <c r="O1094" s="29" t="s">
        <v>23</v>
      </c>
      <c r="P1094" s="30" t="s">
        <v>24</v>
      </c>
      <c r="Q1094" s="30" t="s">
        <v>25</v>
      </c>
      <c r="S1094" s="31" t="s">
        <v>26</v>
      </c>
      <c r="T1094" s="31" t="s">
        <v>27</v>
      </c>
      <c r="U1094" s="76"/>
      <c r="X1094" s="28" t="s">
        <v>21</v>
      </c>
      <c r="Y1094" s="28" t="s">
        <v>22</v>
      </c>
      <c r="Z1094" s="29" t="s">
        <v>23</v>
      </c>
      <c r="AA1094" s="30" t="s">
        <v>24</v>
      </c>
      <c r="AB1094" s="30" t="s">
        <v>25</v>
      </c>
      <c r="AD1094" s="31" t="s">
        <v>26</v>
      </c>
      <c r="AE1094" s="31" t="s">
        <v>27</v>
      </c>
      <c r="AF1094" s="76"/>
    </row>
    <row r="1095" spans="1:32" x14ac:dyDescent="0.25">
      <c r="A1095" s="10">
        <v>1</v>
      </c>
      <c r="B1095" s="32">
        <v>45681</v>
      </c>
      <c r="C1095" s="33">
        <v>7704</v>
      </c>
      <c r="D1095" s="34">
        <f>626+596+17</f>
        <v>1239</v>
      </c>
      <c r="E1095" s="34"/>
      <c r="F1095" s="34">
        <f>SUM(D1095:E1095)</f>
        <v>1239</v>
      </c>
      <c r="G1095" s="12"/>
      <c r="H1095" s="12"/>
      <c r="I1095" s="12"/>
      <c r="J1095" s="12">
        <f>SUM(F1095:I1095)</f>
        <v>1239</v>
      </c>
      <c r="L1095" s="10">
        <v>1</v>
      </c>
      <c r="M1095" s="32">
        <v>45681</v>
      </c>
      <c r="N1095" s="33">
        <v>6738</v>
      </c>
      <c r="O1095" s="34">
        <f>626*6+51</f>
        <v>3807</v>
      </c>
      <c r="P1095" s="34"/>
      <c r="Q1095" s="34">
        <f>SUM(O1095:P1095)</f>
        <v>3807</v>
      </c>
      <c r="R1095" s="12"/>
      <c r="S1095" s="12">
        <v>4.5</v>
      </c>
      <c r="T1095" s="12"/>
      <c r="U1095" s="12">
        <f>SUM(Q1095:T1095)</f>
        <v>3811.5</v>
      </c>
      <c r="W1095" s="10">
        <v>1</v>
      </c>
      <c r="X1095" s="32">
        <v>45681</v>
      </c>
      <c r="Y1095" s="33">
        <v>7810</v>
      </c>
      <c r="Z1095" s="34">
        <f>626*324+205*12</f>
        <v>205284</v>
      </c>
      <c r="AA1095" s="34">
        <v>-3024</v>
      </c>
      <c r="AB1095" s="34">
        <f>SUM(Z1095:AA1095)</f>
        <v>202260</v>
      </c>
      <c r="AC1095" s="12"/>
      <c r="AD1095" s="12">
        <v>7914</v>
      </c>
      <c r="AE1095" s="12"/>
      <c r="AF1095" s="12">
        <f>SUM(AB1095:AE1095)</f>
        <v>210174</v>
      </c>
    </row>
    <row r="1096" spans="1:32" x14ac:dyDescent="0.25">
      <c r="A1096" s="10">
        <v>2</v>
      </c>
      <c r="B1096" s="32">
        <v>45681</v>
      </c>
      <c r="C1096" s="33">
        <f>C1095+1</f>
        <v>7705</v>
      </c>
      <c r="D1096">
        <f>626*3+614+205+674*3</f>
        <v>4719</v>
      </c>
      <c r="E1096" s="34"/>
      <c r="F1096" s="34">
        <f t="shared" ref="F1096:F1099" si="367">SUM(D1096:E1096)</f>
        <v>4719</v>
      </c>
      <c r="G1096" s="12"/>
      <c r="H1096" s="12">
        <v>27</v>
      </c>
      <c r="I1096" s="12"/>
      <c r="J1096" s="12">
        <f t="shared" ref="J1096:J1136" si="368">SUM(F1096:I1096)</f>
        <v>4746</v>
      </c>
      <c r="L1096" s="10">
        <v>2</v>
      </c>
      <c r="M1096" s="32">
        <v>45681</v>
      </c>
      <c r="N1096" s="33">
        <f>N1095+1</f>
        <v>6739</v>
      </c>
      <c r="O1096">
        <f>626*180+36*596+205*8</f>
        <v>135776</v>
      </c>
      <c r="P1096" s="34">
        <v>-2016</v>
      </c>
      <c r="Q1096" s="34">
        <f t="shared" ref="Q1096:Q1099" si="369">SUM(O1096:P1096)</f>
        <v>133760</v>
      </c>
      <c r="R1096" s="12"/>
      <c r="S1096" s="12"/>
      <c r="T1096" s="12">
        <v>-3324</v>
      </c>
      <c r="U1096" s="12">
        <f t="shared" ref="U1096:U1136" si="370">SUM(Q1096:T1096)</f>
        <v>130436</v>
      </c>
      <c r="W1096" s="10">
        <v>2</v>
      </c>
      <c r="X1096" s="32">
        <v>45681</v>
      </c>
      <c r="Y1096" s="33">
        <f>Y1095+1</f>
        <v>7811</v>
      </c>
      <c r="Z1096" s="34">
        <f>626*60+15*614+410</f>
        <v>47180</v>
      </c>
      <c r="AA1096" s="34">
        <v>-616</v>
      </c>
      <c r="AB1096" s="34">
        <f t="shared" ref="AB1096:AB1098" si="371">SUM(Z1096:AA1096)</f>
        <v>46564</v>
      </c>
      <c r="AC1096" s="12"/>
      <c r="AD1096" s="12"/>
      <c r="AE1096" s="12"/>
      <c r="AF1096" s="12">
        <f t="shared" ref="AF1096:AF1136" si="372">SUM(AB1096:AE1096)</f>
        <v>46564</v>
      </c>
    </row>
    <row r="1097" spans="1:32" x14ac:dyDescent="0.25">
      <c r="A1097" s="10">
        <v>3</v>
      </c>
      <c r="B1097" s="32">
        <v>45681</v>
      </c>
      <c r="C1097" s="33">
        <f t="shared" ref="C1097:C1109" si="373">C1096+1</f>
        <v>7706</v>
      </c>
      <c r="D1097" s="34">
        <f>626*50+614*3+596*5+674</f>
        <v>36796</v>
      </c>
      <c r="E1097" s="34"/>
      <c r="F1097" s="34">
        <f t="shared" si="367"/>
        <v>36796</v>
      </c>
      <c r="G1097" s="12"/>
      <c r="H1097" s="12">
        <v>162</v>
      </c>
      <c r="I1097" s="12"/>
      <c r="J1097" s="12">
        <f t="shared" si="368"/>
        <v>36958</v>
      </c>
      <c r="L1097" s="10">
        <v>3</v>
      </c>
      <c r="M1097" s="32">
        <v>45681</v>
      </c>
      <c r="N1097" s="33">
        <f t="shared" ref="N1097:N1120" si="374">N1096+1</f>
        <v>6740</v>
      </c>
      <c r="O1097" s="34">
        <f>1878+25.5</f>
        <v>1903.5</v>
      </c>
      <c r="P1097" s="34"/>
      <c r="Q1097" s="34">
        <f t="shared" si="369"/>
        <v>1903.5</v>
      </c>
      <c r="R1097" s="12"/>
      <c r="S1097" s="12"/>
      <c r="T1097" s="12"/>
      <c r="U1097" s="12">
        <f t="shared" si="370"/>
        <v>1903.5</v>
      </c>
      <c r="W1097" s="10">
        <v>3</v>
      </c>
      <c r="X1097" s="32">
        <v>45681</v>
      </c>
      <c r="Y1097" s="33">
        <f t="shared" ref="Y1097:Y1100" si="375">Y1096+1</f>
        <v>7812</v>
      </c>
      <c r="Z1097" s="34">
        <f>626*35+596*15+205*2</f>
        <v>31260</v>
      </c>
      <c r="AA1097" s="34">
        <v>-416</v>
      </c>
      <c r="AB1097" s="34">
        <f t="shared" si="371"/>
        <v>30844</v>
      </c>
      <c r="AC1097" s="12"/>
      <c r="AD1097" s="12">
        <v>300</v>
      </c>
      <c r="AE1097" s="12"/>
      <c r="AF1097" s="12">
        <f t="shared" si="372"/>
        <v>31144</v>
      </c>
    </row>
    <row r="1098" spans="1:32" x14ac:dyDescent="0.25">
      <c r="A1098" s="10">
        <v>4</v>
      </c>
      <c r="B1098" s="32">
        <v>45681</v>
      </c>
      <c r="C1098" s="33">
        <f t="shared" si="373"/>
        <v>7707</v>
      </c>
      <c r="D1098" s="34">
        <f>626*3+614+596+34</f>
        <v>3122</v>
      </c>
      <c r="E1098" s="34"/>
      <c r="F1098" s="34">
        <f t="shared" si="367"/>
        <v>3122</v>
      </c>
      <c r="G1098" s="12"/>
      <c r="H1098" s="12">
        <v>138</v>
      </c>
      <c r="I1098" s="12"/>
      <c r="J1098" s="12">
        <f t="shared" si="368"/>
        <v>3260</v>
      </c>
      <c r="L1098" s="10">
        <v>4</v>
      </c>
      <c r="M1098" s="32">
        <v>45681</v>
      </c>
      <c r="N1098" s="33">
        <f t="shared" si="374"/>
        <v>6741</v>
      </c>
      <c r="O1098" s="34">
        <f>626+8.5</f>
        <v>634.5</v>
      </c>
      <c r="P1098" s="34"/>
      <c r="Q1098" s="34">
        <f t="shared" si="369"/>
        <v>634.5</v>
      </c>
      <c r="R1098" s="12"/>
      <c r="S1098" s="12"/>
      <c r="T1098" s="12"/>
      <c r="U1098" s="12">
        <f t="shared" si="370"/>
        <v>634.5</v>
      </c>
      <c r="W1098" s="10">
        <v>4</v>
      </c>
      <c r="X1098" s="32">
        <v>45681</v>
      </c>
      <c r="Y1098" s="33">
        <f t="shared" si="375"/>
        <v>7813</v>
      </c>
      <c r="Z1098" s="34">
        <f>596+8.5</f>
        <v>604.5</v>
      </c>
      <c r="AA1098" s="34"/>
      <c r="AB1098" s="34">
        <f t="shared" si="371"/>
        <v>604.5</v>
      </c>
      <c r="AC1098" s="12"/>
      <c r="AE1098" s="12"/>
      <c r="AF1098" s="12">
        <f t="shared" si="372"/>
        <v>604.5</v>
      </c>
    </row>
    <row r="1099" spans="1:32" x14ac:dyDescent="0.25">
      <c r="A1099" s="10">
        <v>5</v>
      </c>
      <c r="B1099" s="32">
        <v>45681</v>
      </c>
      <c r="C1099" s="33">
        <f t="shared" si="373"/>
        <v>7708</v>
      </c>
      <c r="D1099" s="34">
        <f>626*15+614*2+127.5+674</f>
        <v>11419.5</v>
      </c>
      <c r="E1099" s="34"/>
      <c r="F1099" s="34">
        <f t="shared" si="367"/>
        <v>11419.5</v>
      </c>
      <c r="G1099" s="12"/>
      <c r="H1099" s="12"/>
      <c r="I1099" s="12"/>
      <c r="J1099" s="12">
        <f t="shared" si="368"/>
        <v>11419.5</v>
      </c>
      <c r="L1099" s="10">
        <v>5</v>
      </c>
      <c r="M1099" s="32">
        <v>45681</v>
      </c>
      <c r="N1099" s="33">
        <f t="shared" si="374"/>
        <v>6742</v>
      </c>
      <c r="O1099" s="34">
        <f>1252+17</f>
        <v>1269</v>
      </c>
      <c r="P1099" s="34"/>
      <c r="Q1099" s="34">
        <f t="shared" si="369"/>
        <v>1269</v>
      </c>
      <c r="R1099" s="12"/>
      <c r="S1099" s="12"/>
      <c r="T1099" s="12"/>
      <c r="U1099" s="12">
        <f t="shared" si="370"/>
        <v>1269</v>
      </c>
      <c r="W1099" s="10">
        <v>5</v>
      </c>
      <c r="X1099" s="32">
        <v>45681</v>
      </c>
      <c r="Y1099" s="33">
        <f t="shared" si="375"/>
        <v>7814</v>
      </c>
      <c r="Z1099" s="34">
        <f>626*51+614+596*8+205*2</f>
        <v>37718</v>
      </c>
      <c r="AA1099" s="34"/>
      <c r="AB1099" s="34">
        <f t="shared" ref="AB1099:AB1104" si="376">SUM(Z1099:AA1099)</f>
        <v>37718</v>
      </c>
      <c r="AC1099" s="12"/>
      <c r="AD1099" s="12">
        <v>2129.25</v>
      </c>
      <c r="AE1099" s="12"/>
      <c r="AF1099" s="12">
        <f t="shared" si="372"/>
        <v>39847.25</v>
      </c>
    </row>
    <row r="1100" spans="1:32" x14ac:dyDescent="0.25">
      <c r="A1100" s="10">
        <v>6</v>
      </c>
      <c r="B1100" s="32">
        <v>45681</v>
      </c>
      <c r="C1100" s="33">
        <f t="shared" si="373"/>
        <v>7709</v>
      </c>
      <c r="D1100" s="34">
        <f>626*3+1192+43</f>
        <v>3113</v>
      </c>
      <c r="E1100" s="34"/>
      <c r="F1100" s="34">
        <f>SUM(D1100:E1100)</f>
        <v>3113</v>
      </c>
      <c r="G1100" s="12"/>
      <c r="H1100" s="12"/>
      <c r="I1100" s="10"/>
      <c r="J1100" s="12">
        <f t="shared" si="368"/>
        <v>3113</v>
      </c>
      <c r="L1100" s="10">
        <v>6</v>
      </c>
      <c r="M1100" s="32">
        <v>45681</v>
      </c>
      <c r="N1100" s="33">
        <f t="shared" si="374"/>
        <v>6743</v>
      </c>
      <c r="O1100" s="34">
        <f>1878+596+34</f>
        <v>2508</v>
      </c>
      <c r="P1100" s="34"/>
      <c r="Q1100" s="34">
        <f>SUM(O1100:P1100)</f>
        <v>2508</v>
      </c>
      <c r="R1100" s="12"/>
      <c r="S1100" s="12"/>
      <c r="T1100" s="10"/>
      <c r="U1100" s="12">
        <f t="shared" si="370"/>
        <v>2508</v>
      </c>
      <c r="W1100" s="10">
        <v>6</v>
      </c>
      <c r="X1100" s="32">
        <v>45681</v>
      </c>
      <c r="Y1100" s="33">
        <f t="shared" si="375"/>
        <v>7815</v>
      </c>
      <c r="Z1100" s="34">
        <f>626*3+832+205</f>
        <v>2915</v>
      </c>
      <c r="AA1100" s="34"/>
      <c r="AB1100" s="34">
        <f t="shared" si="376"/>
        <v>2915</v>
      </c>
      <c r="AC1100" s="12"/>
      <c r="AD1100" s="12"/>
      <c r="AE1100" s="10">
        <v>-1221</v>
      </c>
      <c r="AF1100" s="12">
        <f t="shared" si="372"/>
        <v>1694</v>
      </c>
    </row>
    <row r="1101" spans="1:32" x14ac:dyDescent="0.25">
      <c r="A1101" s="10">
        <v>7</v>
      </c>
      <c r="B1101" s="32">
        <v>45681</v>
      </c>
      <c r="C1101" s="33">
        <f t="shared" si="373"/>
        <v>7710</v>
      </c>
      <c r="D1101" s="34">
        <f>626+8.5</f>
        <v>634.5</v>
      </c>
      <c r="E1101" s="34"/>
      <c r="F1101" s="34">
        <f t="shared" ref="F1101:F1133" si="377">SUM(D1101:E1101)</f>
        <v>634.5</v>
      </c>
      <c r="G1101" s="12"/>
      <c r="H1101" s="12"/>
      <c r="I1101" s="12"/>
      <c r="J1101" s="12">
        <f t="shared" si="368"/>
        <v>634.5</v>
      </c>
      <c r="L1101" s="10">
        <v>7</v>
      </c>
      <c r="M1101" s="32">
        <v>45681</v>
      </c>
      <c r="N1101" s="33">
        <f t="shared" si="374"/>
        <v>6744</v>
      </c>
      <c r="O1101" s="34">
        <f>1252+17</f>
        <v>1269</v>
      </c>
      <c r="P1101" s="34"/>
      <c r="Q1101" s="34">
        <f t="shared" ref="Q1101:Q1133" si="378">SUM(O1101:P1101)</f>
        <v>1269</v>
      </c>
      <c r="R1101" s="12"/>
      <c r="S1101" s="12"/>
      <c r="T1101" s="12"/>
      <c r="U1101" s="12">
        <f t="shared" si="370"/>
        <v>1269</v>
      </c>
      <c r="W1101" s="10">
        <v>7</v>
      </c>
      <c r="X1101" s="32"/>
      <c r="Y1101" s="11" t="s">
        <v>28</v>
      </c>
      <c r="Z1101" s="34"/>
      <c r="AA1101" s="34"/>
      <c r="AB1101" s="34">
        <f t="shared" si="376"/>
        <v>0</v>
      </c>
      <c r="AC1101" s="12"/>
      <c r="AD1101" s="66"/>
      <c r="AE1101" s="12"/>
      <c r="AF1101" s="12">
        <f t="shared" si="372"/>
        <v>0</v>
      </c>
    </row>
    <row r="1102" spans="1:32" x14ac:dyDescent="0.25">
      <c r="A1102" s="10">
        <v>8</v>
      </c>
      <c r="B1102" s="32">
        <v>45681</v>
      </c>
      <c r="C1102" s="33">
        <f t="shared" si="373"/>
        <v>7711</v>
      </c>
      <c r="D1102" s="34">
        <f>2504+1252+51</f>
        <v>3807</v>
      </c>
      <c r="E1102" s="34"/>
      <c r="F1102" s="34">
        <f t="shared" si="377"/>
        <v>3807</v>
      </c>
      <c r="G1102" s="12"/>
      <c r="H1102" s="12">
        <v>72</v>
      </c>
      <c r="I1102" s="12"/>
      <c r="J1102" s="12">
        <f t="shared" si="368"/>
        <v>3879</v>
      </c>
      <c r="L1102" s="10">
        <v>8</v>
      </c>
      <c r="M1102" s="32">
        <v>45681</v>
      </c>
      <c r="N1102" s="33">
        <f t="shared" si="374"/>
        <v>6745</v>
      </c>
      <c r="O1102" s="34">
        <f>2504+34</f>
        <v>2538</v>
      </c>
      <c r="P1102" s="34"/>
      <c r="Q1102" s="34">
        <f t="shared" si="378"/>
        <v>2538</v>
      </c>
      <c r="R1102" s="12"/>
      <c r="S1102" s="12"/>
      <c r="T1102" s="12"/>
      <c r="U1102" s="12">
        <f t="shared" si="370"/>
        <v>2538</v>
      </c>
      <c r="W1102" s="10">
        <v>8</v>
      </c>
      <c r="X1102" s="32"/>
      <c r="Y1102" s="33"/>
      <c r="Z1102" s="34"/>
      <c r="AA1102" s="37"/>
      <c r="AB1102" s="34">
        <f t="shared" si="376"/>
        <v>0</v>
      </c>
      <c r="AC1102" s="12"/>
      <c r="AD1102" s="12"/>
      <c r="AE1102" s="12"/>
      <c r="AF1102" s="12">
        <f t="shared" si="372"/>
        <v>0</v>
      </c>
    </row>
    <row r="1103" spans="1:32" x14ac:dyDescent="0.25">
      <c r="A1103" s="10">
        <v>9</v>
      </c>
      <c r="B1103" s="32">
        <v>45681</v>
      </c>
      <c r="C1103" s="33">
        <f t="shared" si="373"/>
        <v>7712</v>
      </c>
      <c r="D1103" s="34">
        <f>626*2+17</f>
        <v>1269</v>
      </c>
      <c r="E1103" s="34"/>
      <c r="F1103" s="34">
        <f t="shared" si="377"/>
        <v>1269</v>
      </c>
      <c r="G1103" s="12"/>
      <c r="H1103" s="12"/>
      <c r="I1103" s="12"/>
      <c r="J1103" s="12">
        <f t="shared" si="368"/>
        <v>1269</v>
      </c>
      <c r="L1103" s="10">
        <v>9</v>
      </c>
      <c r="M1103" s="32">
        <v>45681</v>
      </c>
      <c r="N1103" s="33">
        <f t="shared" si="374"/>
        <v>6746</v>
      </c>
      <c r="O1103" s="34">
        <f>1252+17</f>
        <v>1269</v>
      </c>
      <c r="P1103" s="34"/>
      <c r="Q1103" s="34">
        <f t="shared" si="378"/>
        <v>1269</v>
      </c>
      <c r="R1103" s="12"/>
      <c r="S1103" s="12"/>
      <c r="T1103" s="12"/>
      <c r="U1103" s="12">
        <f t="shared" si="370"/>
        <v>1269</v>
      </c>
      <c r="W1103" s="10">
        <v>9</v>
      </c>
      <c r="X1103" s="32"/>
      <c r="Y1103" s="33"/>
      <c r="AA1103" s="34"/>
      <c r="AB1103" s="34">
        <f t="shared" si="376"/>
        <v>0</v>
      </c>
      <c r="AC1103" s="12"/>
      <c r="AD1103" s="66"/>
      <c r="AE1103" s="12"/>
      <c r="AF1103" s="12">
        <f t="shared" si="372"/>
        <v>0</v>
      </c>
    </row>
    <row r="1104" spans="1:32" x14ac:dyDescent="0.25">
      <c r="A1104" s="10">
        <v>10</v>
      </c>
      <c r="B1104" s="32">
        <v>45681</v>
      </c>
      <c r="C1104" s="33">
        <f t="shared" si="373"/>
        <v>7713</v>
      </c>
      <c r="D1104" s="34">
        <f>1878+1192+42.5</f>
        <v>3112.5</v>
      </c>
      <c r="E1104" s="34"/>
      <c r="F1104" s="34">
        <f t="shared" si="377"/>
        <v>3112.5</v>
      </c>
      <c r="G1104" s="12"/>
      <c r="H1104" s="12"/>
      <c r="I1104" s="12"/>
      <c r="J1104" s="12">
        <f t="shared" si="368"/>
        <v>3112.5</v>
      </c>
      <c r="L1104" s="10">
        <v>10</v>
      </c>
      <c r="M1104" s="32">
        <v>45681</v>
      </c>
      <c r="N1104" s="33">
        <f t="shared" si="374"/>
        <v>6747</v>
      </c>
      <c r="O1104" s="34">
        <f>3756+51+1348</f>
        <v>5155</v>
      </c>
      <c r="P1104" s="34"/>
      <c r="Q1104" s="34">
        <f t="shared" si="378"/>
        <v>5155</v>
      </c>
      <c r="R1104" s="12"/>
      <c r="S1104" s="12"/>
      <c r="T1104" s="12"/>
      <c r="U1104" s="12">
        <f t="shared" si="370"/>
        <v>5155</v>
      </c>
      <c r="W1104" s="10">
        <v>10</v>
      </c>
      <c r="X1104" s="32"/>
      <c r="Z1104" s="34"/>
      <c r="AA1104" s="34"/>
      <c r="AB1104" s="34">
        <f t="shared" si="376"/>
        <v>0</v>
      </c>
      <c r="AC1104" s="12"/>
      <c r="AD1104" s="12"/>
      <c r="AE1104" s="12"/>
      <c r="AF1104" s="12">
        <f t="shared" si="372"/>
        <v>0</v>
      </c>
    </row>
    <row r="1105" spans="1:32" x14ac:dyDescent="0.25">
      <c r="A1105" s="10">
        <v>11</v>
      </c>
      <c r="B1105" s="32">
        <v>45681</v>
      </c>
      <c r="C1105" s="33">
        <f t="shared" si="373"/>
        <v>7714</v>
      </c>
      <c r="D1105" s="34">
        <f>626+9</f>
        <v>635</v>
      </c>
      <c r="E1105" s="34"/>
      <c r="F1105" s="34">
        <f t="shared" si="377"/>
        <v>635</v>
      </c>
      <c r="G1105" s="12"/>
      <c r="H1105" s="12"/>
      <c r="I1105" s="12"/>
      <c r="J1105" s="12">
        <f t="shared" si="368"/>
        <v>635</v>
      </c>
      <c r="L1105" s="10">
        <v>11</v>
      </c>
      <c r="M1105" s="32">
        <v>45681</v>
      </c>
      <c r="N1105" s="33">
        <f t="shared" si="374"/>
        <v>6748</v>
      </c>
      <c r="O1105" s="34">
        <f>1252+17</f>
        <v>1269</v>
      </c>
      <c r="P1105" s="34"/>
      <c r="Q1105" s="34">
        <f t="shared" si="378"/>
        <v>1269</v>
      </c>
      <c r="R1105" s="12"/>
      <c r="S1105" s="12"/>
      <c r="T1105" s="12"/>
      <c r="U1105" s="12">
        <f t="shared" si="370"/>
        <v>1269</v>
      </c>
      <c r="W1105" s="10">
        <v>11</v>
      </c>
      <c r="X1105" s="32"/>
      <c r="Z1105" s="34"/>
      <c r="AA1105" s="34"/>
      <c r="AB1105" s="34">
        <f t="shared" ref="AB1105:AB1127" si="379">SUM(Z1105:AA1105)</f>
        <v>0</v>
      </c>
      <c r="AC1105" s="12"/>
      <c r="AD1105" s="12"/>
      <c r="AE1105" s="12"/>
      <c r="AF1105" s="12">
        <f t="shared" si="372"/>
        <v>0</v>
      </c>
    </row>
    <row r="1106" spans="1:32" x14ac:dyDescent="0.25">
      <c r="A1106" s="10">
        <v>12</v>
      </c>
      <c r="B1106" s="32">
        <v>45681</v>
      </c>
      <c r="C1106" s="33">
        <f t="shared" si="373"/>
        <v>7715</v>
      </c>
      <c r="D1106" s="34">
        <f>1878+1228+596+626+410</f>
        <v>4738</v>
      </c>
      <c r="E1106" s="34"/>
      <c r="F1106" s="34">
        <f t="shared" si="377"/>
        <v>4738</v>
      </c>
      <c r="G1106" s="12"/>
      <c r="H1106" s="12"/>
      <c r="I1106" s="12"/>
      <c r="J1106" s="12">
        <f t="shared" si="368"/>
        <v>4738</v>
      </c>
      <c r="L1106" s="10">
        <v>12</v>
      </c>
      <c r="M1106" s="32">
        <v>45681</v>
      </c>
      <c r="N1106" s="33">
        <f t="shared" si="374"/>
        <v>6749</v>
      </c>
      <c r="O1106" s="34">
        <f>1252+17</f>
        <v>1269</v>
      </c>
      <c r="P1106" s="34"/>
      <c r="Q1106" s="34">
        <f t="shared" si="378"/>
        <v>1269</v>
      </c>
      <c r="R1106" s="12"/>
      <c r="S1106" s="12"/>
      <c r="T1106" s="12"/>
      <c r="U1106" s="12">
        <f t="shared" si="370"/>
        <v>1269</v>
      </c>
      <c r="W1106" s="10">
        <v>12</v>
      </c>
      <c r="X1106" s="32"/>
      <c r="Y1106" s="33"/>
      <c r="Z1106" s="34"/>
      <c r="AA1106" s="34"/>
      <c r="AB1106" s="34">
        <f t="shared" si="379"/>
        <v>0</v>
      </c>
      <c r="AC1106" s="12"/>
      <c r="AD1106" s="12"/>
      <c r="AE1106" s="12"/>
      <c r="AF1106" s="12">
        <f t="shared" si="372"/>
        <v>0</v>
      </c>
    </row>
    <row r="1107" spans="1:32" x14ac:dyDescent="0.25">
      <c r="A1107" s="10">
        <v>13</v>
      </c>
      <c r="B1107" s="32">
        <v>45681</v>
      </c>
      <c r="C1107" s="33">
        <f t="shared" si="373"/>
        <v>7716</v>
      </c>
      <c r="D1107" s="34">
        <f>1435+650</f>
        <v>2085</v>
      </c>
      <c r="E1107" s="34"/>
      <c r="F1107" s="34">
        <f t="shared" si="377"/>
        <v>2085</v>
      </c>
      <c r="G1107" s="12"/>
      <c r="H1107" s="12"/>
      <c r="I1107" s="12"/>
      <c r="J1107" s="12">
        <f t="shared" si="368"/>
        <v>2085</v>
      </c>
      <c r="L1107" s="10">
        <v>13</v>
      </c>
      <c r="M1107" s="32">
        <v>45681</v>
      </c>
      <c r="N1107" s="33">
        <f t="shared" si="374"/>
        <v>6750</v>
      </c>
      <c r="O1107" s="34">
        <f>2504+34+674</f>
        <v>3212</v>
      </c>
      <c r="P1107" s="34"/>
      <c r="Q1107" s="34">
        <f t="shared" si="378"/>
        <v>3212</v>
      </c>
      <c r="R1107" s="12"/>
      <c r="S1107" s="12"/>
      <c r="T1107" s="12"/>
      <c r="U1107" s="12">
        <f t="shared" si="370"/>
        <v>3212</v>
      </c>
      <c r="W1107" s="10">
        <v>13</v>
      </c>
      <c r="X1107" s="32"/>
      <c r="Y1107" s="33"/>
      <c r="Z1107" s="34"/>
      <c r="AA1107" s="34"/>
      <c r="AB1107" s="34">
        <f t="shared" si="379"/>
        <v>0</v>
      </c>
      <c r="AC1107" s="12"/>
      <c r="AD1107" s="12"/>
      <c r="AE1107" s="12"/>
      <c r="AF1107" s="12">
        <f t="shared" si="372"/>
        <v>0</v>
      </c>
    </row>
    <row r="1108" spans="1:32" x14ac:dyDescent="0.25">
      <c r="A1108" s="10">
        <v>14</v>
      </c>
      <c r="B1108" s="32">
        <v>45681</v>
      </c>
      <c r="C1108" s="33">
        <f t="shared" si="373"/>
        <v>7717</v>
      </c>
      <c r="D1108" s="34">
        <f>4382+426+59.5</f>
        <v>4867.5</v>
      </c>
      <c r="E1108" s="34"/>
      <c r="F1108" s="34">
        <f t="shared" si="377"/>
        <v>4867.5</v>
      </c>
      <c r="G1108" s="12"/>
      <c r="H1108" s="12"/>
      <c r="I1108" s="12"/>
      <c r="J1108" s="12">
        <f t="shared" si="368"/>
        <v>4867.5</v>
      </c>
      <c r="L1108" s="10">
        <v>14</v>
      </c>
      <c r="M1108" s="32">
        <v>45681</v>
      </c>
      <c r="N1108" s="33">
        <f t="shared" si="374"/>
        <v>6751</v>
      </c>
      <c r="O1108" s="34">
        <f>3130+42.5</f>
        <v>3172.5</v>
      </c>
      <c r="P1108" s="34"/>
      <c r="Q1108" s="34">
        <f t="shared" si="378"/>
        <v>3172.5</v>
      </c>
      <c r="R1108" s="12"/>
      <c r="S1108" s="12"/>
      <c r="T1108" s="12"/>
      <c r="U1108" s="12">
        <f t="shared" si="370"/>
        <v>3172.5</v>
      </c>
      <c r="W1108" s="10">
        <v>14</v>
      </c>
      <c r="X1108" s="32"/>
      <c r="Y1108" s="33"/>
      <c r="AA1108" s="34"/>
      <c r="AB1108" s="34">
        <f t="shared" si="379"/>
        <v>0</v>
      </c>
      <c r="AC1108" s="12"/>
      <c r="AD1108" s="12"/>
      <c r="AE1108" s="12"/>
      <c r="AF1108" s="12">
        <f t="shared" si="372"/>
        <v>0</v>
      </c>
    </row>
    <row r="1109" spans="1:32" x14ac:dyDescent="0.25">
      <c r="A1109" s="10">
        <v>15</v>
      </c>
      <c r="B1109" s="32">
        <v>45681</v>
      </c>
      <c r="C1109" s="33">
        <f t="shared" si="373"/>
        <v>7718</v>
      </c>
      <c r="D1109" s="34">
        <f>626*180+596*18+1640+1300</f>
        <v>126348</v>
      </c>
      <c r="E1109" s="34">
        <v>-1872</v>
      </c>
      <c r="F1109" s="34">
        <f t="shared" si="377"/>
        <v>124476</v>
      </c>
      <c r="G1109" s="12"/>
      <c r="H1109" s="12"/>
      <c r="I1109" s="12">
        <v>-957</v>
      </c>
      <c r="J1109" s="12">
        <f t="shared" si="368"/>
        <v>123519</v>
      </c>
      <c r="L1109" s="10">
        <v>15</v>
      </c>
      <c r="M1109" s="32">
        <v>45681</v>
      </c>
      <c r="N1109" s="33">
        <f t="shared" si="374"/>
        <v>6752</v>
      </c>
      <c r="O1109" s="34">
        <f>596+8.5</f>
        <v>604.5</v>
      </c>
      <c r="P1109" s="34"/>
      <c r="Q1109" s="34">
        <f t="shared" si="378"/>
        <v>604.5</v>
      </c>
      <c r="R1109" s="12"/>
      <c r="S1109" s="12"/>
      <c r="T1109" s="12"/>
      <c r="U1109" s="12">
        <f t="shared" si="370"/>
        <v>604.5</v>
      </c>
      <c r="W1109" s="10">
        <v>15</v>
      </c>
      <c r="X1109" s="32"/>
      <c r="Y1109" s="33"/>
      <c r="Z1109" s="34"/>
      <c r="AA1109" s="34"/>
      <c r="AB1109" s="34">
        <f t="shared" si="379"/>
        <v>0</v>
      </c>
      <c r="AC1109" s="12"/>
      <c r="AD1109" s="12"/>
      <c r="AE1109" s="12"/>
      <c r="AF1109" s="12">
        <f t="shared" si="372"/>
        <v>0</v>
      </c>
    </row>
    <row r="1110" spans="1:32" x14ac:dyDescent="0.25">
      <c r="A1110" s="10">
        <v>16</v>
      </c>
      <c r="B1110" s="32"/>
      <c r="C1110" s="11" t="s">
        <v>28</v>
      </c>
      <c r="D1110" s="34"/>
      <c r="E1110" s="34"/>
      <c r="F1110" s="34">
        <f t="shared" si="377"/>
        <v>0</v>
      </c>
      <c r="G1110" s="12"/>
      <c r="H1110" s="12"/>
      <c r="I1110" s="12"/>
      <c r="J1110" s="12">
        <f t="shared" si="368"/>
        <v>0</v>
      </c>
      <c r="L1110" s="10">
        <v>16</v>
      </c>
      <c r="M1110" s="32">
        <v>45681</v>
      </c>
      <c r="N1110" s="33">
        <f t="shared" si="374"/>
        <v>6753</v>
      </c>
      <c r="O1110" s="34">
        <f>626*4+1192+51</f>
        <v>3747</v>
      </c>
      <c r="P1110" s="34"/>
      <c r="Q1110" s="34">
        <f t="shared" si="378"/>
        <v>3747</v>
      </c>
      <c r="R1110" s="12"/>
      <c r="S1110" s="12">
        <v>303</v>
      </c>
      <c r="T1110" s="12"/>
      <c r="U1110" s="12">
        <f t="shared" si="370"/>
        <v>4050</v>
      </c>
      <c r="W1110" s="10">
        <v>16</v>
      </c>
      <c r="X1110" s="32"/>
      <c r="Y1110" s="33"/>
      <c r="Z1110" s="34"/>
      <c r="AA1110" s="34"/>
      <c r="AB1110" s="34">
        <f t="shared" si="379"/>
        <v>0</v>
      </c>
      <c r="AC1110" s="12"/>
      <c r="AD1110" s="12"/>
      <c r="AE1110" s="12"/>
      <c r="AF1110" s="12">
        <f t="shared" si="372"/>
        <v>0</v>
      </c>
    </row>
    <row r="1111" spans="1:32" x14ac:dyDescent="0.25">
      <c r="A1111" s="10">
        <v>17</v>
      </c>
      <c r="B1111" s="32"/>
      <c r="C1111" s="33"/>
      <c r="D1111" s="37"/>
      <c r="E1111" s="34"/>
      <c r="F1111" s="34">
        <f t="shared" si="377"/>
        <v>0</v>
      </c>
      <c r="G1111" s="12"/>
      <c r="H1111" s="12"/>
      <c r="I1111" s="12"/>
      <c r="J1111" s="12">
        <f t="shared" si="368"/>
        <v>0</v>
      </c>
      <c r="L1111" s="10">
        <v>17</v>
      </c>
      <c r="M1111" s="32">
        <v>45681</v>
      </c>
      <c r="N1111" s="33">
        <f t="shared" si="374"/>
        <v>6754</v>
      </c>
      <c r="O1111" s="37">
        <f>626+596+17</f>
        <v>1239</v>
      </c>
      <c r="P1111" s="34"/>
      <c r="Q1111" s="34">
        <f t="shared" si="378"/>
        <v>1239</v>
      </c>
      <c r="R1111" s="12"/>
      <c r="S1111" s="12"/>
      <c r="T1111" s="12"/>
      <c r="U1111" s="12">
        <f t="shared" si="370"/>
        <v>1239</v>
      </c>
      <c r="W1111" s="10">
        <v>17</v>
      </c>
      <c r="X1111" s="32"/>
      <c r="Y1111" s="33"/>
      <c r="Z1111" s="37"/>
      <c r="AA1111" s="34"/>
      <c r="AB1111" s="34">
        <f t="shared" si="379"/>
        <v>0</v>
      </c>
      <c r="AC1111" s="12"/>
      <c r="AD1111" s="12"/>
      <c r="AE1111" s="12"/>
      <c r="AF1111" s="12">
        <f t="shared" si="372"/>
        <v>0</v>
      </c>
    </row>
    <row r="1112" spans="1:32" x14ac:dyDescent="0.25">
      <c r="A1112" s="10">
        <v>18</v>
      </c>
      <c r="B1112" s="32"/>
      <c r="C1112" s="33"/>
      <c r="D1112" s="34"/>
      <c r="E1112" s="34"/>
      <c r="F1112" s="34">
        <f t="shared" si="377"/>
        <v>0</v>
      </c>
      <c r="G1112" s="12"/>
      <c r="H1112" s="12"/>
      <c r="I1112" s="12"/>
      <c r="J1112" s="12">
        <f t="shared" si="368"/>
        <v>0</v>
      </c>
      <c r="L1112" s="10">
        <v>18</v>
      </c>
      <c r="M1112" s="32">
        <v>45681</v>
      </c>
      <c r="N1112" s="33">
        <f t="shared" si="374"/>
        <v>6755</v>
      </c>
      <c r="O1112" s="34">
        <f>3130+614+42.5</f>
        <v>3786.5</v>
      </c>
      <c r="P1112" s="34"/>
      <c r="Q1112" s="34">
        <f t="shared" si="378"/>
        <v>3786.5</v>
      </c>
      <c r="R1112" s="12"/>
      <c r="S1112" s="12"/>
      <c r="T1112" s="12"/>
      <c r="U1112" s="12">
        <f t="shared" si="370"/>
        <v>3786.5</v>
      </c>
      <c r="W1112" s="10">
        <v>18</v>
      </c>
      <c r="X1112" s="32"/>
      <c r="Y1112" s="33"/>
      <c r="Z1112" s="34"/>
      <c r="AA1112" s="34"/>
      <c r="AB1112" s="34">
        <f t="shared" si="379"/>
        <v>0</v>
      </c>
      <c r="AC1112" s="12"/>
      <c r="AD1112" s="12"/>
      <c r="AE1112" s="12"/>
      <c r="AF1112" s="12">
        <f t="shared" si="372"/>
        <v>0</v>
      </c>
    </row>
    <row r="1113" spans="1:32" x14ac:dyDescent="0.25">
      <c r="A1113" s="10">
        <v>19</v>
      </c>
      <c r="B1113" s="32"/>
      <c r="C1113" s="33"/>
      <c r="D1113" s="34"/>
      <c r="E1113" s="34"/>
      <c r="F1113" s="34">
        <f t="shared" si="377"/>
        <v>0</v>
      </c>
      <c r="G1113" s="12"/>
      <c r="H1113" s="12"/>
      <c r="I1113" s="12"/>
      <c r="J1113" s="12">
        <f t="shared" si="368"/>
        <v>0</v>
      </c>
      <c r="L1113" s="10">
        <v>19</v>
      </c>
      <c r="M1113" s="32">
        <v>45681</v>
      </c>
      <c r="N1113" s="33">
        <f t="shared" si="374"/>
        <v>6756</v>
      </c>
      <c r="O1113" s="34">
        <f>626*23+205+674</f>
        <v>15277</v>
      </c>
      <c r="P1113" s="34"/>
      <c r="Q1113" s="34">
        <f t="shared" si="378"/>
        <v>15277</v>
      </c>
      <c r="R1113" s="12"/>
      <c r="S1113" s="12"/>
      <c r="T1113" s="12"/>
      <c r="U1113" s="12">
        <f t="shared" si="370"/>
        <v>15277</v>
      </c>
      <c r="W1113" s="10">
        <v>19</v>
      </c>
      <c r="X1113" s="32"/>
      <c r="Y1113" s="33"/>
      <c r="Z1113" s="34"/>
      <c r="AA1113" s="34"/>
      <c r="AB1113" s="34">
        <f t="shared" si="379"/>
        <v>0</v>
      </c>
      <c r="AC1113" s="12"/>
      <c r="AD1113" s="12"/>
      <c r="AE1113" s="12"/>
      <c r="AF1113" s="12">
        <f t="shared" si="372"/>
        <v>0</v>
      </c>
    </row>
    <row r="1114" spans="1:32" x14ac:dyDescent="0.25">
      <c r="A1114" s="10">
        <v>20</v>
      </c>
      <c r="B1114" s="32"/>
      <c r="C1114" s="33"/>
      <c r="D1114" s="34"/>
      <c r="E1114" s="34"/>
      <c r="F1114" s="34">
        <f t="shared" si="377"/>
        <v>0</v>
      </c>
      <c r="G1114" s="12"/>
      <c r="H1114" s="12"/>
      <c r="I1114" s="12"/>
      <c r="J1114" s="12">
        <f t="shared" si="368"/>
        <v>0</v>
      </c>
      <c r="L1114" s="10">
        <v>20</v>
      </c>
      <c r="M1114" s="32">
        <v>45681</v>
      </c>
      <c r="N1114" s="33">
        <f t="shared" si="374"/>
        <v>6757</v>
      </c>
      <c r="O1114" s="34">
        <f>3130+42.5</f>
        <v>3172.5</v>
      </c>
      <c r="P1114" s="34"/>
      <c r="Q1114" s="34">
        <f t="shared" si="378"/>
        <v>3172.5</v>
      </c>
      <c r="R1114" s="12"/>
      <c r="S1114" s="12"/>
      <c r="T1114" s="12"/>
      <c r="U1114" s="12">
        <f t="shared" si="370"/>
        <v>3172.5</v>
      </c>
      <c r="W1114" s="10">
        <v>20</v>
      </c>
      <c r="X1114" s="32"/>
      <c r="Y1114" s="33"/>
      <c r="Z1114" s="34"/>
      <c r="AA1114" s="34"/>
      <c r="AB1114" s="34">
        <f t="shared" si="379"/>
        <v>0</v>
      </c>
      <c r="AC1114" s="12"/>
      <c r="AD1114" s="12"/>
      <c r="AE1114" s="12"/>
      <c r="AF1114" s="12">
        <f t="shared" si="372"/>
        <v>0</v>
      </c>
    </row>
    <row r="1115" spans="1:32" x14ac:dyDescent="0.25">
      <c r="A1115" s="10">
        <v>21</v>
      </c>
      <c r="B1115" s="32"/>
      <c r="C1115" s="33"/>
      <c r="D1115" s="50"/>
      <c r="E1115" s="33"/>
      <c r="F1115" s="34">
        <f t="shared" si="377"/>
        <v>0</v>
      </c>
      <c r="G1115" s="10"/>
      <c r="H1115" s="10"/>
      <c r="I1115" s="10"/>
      <c r="J1115" s="12">
        <f t="shared" si="368"/>
        <v>0</v>
      </c>
      <c r="L1115" s="10">
        <v>21</v>
      </c>
      <c r="M1115" s="32">
        <v>45681</v>
      </c>
      <c r="N1115" s="33">
        <f t="shared" si="374"/>
        <v>6758</v>
      </c>
      <c r="O1115" s="50">
        <f>1252+17</f>
        <v>1269</v>
      </c>
      <c r="P1115" s="33"/>
      <c r="Q1115" s="34">
        <f t="shared" si="378"/>
        <v>1269</v>
      </c>
      <c r="R1115" s="10"/>
      <c r="S1115" s="10"/>
      <c r="T1115" s="10"/>
      <c r="U1115" s="12">
        <f t="shared" si="370"/>
        <v>1269</v>
      </c>
      <c r="W1115" s="10">
        <v>21</v>
      </c>
      <c r="X1115" s="32"/>
      <c r="Y1115" s="33"/>
      <c r="Z1115" s="50"/>
      <c r="AA1115" s="33"/>
      <c r="AB1115" s="34">
        <f t="shared" si="379"/>
        <v>0</v>
      </c>
      <c r="AC1115" s="10"/>
      <c r="AD1115" s="10"/>
      <c r="AE1115" s="10"/>
      <c r="AF1115" s="12">
        <f t="shared" si="372"/>
        <v>0</v>
      </c>
    </row>
    <row r="1116" spans="1:32" x14ac:dyDescent="0.25">
      <c r="A1116" s="10">
        <v>22</v>
      </c>
      <c r="B1116" s="32"/>
      <c r="C1116" s="33"/>
      <c r="D1116" s="49"/>
      <c r="E1116" s="33"/>
      <c r="F1116" s="34">
        <f t="shared" si="377"/>
        <v>0</v>
      </c>
      <c r="G1116" s="10"/>
      <c r="H1116" s="10"/>
      <c r="I1116" s="10"/>
      <c r="J1116" s="12">
        <f t="shared" si="368"/>
        <v>0</v>
      </c>
      <c r="L1116" s="10">
        <v>22</v>
      </c>
      <c r="M1116" s="32">
        <v>45681</v>
      </c>
      <c r="N1116" s="33">
        <f t="shared" si="374"/>
        <v>6759</v>
      </c>
      <c r="O1116" s="49">
        <f>2504+34</f>
        <v>2538</v>
      </c>
      <c r="P1116" s="33"/>
      <c r="Q1116" s="34">
        <f t="shared" si="378"/>
        <v>2538</v>
      </c>
      <c r="R1116" s="10"/>
      <c r="S1116" s="10"/>
      <c r="T1116" s="10"/>
      <c r="U1116" s="12">
        <f t="shared" si="370"/>
        <v>2538</v>
      </c>
      <c r="W1116" s="10">
        <v>22</v>
      </c>
      <c r="X1116" s="32"/>
      <c r="Z1116" s="49"/>
      <c r="AA1116" s="33"/>
      <c r="AB1116" s="34">
        <f t="shared" si="379"/>
        <v>0</v>
      </c>
      <c r="AC1116" s="10"/>
      <c r="AD1116" s="10"/>
      <c r="AE1116" s="10"/>
      <c r="AF1116" s="12">
        <f t="shared" si="372"/>
        <v>0</v>
      </c>
    </row>
    <row r="1117" spans="1:32" x14ac:dyDescent="0.25">
      <c r="A1117" s="10">
        <v>23</v>
      </c>
      <c r="B1117" s="32"/>
      <c r="C1117" s="33"/>
      <c r="D1117" s="51"/>
      <c r="E1117"/>
      <c r="F1117" s="34">
        <f t="shared" si="377"/>
        <v>0</v>
      </c>
      <c r="G1117" s="10"/>
      <c r="H1117" s="10"/>
      <c r="I1117" s="10"/>
      <c r="J1117" s="12">
        <f t="shared" si="368"/>
        <v>0</v>
      </c>
      <c r="L1117" s="10">
        <v>23</v>
      </c>
      <c r="M1117" s="32">
        <v>45681</v>
      </c>
      <c r="N1117" s="33">
        <f t="shared" si="374"/>
        <v>6760</v>
      </c>
      <c r="O1117" s="51">
        <f>1252+17</f>
        <v>1269</v>
      </c>
      <c r="Q1117" s="34">
        <f t="shared" si="378"/>
        <v>1269</v>
      </c>
      <c r="R1117" s="10"/>
      <c r="S1117" s="10"/>
      <c r="T1117" s="10"/>
      <c r="U1117" s="12">
        <f t="shared" si="370"/>
        <v>1269</v>
      </c>
      <c r="W1117" s="10">
        <v>23</v>
      </c>
      <c r="X1117" s="32"/>
      <c r="Y1117" s="33"/>
      <c r="Z1117" s="51"/>
      <c r="AB1117" s="34">
        <f t="shared" si="379"/>
        <v>0</v>
      </c>
      <c r="AC1117" s="10"/>
      <c r="AD1117" s="10"/>
      <c r="AE1117" s="10"/>
      <c r="AF1117" s="12">
        <f t="shared" si="372"/>
        <v>0</v>
      </c>
    </row>
    <row r="1118" spans="1:32" x14ac:dyDescent="0.25">
      <c r="A1118" s="10">
        <v>24</v>
      </c>
      <c r="B1118" s="32"/>
      <c r="C1118" s="33"/>
      <c r="D1118" s="51"/>
      <c r="E1118" s="33"/>
      <c r="F1118" s="34">
        <f t="shared" si="377"/>
        <v>0</v>
      </c>
      <c r="G1118" s="10"/>
      <c r="H1118" s="10"/>
      <c r="I1118" s="10"/>
      <c r="J1118" s="12">
        <f t="shared" si="368"/>
        <v>0</v>
      </c>
      <c r="L1118" s="10">
        <v>24</v>
      </c>
      <c r="M1118" s="32">
        <v>45681</v>
      </c>
      <c r="N1118" s="33">
        <f t="shared" si="374"/>
        <v>6761</v>
      </c>
      <c r="O1118" s="51">
        <f>1878+1192+42.5+674</f>
        <v>3786.5</v>
      </c>
      <c r="P1118" s="33"/>
      <c r="Q1118" s="34">
        <f t="shared" si="378"/>
        <v>3786.5</v>
      </c>
      <c r="R1118" s="10"/>
      <c r="S1118" s="10"/>
      <c r="T1118" s="10"/>
      <c r="U1118" s="12">
        <f t="shared" si="370"/>
        <v>3786.5</v>
      </c>
      <c r="W1118" s="10">
        <v>24</v>
      </c>
      <c r="X1118" s="32"/>
      <c r="Y1118" s="33"/>
      <c r="Z1118" s="51"/>
      <c r="AA1118" s="33"/>
      <c r="AB1118" s="34">
        <f t="shared" si="379"/>
        <v>0</v>
      </c>
      <c r="AC1118" s="10"/>
      <c r="AD1118" s="10"/>
      <c r="AE1118" s="10"/>
      <c r="AF1118" s="12">
        <f t="shared" si="372"/>
        <v>0</v>
      </c>
    </row>
    <row r="1119" spans="1:32" x14ac:dyDescent="0.25">
      <c r="A1119" s="10">
        <v>25</v>
      </c>
      <c r="B1119" s="32"/>
      <c r="C1119" s="33"/>
      <c r="D1119" s="51"/>
      <c r="E1119" s="33"/>
      <c r="F1119" s="34">
        <f t="shared" si="377"/>
        <v>0</v>
      </c>
      <c r="G1119" s="10"/>
      <c r="H1119" s="10"/>
      <c r="I1119" s="10"/>
      <c r="J1119" s="12">
        <f t="shared" si="368"/>
        <v>0</v>
      </c>
      <c r="L1119" s="10">
        <v>25</v>
      </c>
      <c r="M1119" s="32">
        <v>45681</v>
      </c>
      <c r="N1119" s="33">
        <f t="shared" si="374"/>
        <v>6762</v>
      </c>
      <c r="O1119" s="51">
        <f>626*3+25.5+674*2</f>
        <v>3251.5</v>
      </c>
      <c r="P1119" s="33"/>
      <c r="Q1119" s="34">
        <f t="shared" si="378"/>
        <v>3251.5</v>
      </c>
      <c r="R1119" s="10"/>
      <c r="S1119" s="10"/>
      <c r="T1119" s="10"/>
      <c r="U1119" s="12">
        <f t="shared" si="370"/>
        <v>3251.5</v>
      </c>
      <c r="W1119" s="10">
        <v>25</v>
      </c>
      <c r="X1119" s="32"/>
      <c r="Z1119" s="51"/>
      <c r="AA1119" s="33"/>
      <c r="AB1119" s="34">
        <f t="shared" si="379"/>
        <v>0</v>
      </c>
      <c r="AC1119" s="10"/>
      <c r="AD1119" s="10"/>
      <c r="AE1119" s="10"/>
      <c r="AF1119" s="12">
        <f t="shared" si="372"/>
        <v>0</v>
      </c>
    </row>
    <row r="1120" spans="1:32" x14ac:dyDescent="0.25">
      <c r="A1120" s="10">
        <v>26</v>
      </c>
      <c r="B1120" s="32"/>
      <c r="C1120" s="33"/>
      <c r="D1120" s="51"/>
      <c r="E1120" s="33"/>
      <c r="F1120" s="34">
        <f t="shared" si="377"/>
        <v>0</v>
      </c>
      <c r="G1120" s="10"/>
      <c r="H1120" s="10"/>
      <c r="I1120" s="10"/>
      <c r="J1120" s="12">
        <f t="shared" si="368"/>
        <v>0</v>
      </c>
      <c r="L1120" s="10">
        <v>26</v>
      </c>
      <c r="M1120" s="32">
        <v>45681</v>
      </c>
      <c r="N1120" s="33">
        <f t="shared" si="374"/>
        <v>6763</v>
      </c>
      <c r="O1120" s="51">
        <f>2504+614+34</f>
        <v>3152</v>
      </c>
      <c r="P1120" s="33"/>
      <c r="Q1120" s="34">
        <f t="shared" si="378"/>
        <v>3152</v>
      </c>
      <c r="R1120" s="10"/>
      <c r="S1120" s="10"/>
      <c r="T1120" s="10"/>
      <c r="U1120" s="12">
        <f t="shared" si="370"/>
        <v>3152</v>
      </c>
      <c r="W1120" s="10">
        <v>26</v>
      </c>
      <c r="X1120" s="32"/>
      <c r="Z1120" s="51"/>
      <c r="AA1120" s="33"/>
      <c r="AB1120" s="34">
        <f t="shared" si="379"/>
        <v>0</v>
      </c>
      <c r="AC1120" s="10"/>
      <c r="AD1120" s="10"/>
      <c r="AE1120" s="10"/>
      <c r="AF1120" s="12">
        <f t="shared" si="372"/>
        <v>0</v>
      </c>
    </row>
    <row r="1121" spans="1:32" x14ac:dyDescent="0.25">
      <c r="A1121" s="10">
        <v>27</v>
      </c>
      <c r="B1121" s="32"/>
      <c r="C1121" s="33"/>
      <c r="D1121" s="51"/>
      <c r="E1121" s="33"/>
      <c r="F1121" s="34">
        <f t="shared" si="377"/>
        <v>0</v>
      </c>
      <c r="G1121" s="10"/>
      <c r="H1121" s="10"/>
      <c r="I1121" s="10"/>
      <c r="J1121" s="12">
        <f t="shared" si="368"/>
        <v>0</v>
      </c>
      <c r="L1121" s="10">
        <v>27</v>
      </c>
      <c r="M1121" s="32"/>
      <c r="N1121" s="11" t="s">
        <v>28</v>
      </c>
      <c r="O1121" s="51"/>
      <c r="P1121" s="33"/>
      <c r="Q1121" s="34">
        <f t="shared" si="378"/>
        <v>0</v>
      </c>
      <c r="R1121" s="10"/>
      <c r="S1121" s="10"/>
      <c r="T1121" s="10"/>
      <c r="U1121" s="12">
        <f t="shared" si="370"/>
        <v>0</v>
      </c>
      <c r="W1121" s="10">
        <v>27</v>
      </c>
      <c r="X1121" s="32"/>
      <c r="Y1121" s="33"/>
      <c r="Z1121" s="51"/>
      <c r="AA1121" s="33"/>
      <c r="AB1121" s="34">
        <f t="shared" si="379"/>
        <v>0</v>
      </c>
      <c r="AC1121" s="10"/>
      <c r="AD1121" s="10"/>
      <c r="AE1121" s="10"/>
      <c r="AF1121" s="12">
        <f t="shared" si="372"/>
        <v>0</v>
      </c>
    </row>
    <row r="1122" spans="1:32" x14ac:dyDescent="0.25">
      <c r="A1122" s="10">
        <v>28</v>
      </c>
      <c r="B1122" s="32"/>
      <c r="D1122" s="51"/>
      <c r="E1122" s="33"/>
      <c r="F1122" s="34">
        <f t="shared" si="377"/>
        <v>0</v>
      </c>
      <c r="G1122" s="10"/>
      <c r="H1122" s="10"/>
      <c r="I1122" s="10"/>
      <c r="J1122" s="12">
        <f t="shared" si="368"/>
        <v>0</v>
      </c>
      <c r="L1122" s="10">
        <v>28</v>
      </c>
      <c r="M1122" s="32"/>
      <c r="N1122" s="33"/>
      <c r="O1122" s="51"/>
      <c r="P1122" s="33"/>
      <c r="Q1122" s="34">
        <f t="shared" si="378"/>
        <v>0</v>
      </c>
      <c r="R1122" s="10"/>
      <c r="S1122" s="10"/>
      <c r="T1122" s="10"/>
      <c r="U1122" s="12">
        <f t="shared" si="370"/>
        <v>0</v>
      </c>
      <c r="W1122" s="10">
        <v>28</v>
      </c>
      <c r="X1122" s="32"/>
      <c r="Z1122" s="51"/>
      <c r="AA1122" s="33"/>
      <c r="AB1122" s="34">
        <f t="shared" si="379"/>
        <v>0</v>
      </c>
      <c r="AC1122" s="10"/>
      <c r="AD1122" s="10"/>
      <c r="AE1122" s="10"/>
      <c r="AF1122" s="12">
        <f t="shared" si="372"/>
        <v>0</v>
      </c>
    </row>
    <row r="1123" spans="1:32" x14ac:dyDescent="0.25">
      <c r="A1123" s="10">
        <v>29</v>
      </c>
      <c r="B1123" s="32"/>
      <c r="C1123"/>
      <c r="D1123" s="51"/>
      <c r="E1123" s="33"/>
      <c r="F1123" s="34">
        <f t="shared" si="377"/>
        <v>0</v>
      </c>
      <c r="G1123" s="10"/>
      <c r="H1123" s="10"/>
      <c r="I1123" s="10"/>
      <c r="J1123" s="12">
        <f t="shared" si="368"/>
        <v>0</v>
      </c>
      <c r="L1123" s="10">
        <v>29</v>
      </c>
      <c r="M1123" s="32"/>
      <c r="O1123" s="51"/>
      <c r="P1123" s="33"/>
      <c r="Q1123" s="34">
        <f t="shared" si="378"/>
        <v>0</v>
      </c>
      <c r="R1123" s="10"/>
      <c r="S1123" s="10"/>
      <c r="T1123" s="10"/>
      <c r="U1123" s="12">
        <f t="shared" si="370"/>
        <v>0</v>
      </c>
      <c r="W1123" s="10">
        <v>29</v>
      </c>
      <c r="X1123" s="32"/>
      <c r="Z1123" s="51"/>
      <c r="AA1123" s="33"/>
      <c r="AB1123" s="34">
        <f t="shared" si="379"/>
        <v>0</v>
      </c>
      <c r="AC1123" s="10"/>
      <c r="AD1123" s="10"/>
      <c r="AE1123" s="10"/>
      <c r="AF1123" s="12">
        <f t="shared" si="372"/>
        <v>0</v>
      </c>
    </row>
    <row r="1124" spans="1:32" x14ac:dyDescent="0.25">
      <c r="A1124" s="10">
        <v>30</v>
      </c>
      <c r="B1124" s="32"/>
      <c r="C1124" s="33"/>
      <c r="D1124" s="51"/>
      <c r="E1124" s="33"/>
      <c r="F1124" s="34">
        <f t="shared" si="377"/>
        <v>0</v>
      </c>
      <c r="G1124" s="10"/>
      <c r="H1124" s="10"/>
      <c r="I1124" s="10"/>
      <c r="J1124" s="12">
        <f t="shared" si="368"/>
        <v>0</v>
      </c>
      <c r="L1124" s="10">
        <v>30</v>
      </c>
      <c r="M1124" s="32"/>
      <c r="N1124" s="33"/>
      <c r="O1124" s="51"/>
      <c r="P1124" s="33"/>
      <c r="Q1124" s="34">
        <f t="shared" si="378"/>
        <v>0</v>
      </c>
      <c r="R1124" s="10"/>
      <c r="S1124" s="10"/>
      <c r="T1124" s="10"/>
      <c r="U1124" s="12">
        <f t="shared" si="370"/>
        <v>0</v>
      </c>
      <c r="W1124" s="10">
        <v>30</v>
      </c>
      <c r="X1124" s="32"/>
      <c r="Y1124" s="33"/>
      <c r="Z1124" s="51"/>
      <c r="AA1124" s="33"/>
      <c r="AB1124" s="34">
        <f t="shared" si="379"/>
        <v>0</v>
      </c>
      <c r="AC1124" s="10"/>
      <c r="AD1124" s="10"/>
      <c r="AE1124" s="10"/>
      <c r="AF1124" s="12">
        <f t="shared" si="372"/>
        <v>0</v>
      </c>
    </row>
    <row r="1125" spans="1:32" x14ac:dyDescent="0.25">
      <c r="A1125" s="10">
        <v>31</v>
      </c>
      <c r="B1125" s="32"/>
      <c r="C1125" s="33"/>
      <c r="D1125" s="51"/>
      <c r="E1125" s="33"/>
      <c r="F1125" s="34">
        <f t="shared" si="377"/>
        <v>0</v>
      </c>
      <c r="G1125" s="10"/>
      <c r="H1125" s="10"/>
      <c r="I1125" s="10"/>
      <c r="J1125" s="12">
        <f t="shared" si="368"/>
        <v>0</v>
      </c>
      <c r="L1125" s="10">
        <v>31</v>
      </c>
      <c r="M1125" s="32"/>
      <c r="O1125" s="51"/>
      <c r="P1125" s="33"/>
      <c r="Q1125" s="34">
        <f t="shared" si="378"/>
        <v>0</v>
      </c>
      <c r="R1125" s="10"/>
      <c r="S1125" s="10"/>
      <c r="T1125" s="10"/>
      <c r="U1125" s="12">
        <f t="shared" si="370"/>
        <v>0</v>
      </c>
      <c r="W1125" s="10">
        <v>31</v>
      </c>
      <c r="X1125" s="32"/>
      <c r="Z1125" s="51"/>
      <c r="AA1125" s="33"/>
      <c r="AB1125" s="34">
        <f t="shared" si="379"/>
        <v>0</v>
      </c>
      <c r="AC1125" s="10"/>
      <c r="AD1125" s="10"/>
      <c r="AE1125" s="10"/>
      <c r="AF1125" s="12">
        <f t="shared" si="372"/>
        <v>0</v>
      </c>
    </row>
    <row r="1126" spans="1:32" x14ac:dyDescent="0.25">
      <c r="A1126" s="10">
        <v>32</v>
      </c>
      <c r="B1126" s="32"/>
      <c r="C1126" s="70"/>
      <c r="D1126" s="51"/>
      <c r="E1126" s="33"/>
      <c r="F1126" s="34">
        <f t="shared" si="377"/>
        <v>0</v>
      </c>
      <c r="G1126" s="10"/>
      <c r="H1126" s="10"/>
      <c r="I1126" s="10"/>
      <c r="J1126" s="12">
        <f t="shared" si="368"/>
        <v>0</v>
      </c>
      <c r="L1126" s="10">
        <v>32</v>
      </c>
      <c r="M1126" s="32"/>
      <c r="N1126" s="33"/>
      <c r="O1126" s="51"/>
      <c r="P1126" s="33"/>
      <c r="Q1126" s="34">
        <f t="shared" si="378"/>
        <v>0</v>
      </c>
      <c r="R1126" s="10"/>
      <c r="S1126" s="10"/>
      <c r="T1126" s="10"/>
      <c r="U1126" s="12">
        <f t="shared" si="370"/>
        <v>0</v>
      </c>
      <c r="W1126" s="10">
        <v>32</v>
      </c>
      <c r="X1126" s="32"/>
      <c r="Y1126" s="33"/>
      <c r="Z1126" s="51"/>
      <c r="AA1126" s="33"/>
      <c r="AB1126" s="34">
        <f t="shared" si="379"/>
        <v>0</v>
      </c>
      <c r="AC1126" s="10"/>
      <c r="AD1126" s="10"/>
      <c r="AE1126" s="10"/>
      <c r="AF1126" s="12">
        <f t="shared" si="372"/>
        <v>0</v>
      </c>
    </row>
    <row r="1127" spans="1:32" x14ac:dyDescent="0.25">
      <c r="A1127" s="10">
        <v>33</v>
      </c>
      <c r="B1127" s="32"/>
      <c r="C1127" s="33"/>
      <c r="D1127" s="51"/>
      <c r="E1127" s="33"/>
      <c r="F1127" s="34">
        <f t="shared" si="377"/>
        <v>0</v>
      </c>
      <c r="G1127" s="10"/>
      <c r="H1127" s="10"/>
      <c r="I1127" s="10"/>
      <c r="J1127" s="12">
        <f t="shared" si="368"/>
        <v>0</v>
      </c>
      <c r="L1127" s="10">
        <v>33</v>
      </c>
      <c r="M1127" s="32"/>
      <c r="N1127" s="33"/>
      <c r="O1127" s="51"/>
      <c r="P1127" s="33"/>
      <c r="Q1127" s="34">
        <f t="shared" si="378"/>
        <v>0</v>
      </c>
      <c r="R1127" s="10"/>
      <c r="S1127" s="10"/>
      <c r="T1127" s="10"/>
      <c r="U1127" s="12">
        <f t="shared" si="370"/>
        <v>0</v>
      </c>
      <c r="W1127" s="10">
        <v>33</v>
      </c>
      <c r="X1127" s="32"/>
      <c r="Y1127" s="33"/>
      <c r="Z1127" s="51"/>
      <c r="AA1127" s="33"/>
      <c r="AB1127" s="34">
        <f t="shared" si="379"/>
        <v>0</v>
      </c>
      <c r="AC1127" s="10"/>
      <c r="AD1127" s="10"/>
      <c r="AE1127" s="10"/>
      <c r="AF1127" s="12">
        <f t="shared" si="372"/>
        <v>0</v>
      </c>
    </row>
    <row r="1128" spans="1:32" x14ac:dyDescent="0.25">
      <c r="A1128" s="10">
        <v>34</v>
      </c>
      <c r="B1128" s="32"/>
      <c r="C1128" s="33"/>
      <c r="D1128" s="51"/>
      <c r="E1128" s="33"/>
      <c r="F1128" s="34">
        <f t="shared" si="377"/>
        <v>0</v>
      </c>
      <c r="G1128" s="10"/>
      <c r="H1128" s="10"/>
      <c r="I1128" s="10"/>
      <c r="J1128" s="12">
        <f t="shared" si="368"/>
        <v>0</v>
      </c>
      <c r="L1128" s="10">
        <v>34</v>
      </c>
      <c r="M1128" s="32"/>
      <c r="N1128" s="33"/>
      <c r="O1128" s="51"/>
      <c r="P1128" s="33"/>
      <c r="Q1128" s="34">
        <f t="shared" si="378"/>
        <v>0</v>
      </c>
      <c r="R1128" s="10"/>
      <c r="S1128" s="10"/>
      <c r="T1128" s="10"/>
      <c r="U1128" s="12">
        <f t="shared" si="370"/>
        <v>0</v>
      </c>
      <c r="W1128" s="10">
        <v>34</v>
      </c>
      <c r="X1128" s="32"/>
      <c r="Y1128" s="33"/>
      <c r="Z1128" s="51"/>
      <c r="AA1128" s="33"/>
      <c r="AB1128" s="34">
        <f t="shared" ref="AB1128:AB1133" si="380">SUM(Z1128:AA1128)</f>
        <v>0</v>
      </c>
      <c r="AC1128" s="10"/>
      <c r="AD1128" s="10"/>
      <c r="AE1128" s="10"/>
      <c r="AF1128" s="12">
        <f t="shared" si="372"/>
        <v>0</v>
      </c>
    </row>
    <row r="1129" spans="1:32" x14ac:dyDescent="0.25">
      <c r="A1129" s="10">
        <v>35</v>
      </c>
      <c r="B1129" s="32"/>
      <c r="C1129" s="33"/>
      <c r="D1129" s="51"/>
      <c r="E1129" s="33"/>
      <c r="F1129" s="34">
        <f t="shared" si="377"/>
        <v>0</v>
      </c>
      <c r="G1129" s="10"/>
      <c r="H1129" s="10"/>
      <c r="I1129" s="10"/>
      <c r="J1129" s="12">
        <f t="shared" si="368"/>
        <v>0</v>
      </c>
      <c r="L1129" s="10">
        <v>35</v>
      </c>
      <c r="M1129" s="32"/>
      <c r="N1129" s="33"/>
      <c r="O1129" s="51"/>
      <c r="P1129" s="33"/>
      <c r="Q1129" s="34">
        <f t="shared" si="378"/>
        <v>0</v>
      </c>
      <c r="R1129" s="10"/>
      <c r="S1129" s="10"/>
      <c r="T1129" s="10"/>
      <c r="U1129" s="12">
        <f t="shared" si="370"/>
        <v>0</v>
      </c>
      <c r="W1129" s="10">
        <v>35</v>
      </c>
      <c r="X1129" s="32"/>
      <c r="Y1129" s="33"/>
      <c r="Z1129" s="51"/>
      <c r="AA1129" s="33"/>
      <c r="AB1129" s="34">
        <f t="shared" si="380"/>
        <v>0</v>
      </c>
      <c r="AC1129" s="10"/>
      <c r="AD1129" s="10"/>
      <c r="AE1129" s="10"/>
      <c r="AF1129" s="12">
        <f t="shared" si="372"/>
        <v>0</v>
      </c>
    </row>
    <row r="1130" spans="1:32" x14ac:dyDescent="0.25">
      <c r="A1130" s="10">
        <v>36</v>
      </c>
      <c r="B1130" s="32"/>
      <c r="C1130" s="33"/>
      <c r="D1130" s="51"/>
      <c r="E1130" s="33"/>
      <c r="F1130" s="34">
        <f t="shared" si="377"/>
        <v>0</v>
      </c>
      <c r="G1130" s="10"/>
      <c r="H1130" s="10"/>
      <c r="I1130" s="10"/>
      <c r="J1130" s="12">
        <f t="shared" si="368"/>
        <v>0</v>
      </c>
      <c r="L1130" s="10">
        <v>36</v>
      </c>
      <c r="M1130" s="32"/>
      <c r="N1130" s="33"/>
      <c r="O1130" s="51"/>
      <c r="P1130" s="33"/>
      <c r="Q1130" s="34">
        <f t="shared" si="378"/>
        <v>0</v>
      </c>
      <c r="R1130" s="10"/>
      <c r="S1130" s="10"/>
      <c r="T1130" s="10"/>
      <c r="U1130" s="12">
        <f t="shared" si="370"/>
        <v>0</v>
      </c>
      <c r="W1130" s="10">
        <v>36</v>
      </c>
      <c r="X1130" s="32"/>
      <c r="Y1130" s="33"/>
      <c r="Z1130" s="51"/>
      <c r="AA1130" s="33"/>
      <c r="AB1130" s="34">
        <f t="shared" si="380"/>
        <v>0</v>
      </c>
      <c r="AC1130" s="10"/>
      <c r="AD1130" s="10"/>
      <c r="AE1130" s="10"/>
      <c r="AF1130" s="12">
        <f t="shared" si="372"/>
        <v>0</v>
      </c>
    </row>
    <row r="1131" spans="1:32" x14ac:dyDescent="0.25">
      <c r="A1131" s="10">
        <v>37</v>
      </c>
      <c r="B1131" s="32"/>
      <c r="C1131" s="33"/>
      <c r="D1131" s="51"/>
      <c r="E1131" s="33"/>
      <c r="F1131" s="34">
        <f t="shared" si="377"/>
        <v>0</v>
      </c>
      <c r="G1131" s="10"/>
      <c r="H1131" s="10"/>
      <c r="I1131" s="10"/>
      <c r="J1131" s="12">
        <f t="shared" si="368"/>
        <v>0</v>
      </c>
      <c r="L1131" s="10">
        <v>37</v>
      </c>
      <c r="M1131" s="32"/>
      <c r="O1131" s="51"/>
      <c r="P1131" s="33"/>
      <c r="Q1131" s="34">
        <f t="shared" si="378"/>
        <v>0</v>
      </c>
      <c r="R1131" s="10"/>
      <c r="S1131" s="10"/>
      <c r="T1131" s="10"/>
      <c r="U1131" s="12">
        <f t="shared" si="370"/>
        <v>0</v>
      </c>
      <c r="W1131" s="10">
        <v>37</v>
      </c>
      <c r="X1131" s="32"/>
      <c r="Y1131" s="33"/>
      <c r="Z1131" s="51"/>
      <c r="AA1131" s="33"/>
      <c r="AB1131" s="34">
        <f t="shared" si="380"/>
        <v>0</v>
      </c>
      <c r="AC1131" s="10"/>
      <c r="AD1131" s="10"/>
      <c r="AE1131" s="10"/>
      <c r="AF1131" s="12">
        <f t="shared" si="372"/>
        <v>0</v>
      </c>
    </row>
    <row r="1132" spans="1:32" x14ac:dyDescent="0.25">
      <c r="A1132" s="10">
        <v>38</v>
      </c>
      <c r="B1132" s="32"/>
      <c r="C1132" s="33"/>
      <c r="D1132" s="51"/>
      <c r="E1132" s="33"/>
      <c r="F1132" s="34">
        <f t="shared" si="377"/>
        <v>0</v>
      </c>
      <c r="G1132" s="10"/>
      <c r="H1132" s="10"/>
      <c r="I1132" s="10"/>
      <c r="J1132" s="12">
        <f t="shared" si="368"/>
        <v>0</v>
      </c>
      <c r="L1132" s="10">
        <v>38</v>
      </c>
      <c r="M1132" s="32"/>
      <c r="N1132" s="33"/>
      <c r="O1132" s="51"/>
      <c r="P1132" s="33"/>
      <c r="Q1132" s="34">
        <f t="shared" si="378"/>
        <v>0</v>
      </c>
      <c r="R1132" s="10"/>
      <c r="S1132" s="10"/>
      <c r="T1132" s="10"/>
      <c r="U1132" s="12">
        <f t="shared" si="370"/>
        <v>0</v>
      </c>
      <c r="W1132" s="10">
        <v>38</v>
      </c>
      <c r="X1132" s="32"/>
      <c r="Y1132" s="33"/>
      <c r="Z1132" s="51"/>
      <c r="AA1132" s="33"/>
      <c r="AB1132" s="34">
        <f t="shared" si="380"/>
        <v>0</v>
      </c>
      <c r="AC1132" s="10"/>
      <c r="AD1132" s="10"/>
      <c r="AE1132" s="10"/>
      <c r="AF1132" s="12">
        <f t="shared" si="372"/>
        <v>0</v>
      </c>
    </row>
    <row r="1133" spans="1:32" x14ac:dyDescent="0.25">
      <c r="A1133" s="10">
        <v>39</v>
      </c>
      <c r="B1133" s="32"/>
      <c r="C1133" s="33"/>
      <c r="D1133" s="51"/>
      <c r="E1133" s="33"/>
      <c r="F1133" s="34">
        <f t="shared" si="377"/>
        <v>0</v>
      </c>
      <c r="G1133" s="10"/>
      <c r="H1133" s="10"/>
      <c r="I1133" s="10"/>
      <c r="J1133" s="12">
        <f t="shared" si="368"/>
        <v>0</v>
      </c>
      <c r="L1133" s="10">
        <v>39</v>
      </c>
      <c r="M1133" s="32"/>
      <c r="N1133" s="33"/>
      <c r="O1133" s="51"/>
      <c r="P1133" s="33"/>
      <c r="Q1133" s="34">
        <f t="shared" si="378"/>
        <v>0</v>
      </c>
      <c r="R1133" s="10"/>
      <c r="S1133" s="10"/>
      <c r="T1133" s="10"/>
      <c r="U1133" s="12">
        <f t="shared" si="370"/>
        <v>0</v>
      </c>
      <c r="W1133" s="10">
        <v>39</v>
      </c>
      <c r="X1133" s="32"/>
      <c r="Y1133" s="33"/>
      <c r="Z1133" s="51"/>
      <c r="AA1133" s="33"/>
      <c r="AB1133" s="34">
        <f t="shared" si="380"/>
        <v>0</v>
      </c>
      <c r="AC1133" s="10"/>
      <c r="AD1133" s="10"/>
      <c r="AE1133" s="10"/>
      <c r="AF1133" s="12">
        <f t="shared" si="372"/>
        <v>0</v>
      </c>
    </row>
    <row r="1134" spans="1:32" x14ac:dyDescent="0.25">
      <c r="A1134" s="10"/>
      <c r="B1134" s="32"/>
      <c r="C1134"/>
      <c r="D1134" s="51"/>
      <c r="E1134" s="33"/>
      <c r="F1134" s="34"/>
      <c r="G1134" s="10"/>
      <c r="H1134" s="10"/>
      <c r="I1134" s="10"/>
      <c r="J1134" s="12">
        <f t="shared" si="368"/>
        <v>0</v>
      </c>
      <c r="L1134" s="10"/>
      <c r="M1134" s="32"/>
      <c r="O1134" s="51"/>
      <c r="P1134" s="33"/>
      <c r="Q1134" s="34"/>
      <c r="R1134" s="10"/>
      <c r="S1134" s="10"/>
      <c r="T1134" s="10"/>
      <c r="U1134" s="12">
        <f t="shared" si="370"/>
        <v>0</v>
      </c>
      <c r="W1134" s="10"/>
      <c r="X1134" s="32"/>
      <c r="Z1134" s="51"/>
      <c r="AA1134" s="33"/>
      <c r="AB1134" s="34"/>
      <c r="AC1134" s="10"/>
      <c r="AD1134" s="10"/>
      <c r="AE1134" s="10"/>
      <c r="AF1134" s="12">
        <f t="shared" si="372"/>
        <v>0</v>
      </c>
    </row>
    <row r="1135" spans="1:32" x14ac:dyDescent="0.25">
      <c r="A1135" s="10"/>
      <c r="B1135" s="32"/>
      <c r="C1135" s="33"/>
      <c r="D1135" s="51"/>
      <c r="E1135" s="33"/>
      <c r="F1135" s="34">
        <f t="shared" ref="F1135" si="381">SUM(D1135:E1135)</f>
        <v>0</v>
      </c>
      <c r="G1135" s="10"/>
      <c r="H1135" s="10"/>
      <c r="I1135" s="10"/>
      <c r="J1135" s="12">
        <f t="shared" si="368"/>
        <v>0</v>
      </c>
      <c r="L1135" s="10"/>
      <c r="M1135" s="32"/>
      <c r="N1135" s="33"/>
      <c r="O1135" s="51"/>
      <c r="P1135" s="33"/>
      <c r="Q1135" s="34">
        <f t="shared" ref="Q1135" si="382">SUM(O1135:P1135)</f>
        <v>0</v>
      </c>
      <c r="R1135" s="10"/>
      <c r="S1135" s="10"/>
      <c r="T1135" s="10"/>
      <c r="U1135" s="12">
        <f t="shared" si="370"/>
        <v>0</v>
      </c>
      <c r="W1135" s="10"/>
      <c r="X1135" s="32"/>
      <c r="Y1135" s="33"/>
      <c r="Z1135" s="51"/>
      <c r="AA1135" s="33"/>
      <c r="AB1135" s="34">
        <f t="shared" ref="AB1135" si="383">SUM(Z1135:AA1135)</f>
        <v>0</v>
      </c>
      <c r="AC1135" s="10"/>
      <c r="AD1135" s="10"/>
      <c r="AE1135" s="10"/>
      <c r="AF1135" s="12">
        <f t="shared" si="372"/>
        <v>0</v>
      </c>
    </row>
    <row r="1136" spans="1:32" x14ac:dyDescent="0.25">
      <c r="A1136" s="10"/>
      <c r="B1136" s="33"/>
      <c r="C1136" s="33"/>
      <c r="D1136" s="33"/>
      <c r="E1136" s="33"/>
      <c r="F1136" s="33"/>
      <c r="G1136" s="10"/>
      <c r="H1136" s="10"/>
      <c r="I1136" s="10"/>
      <c r="J1136" s="12">
        <f t="shared" si="368"/>
        <v>0</v>
      </c>
      <c r="L1136" s="10"/>
      <c r="M1136" s="33"/>
      <c r="N1136" s="33"/>
      <c r="O1136" s="33"/>
      <c r="P1136" s="33"/>
      <c r="Q1136" s="33"/>
      <c r="R1136" s="10"/>
      <c r="S1136" s="10"/>
      <c r="T1136" s="10"/>
      <c r="U1136" s="12">
        <f t="shared" si="370"/>
        <v>0</v>
      </c>
      <c r="W1136" s="10"/>
      <c r="X1136" s="33"/>
      <c r="Y1136" s="33"/>
      <c r="Z1136" s="33"/>
      <c r="AA1136" s="33"/>
      <c r="AB1136" s="33"/>
      <c r="AC1136" s="10"/>
      <c r="AD1136" s="10"/>
      <c r="AE1136" s="10"/>
      <c r="AF1136" s="12">
        <f t="shared" si="372"/>
        <v>0</v>
      </c>
    </row>
    <row r="1137" spans="1:32" x14ac:dyDescent="0.25">
      <c r="B1137" s="70"/>
      <c r="C1137" s="70"/>
      <c r="D1137" s="38"/>
      <c r="E1137" s="38"/>
      <c r="F1137" s="38"/>
      <c r="G1137" s="39"/>
      <c r="H1137" s="39"/>
      <c r="I1137" s="39"/>
      <c r="J1137" s="39"/>
      <c r="M1137" s="70"/>
      <c r="N1137" s="70"/>
      <c r="O1137" s="38"/>
      <c r="P1137" s="38"/>
      <c r="Q1137" s="38"/>
      <c r="R1137" s="39"/>
      <c r="S1137" s="39"/>
      <c r="T1137" s="39"/>
      <c r="U1137" s="39"/>
      <c r="X1137" s="70"/>
      <c r="Y1137" s="70"/>
      <c r="Z1137" s="38"/>
      <c r="AA1137" s="38"/>
      <c r="AB1137" s="38"/>
      <c r="AC1137" s="39"/>
      <c r="AD1137" s="39"/>
      <c r="AE1137" s="39"/>
      <c r="AF1137" s="39"/>
    </row>
    <row r="1138" spans="1:32" x14ac:dyDescent="0.25">
      <c r="B1138" s="70"/>
      <c r="C1138" s="70"/>
      <c r="D1138" s="40">
        <f>SUM(D1095:D1137)</f>
        <v>207905</v>
      </c>
      <c r="E1138" s="40">
        <f>SUM(E1095:E1119)</f>
        <v>-1872</v>
      </c>
      <c r="F1138" s="40">
        <f>SUM(F1095:F1137)</f>
        <v>206033</v>
      </c>
      <c r="G1138" s="4"/>
      <c r="H1138" s="43">
        <f>SUM(H1095:H1137)</f>
        <v>399</v>
      </c>
      <c r="I1138" s="43">
        <f>SUM(I1095:I1119)</f>
        <v>-957</v>
      </c>
      <c r="J1138" s="44">
        <f>SUM(J1095:J1137)</f>
        <v>205475</v>
      </c>
      <c r="M1138" s="70"/>
      <c r="N1138" s="70"/>
      <c r="O1138" s="40">
        <f>SUM(O1095:O1137)</f>
        <v>208144</v>
      </c>
      <c r="P1138" s="40">
        <f>SUM(P1095:P1119)</f>
        <v>-2016</v>
      </c>
      <c r="Q1138" s="40">
        <f>SUM(Q1095:Q1137)</f>
        <v>206128</v>
      </c>
      <c r="R1138" s="4"/>
      <c r="S1138" s="43">
        <f>SUM(S1095:S1137)</f>
        <v>307.5</v>
      </c>
      <c r="T1138" s="43">
        <f>SUM(T1095:T1119)</f>
        <v>-3324</v>
      </c>
      <c r="U1138" s="44">
        <f>SUM(U1095:U1137)</f>
        <v>203111.5</v>
      </c>
      <c r="X1138" s="70"/>
      <c r="Y1138" s="70"/>
      <c r="Z1138" s="40">
        <f>SUM(Z1095:Z1137)</f>
        <v>324961.5</v>
      </c>
      <c r="AA1138" s="40">
        <f>SUM(AA1095:AA1119)</f>
        <v>-4056</v>
      </c>
      <c r="AB1138" s="40">
        <f>SUM(AB1095:AB1137)</f>
        <v>320905.5</v>
      </c>
      <c r="AC1138" s="4"/>
      <c r="AD1138" s="43">
        <f>SUM(AD1095:AD1137)</f>
        <v>10343.25</v>
      </c>
      <c r="AE1138" s="43">
        <f>SUM(AE1095:AE1119)</f>
        <v>-1221</v>
      </c>
      <c r="AF1138" s="44">
        <f>SUM(AF1095:AF1137)</f>
        <v>330027.75</v>
      </c>
    </row>
    <row r="1139" spans="1:32" x14ac:dyDescent="0.25">
      <c r="B1139" s="70"/>
      <c r="C1139" s="70"/>
      <c r="D1139" s="45"/>
      <c r="E1139" s="70"/>
      <c r="F1139" s="70"/>
      <c r="M1139" s="70"/>
      <c r="N1139" s="70"/>
      <c r="O1139" s="45"/>
      <c r="P1139" s="70"/>
      <c r="Q1139" s="70"/>
      <c r="X1139" s="70"/>
      <c r="Y1139" s="70"/>
      <c r="Z1139" s="45"/>
      <c r="AA1139" s="70"/>
      <c r="AB1139" s="70"/>
    </row>
    <row r="1140" spans="1:32" x14ac:dyDescent="0.25">
      <c r="B1140" s="70"/>
      <c r="C1140" s="70"/>
      <c r="D1140" s="70"/>
      <c r="E1140" s="70"/>
      <c r="F1140" s="70"/>
      <c r="M1140" s="70"/>
      <c r="N1140" s="70"/>
      <c r="O1140" s="70"/>
      <c r="P1140" s="70"/>
      <c r="Q1140" s="70"/>
      <c r="X1140" s="70"/>
      <c r="Y1140" s="70"/>
      <c r="Z1140" s="70"/>
      <c r="AA1140" s="70"/>
      <c r="AB1140" s="70"/>
    </row>
    <row r="1141" spans="1:32" x14ac:dyDescent="0.25">
      <c r="A1141" s="18"/>
      <c r="B1141" s="18"/>
      <c r="C1141" s="18"/>
      <c r="D1141" s="18"/>
      <c r="E1141" s="18"/>
      <c r="F1141" s="18"/>
      <c r="G1141" s="18"/>
      <c r="H1141" s="18"/>
      <c r="I1141" s="18"/>
      <c r="J1141" s="18"/>
      <c r="L1141" s="18"/>
      <c r="M1141" s="18"/>
      <c r="N1141" s="18"/>
      <c r="O1141" s="18"/>
      <c r="P1141" s="18"/>
      <c r="Q1141" s="18"/>
      <c r="R1141" s="18"/>
      <c r="S1141" s="18"/>
      <c r="T1141" s="18"/>
      <c r="U1141" s="18"/>
      <c r="W1141" s="18"/>
      <c r="X1141" s="18"/>
      <c r="Y1141" s="18"/>
      <c r="Z1141" s="18"/>
      <c r="AA1141" s="18"/>
      <c r="AB1141" s="18"/>
      <c r="AC1141" s="18"/>
      <c r="AD1141" s="18"/>
      <c r="AE1141" s="18"/>
      <c r="AF1141" s="18"/>
    </row>
    <row r="1142" spans="1:32" x14ac:dyDescent="0.25">
      <c r="A1142" t="s">
        <v>0</v>
      </c>
      <c r="B1142" s="70"/>
      <c r="C1142" s="70"/>
      <c r="D1142" s="70"/>
      <c r="E1142" s="70"/>
      <c r="F1142" s="70"/>
      <c r="L1142" t="s">
        <v>0</v>
      </c>
      <c r="M1142" s="70"/>
      <c r="N1142" s="70"/>
      <c r="O1142" s="70"/>
      <c r="P1142" s="70"/>
      <c r="Q1142" s="70"/>
      <c r="W1142" t="s">
        <v>0</v>
      </c>
      <c r="X1142" s="70"/>
      <c r="Y1142" s="70"/>
      <c r="Z1142" s="70"/>
      <c r="AA1142" s="70"/>
      <c r="AB1142" s="70"/>
    </row>
    <row r="1143" spans="1:32" x14ac:dyDescent="0.25">
      <c r="A1143" t="s">
        <v>30</v>
      </c>
      <c r="B1143" s="70"/>
      <c r="C1143" s="70"/>
      <c r="D1143" s="70"/>
      <c r="E1143" s="70"/>
      <c r="F1143" s="70"/>
      <c r="L1143" t="s">
        <v>30</v>
      </c>
      <c r="M1143" s="70"/>
      <c r="N1143" s="70"/>
      <c r="O1143" s="70"/>
      <c r="P1143" s="70"/>
      <c r="Q1143" s="70"/>
      <c r="W1143" t="s">
        <v>30</v>
      </c>
      <c r="X1143" s="70"/>
      <c r="Y1143" s="70"/>
      <c r="Z1143" s="70"/>
      <c r="AA1143" s="70"/>
      <c r="AB1143" s="70"/>
    </row>
    <row r="1144" spans="1:32" x14ac:dyDescent="0.25">
      <c r="B1144" s="70"/>
      <c r="C1144" s="70"/>
      <c r="D1144" s="70"/>
      <c r="E1144" s="70"/>
      <c r="F1144" s="70"/>
      <c r="M1144" s="70"/>
      <c r="N1144" s="70"/>
      <c r="O1144" s="70"/>
      <c r="P1144" s="70"/>
      <c r="Q1144" s="70"/>
      <c r="X1144" s="70"/>
      <c r="Y1144" s="70"/>
      <c r="Z1144" s="70"/>
      <c r="AA1144" s="70"/>
      <c r="AB1144" s="70"/>
    </row>
    <row r="1145" spans="1:32" x14ac:dyDescent="0.25">
      <c r="A1145" s="4" t="s">
        <v>15</v>
      </c>
      <c r="B1145" s="70"/>
      <c r="C1145" s="70"/>
      <c r="D1145" s="70"/>
      <c r="E1145" s="70"/>
      <c r="F1145" s="70"/>
      <c r="L1145" s="4" t="s">
        <v>15</v>
      </c>
      <c r="M1145" s="70"/>
      <c r="N1145" s="70"/>
      <c r="O1145" s="70"/>
      <c r="P1145" s="70"/>
      <c r="Q1145" s="70"/>
      <c r="W1145" s="4" t="s">
        <v>15</v>
      </c>
      <c r="X1145" s="70"/>
      <c r="Y1145" s="70"/>
      <c r="Z1145" s="70"/>
      <c r="AA1145" s="70"/>
      <c r="AB1145" s="70"/>
    </row>
    <row r="1146" spans="1:32" x14ac:dyDescent="0.25">
      <c r="B1146" s="70"/>
      <c r="C1146" s="70"/>
      <c r="D1146" s="70"/>
      <c r="E1146" s="70"/>
      <c r="F1146" s="70"/>
      <c r="M1146" s="70"/>
      <c r="N1146" s="70"/>
      <c r="O1146" s="70"/>
      <c r="P1146" s="70"/>
      <c r="Q1146" s="70"/>
      <c r="X1146" s="70"/>
      <c r="Y1146" s="70"/>
      <c r="Z1146" s="70"/>
      <c r="AA1146" s="70"/>
      <c r="AB1146" s="70"/>
    </row>
    <row r="1147" spans="1:32" ht="15.75" x14ac:dyDescent="0.25">
      <c r="A1147" t="s">
        <v>39</v>
      </c>
      <c r="B1147" s="70"/>
      <c r="C1147" s="70"/>
      <c r="D1147" s="70"/>
      <c r="E1147" s="70"/>
      <c r="F1147" s="70"/>
      <c r="H1147" s="70" t="s">
        <v>16</v>
      </c>
      <c r="I1147" s="19">
        <v>1</v>
      </c>
      <c r="L1147" t="s">
        <v>39</v>
      </c>
      <c r="M1147" s="70"/>
      <c r="N1147" s="70"/>
      <c r="O1147" s="70"/>
      <c r="P1147" s="70"/>
      <c r="Q1147" s="70"/>
      <c r="S1147" s="70" t="s">
        <v>16</v>
      </c>
      <c r="T1147" s="19">
        <v>2</v>
      </c>
      <c r="W1147" t="s">
        <v>39</v>
      </c>
      <c r="X1147" s="70"/>
      <c r="Y1147" s="70"/>
      <c r="Z1147" s="70"/>
      <c r="AA1147" s="70"/>
      <c r="AB1147" s="70"/>
      <c r="AD1147" s="70" t="s">
        <v>16</v>
      </c>
      <c r="AE1147" s="20">
        <v>3</v>
      </c>
    </row>
    <row r="1148" spans="1:32" x14ac:dyDescent="0.25">
      <c r="A1148" s="21" t="s">
        <v>88</v>
      </c>
      <c r="B1148" s="20"/>
      <c r="C1148" s="70"/>
      <c r="D1148" s="70"/>
      <c r="E1148" s="70"/>
      <c r="F1148" s="70"/>
      <c r="H1148" s="22" t="s">
        <v>17</v>
      </c>
      <c r="I1148" s="23" t="s">
        <v>43</v>
      </c>
      <c r="J1148" s="24"/>
      <c r="L1148" s="21" t="s">
        <v>88</v>
      </c>
      <c r="M1148" s="20"/>
      <c r="N1148" s="70"/>
      <c r="O1148" s="70"/>
      <c r="P1148" s="70"/>
      <c r="Q1148" s="70"/>
      <c r="S1148" s="22" t="s">
        <v>17</v>
      </c>
      <c r="T1148" s="23" t="s">
        <v>34</v>
      </c>
      <c r="U1148" s="24"/>
      <c r="W1148" s="21" t="s">
        <v>88</v>
      </c>
      <c r="X1148" s="20"/>
      <c r="Y1148" s="70"/>
      <c r="Z1148" s="70"/>
      <c r="AA1148" s="70"/>
      <c r="AB1148" s="70"/>
      <c r="AD1148" s="22" t="s">
        <v>17</v>
      </c>
      <c r="AE1148" s="23" t="s">
        <v>44</v>
      </c>
      <c r="AF1148" s="24"/>
    </row>
    <row r="1149" spans="1:32" x14ac:dyDescent="0.25">
      <c r="B1149" s="70"/>
      <c r="C1149" s="70"/>
      <c r="D1149" s="70"/>
      <c r="E1149" s="70"/>
      <c r="F1149" s="70"/>
      <c r="M1149" s="70"/>
      <c r="N1149" s="70"/>
      <c r="O1149" s="70"/>
      <c r="P1149" s="70"/>
      <c r="Q1149" s="70"/>
      <c r="X1149" s="70"/>
      <c r="Y1149" s="70"/>
      <c r="Z1149" s="70"/>
      <c r="AA1149" s="70"/>
      <c r="AB1149" s="70"/>
    </row>
    <row r="1150" spans="1:32" x14ac:dyDescent="0.25">
      <c r="B1150" s="25"/>
      <c r="C1150" s="26"/>
      <c r="D1150" s="79" t="s">
        <v>18</v>
      </c>
      <c r="E1150" s="79"/>
      <c r="F1150" s="27"/>
      <c r="H1150" s="77" t="s">
        <v>19</v>
      </c>
      <c r="I1150" s="78"/>
      <c r="J1150" s="75" t="s">
        <v>20</v>
      </c>
      <c r="M1150" s="25"/>
      <c r="N1150" s="26"/>
      <c r="O1150" s="79" t="s">
        <v>18</v>
      </c>
      <c r="P1150" s="79"/>
      <c r="Q1150" s="27"/>
      <c r="S1150" s="77" t="s">
        <v>19</v>
      </c>
      <c r="T1150" s="78"/>
      <c r="U1150" s="75" t="s">
        <v>20</v>
      </c>
      <c r="X1150" s="25"/>
      <c r="Y1150" s="26"/>
      <c r="Z1150" s="79" t="s">
        <v>18</v>
      </c>
      <c r="AA1150" s="79"/>
      <c r="AB1150" s="27"/>
      <c r="AD1150" s="77" t="s">
        <v>19</v>
      </c>
      <c r="AE1150" s="78"/>
      <c r="AF1150" s="75" t="s">
        <v>20</v>
      </c>
    </row>
    <row r="1151" spans="1:32" ht="30" x14ac:dyDescent="0.25">
      <c r="B1151" s="28" t="s">
        <v>21</v>
      </c>
      <c r="C1151" s="28" t="s">
        <v>22</v>
      </c>
      <c r="D1151" s="29" t="s">
        <v>23</v>
      </c>
      <c r="E1151" s="30" t="s">
        <v>24</v>
      </c>
      <c r="F1151" s="30" t="s">
        <v>25</v>
      </c>
      <c r="H1151" s="31" t="s">
        <v>26</v>
      </c>
      <c r="I1151" s="31" t="s">
        <v>27</v>
      </c>
      <c r="J1151" s="76"/>
      <c r="M1151" s="28" t="s">
        <v>21</v>
      </c>
      <c r="N1151" s="28" t="s">
        <v>22</v>
      </c>
      <c r="O1151" s="29" t="s">
        <v>23</v>
      </c>
      <c r="P1151" s="30" t="s">
        <v>24</v>
      </c>
      <c r="Q1151" s="30" t="s">
        <v>25</v>
      </c>
      <c r="S1151" s="31" t="s">
        <v>26</v>
      </c>
      <c r="T1151" s="31" t="s">
        <v>27</v>
      </c>
      <c r="U1151" s="76"/>
      <c r="X1151" s="28" t="s">
        <v>21</v>
      </c>
      <c r="Y1151" s="28" t="s">
        <v>22</v>
      </c>
      <c r="Z1151" s="29" t="s">
        <v>23</v>
      </c>
      <c r="AA1151" s="30" t="s">
        <v>24</v>
      </c>
      <c r="AB1151" s="30" t="s">
        <v>25</v>
      </c>
      <c r="AD1151" s="31" t="s">
        <v>26</v>
      </c>
      <c r="AE1151" s="31" t="s">
        <v>27</v>
      </c>
      <c r="AF1151" s="76"/>
    </row>
    <row r="1152" spans="1:32" x14ac:dyDescent="0.25">
      <c r="A1152" s="10">
        <v>1</v>
      </c>
      <c r="B1152" s="32">
        <v>45682</v>
      </c>
      <c r="C1152" s="33">
        <v>7951</v>
      </c>
      <c r="D1152" s="34">
        <f>1878+1192+42.5+674</f>
        <v>3786.5</v>
      </c>
      <c r="E1152" s="34"/>
      <c r="F1152" s="34">
        <f>SUM(D1152:E1152)</f>
        <v>3786.5</v>
      </c>
      <c r="G1152" s="12"/>
      <c r="H1152" s="12"/>
      <c r="I1152" s="12"/>
      <c r="J1152" s="12">
        <f>SUM(F1152:I1152)</f>
        <v>3786.5</v>
      </c>
      <c r="L1152" s="10">
        <v>1</v>
      </c>
      <c r="M1152" s="32">
        <v>45682</v>
      </c>
      <c r="N1152" s="33">
        <v>7914</v>
      </c>
      <c r="O1152" s="34">
        <f>626+614+596+17</f>
        <v>1853</v>
      </c>
      <c r="P1152" s="34"/>
      <c r="Q1152" s="34">
        <f>SUM(O1152:P1152)</f>
        <v>1853</v>
      </c>
      <c r="R1152" s="12"/>
      <c r="S1152" s="12"/>
      <c r="T1152" s="12"/>
      <c r="U1152" s="12">
        <f>SUM(Q1152:T1152)</f>
        <v>1853</v>
      </c>
      <c r="W1152" s="10">
        <v>1</v>
      </c>
      <c r="X1152" s="32">
        <v>45682</v>
      </c>
      <c r="Y1152" s="33">
        <v>7545</v>
      </c>
      <c r="Z1152" s="34">
        <f>626*20+596*5+205</f>
        <v>15705</v>
      </c>
      <c r="AA1152" s="34"/>
      <c r="AB1152" s="34">
        <f>SUM(Z1152:AA1152)</f>
        <v>15705</v>
      </c>
      <c r="AC1152" s="12"/>
      <c r="AD1152" s="12"/>
      <c r="AE1152" s="12"/>
      <c r="AF1152" s="12">
        <f>SUM(AB1152:AE1152)</f>
        <v>15705</v>
      </c>
    </row>
    <row r="1153" spans="1:32" x14ac:dyDescent="0.25">
      <c r="A1153" s="10">
        <v>2</v>
      </c>
      <c r="B1153" s="32">
        <v>45682</v>
      </c>
      <c r="C1153" s="33">
        <f>C1152+1</f>
        <v>7952</v>
      </c>
      <c r="D1153">
        <f>1252+17</f>
        <v>1269</v>
      </c>
      <c r="E1153" s="34"/>
      <c r="F1153" s="34">
        <f t="shared" ref="F1153:F1156" si="384">SUM(D1153:E1153)</f>
        <v>1269</v>
      </c>
      <c r="G1153" s="12"/>
      <c r="H1153" s="12"/>
      <c r="I1153" s="12"/>
      <c r="J1153" s="12">
        <f t="shared" ref="J1153:J1193" si="385">SUM(F1153:I1153)</f>
        <v>1269</v>
      </c>
      <c r="L1153" s="10">
        <v>2</v>
      </c>
      <c r="M1153" s="32">
        <v>45682</v>
      </c>
      <c r="N1153" s="33">
        <f>N1152+1</f>
        <v>7915</v>
      </c>
      <c r="O1153">
        <f>1252+205+500</f>
        <v>1957</v>
      </c>
      <c r="P1153" s="34"/>
      <c r="Q1153" s="34">
        <f t="shared" ref="Q1153:Q1156" si="386">SUM(O1153:P1153)</f>
        <v>1957</v>
      </c>
      <c r="R1153" s="12"/>
      <c r="S1153" s="12">
        <v>27</v>
      </c>
      <c r="T1153" s="12"/>
      <c r="U1153" s="12">
        <f t="shared" ref="U1153:U1193" si="387">SUM(Q1153:T1153)</f>
        <v>1984</v>
      </c>
      <c r="W1153" s="10">
        <v>2</v>
      </c>
      <c r="X1153" s="32">
        <v>45682</v>
      </c>
      <c r="Y1153" s="33">
        <f>Y1152+1</f>
        <v>7546</v>
      </c>
      <c r="Z1153" s="34">
        <f>1878+2384+59.5</f>
        <v>4321.5</v>
      </c>
      <c r="AA1153" s="34"/>
      <c r="AB1153" s="34">
        <f t="shared" ref="AB1153:AB1155" si="388">SUM(Z1153:AA1153)</f>
        <v>4321.5</v>
      </c>
      <c r="AC1153" s="12"/>
      <c r="AD1153" s="12">
        <v>162</v>
      </c>
      <c r="AE1153" s="12"/>
      <c r="AF1153" s="12">
        <f t="shared" ref="AF1153:AF1193" si="389">SUM(AB1153:AE1153)</f>
        <v>4483.5</v>
      </c>
    </row>
    <row r="1154" spans="1:32" x14ac:dyDescent="0.25">
      <c r="A1154" s="10">
        <v>3</v>
      </c>
      <c r="B1154" s="32">
        <v>45682</v>
      </c>
      <c r="C1154" s="33">
        <f t="shared" ref="C1154:C1169" si="390">C1153+1</f>
        <v>7953</v>
      </c>
      <c r="D1154" s="34">
        <f>626*12+102</f>
        <v>7614</v>
      </c>
      <c r="E1154" s="34"/>
      <c r="F1154" s="34">
        <f t="shared" si="384"/>
        <v>7614</v>
      </c>
      <c r="G1154" s="12"/>
      <c r="H1154" s="12"/>
      <c r="I1154" s="12"/>
      <c r="J1154" s="12">
        <f t="shared" si="385"/>
        <v>7614</v>
      </c>
      <c r="L1154" s="10">
        <v>3</v>
      </c>
      <c r="M1154" s="32">
        <v>45682</v>
      </c>
      <c r="N1154" s="33">
        <f t="shared" ref="N1154:N1175" si="391">N1153+1</f>
        <v>7916</v>
      </c>
      <c r="O1154" s="34">
        <f>6140+3328</f>
        <v>9468</v>
      </c>
      <c r="P1154" s="34"/>
      <c r="Q1154" s="34">
        <f t="shared" si="386"/>
        <v>9468</v>
      </c>
      <c r="R1154" s="12"/>
      <c r="S1154" s="12">
        <v>240</v>
      </c>
      <c r="T1154" s="12"/>
      <c r="U1154" s="12">
        <f t="shared" si="387"/>
        <v>9708</v>
      </c>
      <c r="W1154" s="10">
        <v>3</v>
      </c>
      <c r="X1154" s="32">
        <v>45682</v>
      </c>
      <c r="Y1154" s="33">
        <f t="shared" ref="Y1154:Y1172" si="392">Y1153+1</f>
        <v>7547</v>
      </c>
      <c r="Z1154" s="34">
        <f>626+8.5</f>
        <v>634.5</v>
      </c>
      <c r="AA1154" s="34"/>
      <c r="AB1154" s="34">
        <f t="shared" si="388"/>
        <v>634.5</v>
      </c>
      <c r="AC1154" s="12"/>
      <c r="AD1154" s="12">
        <v>1.5</v>
      </c>
      <c r="AE1154" s="12"/>
      <c r="AF1154" s="12">
        <f t="shared" si="389"/>
        <v>636</v>
      </c>
    </row>
    <row r="1155" spans="1:32" x14ac:dyDescent="0.25">
      <c r="A1155" s="10">
        <v>4</v>
      </c>
      <c r="B1155" s="32">
        <v>45682</v>
      </c>
      <c r="C1155" s="33">
        <f t="shared" si="390"/>
        <v>7954</v>
      </c>
      <c r="D1155" s="34">
        <f>626*10+85</f>
        <v>6345</v>
      </c>
      <c r="E1155" s="34"/>
      <c r="F1155" s="34">
        <f t="shared" si="384"/>
        <v>6345</v>
      </c>
      <c r="G1155" s="12"/>
      <c r="H1155" s="12"/>
      <c r="I1155" s="12"/>
      <c r="J1155" s="12">
        <f t="shared" si="385"/>
        <v>6345</v>
      </c>
      <c r="L1155" s="10">
        <v>4</v>
      </c>
      <c r="M1155" s="32">
        <v>45682</v>
      </c>
      <c r="N1155" s="33">
        <f t="shared" si="391"/>
        <v>7917</v>
      </c>
      <c r="O1155" s="34">
        <f>626*25+2384+852+247.5</f>
        <v>19133.5</v>
      </c>
      <c r="P1155" s="34"/>
      <c r="Q1155" s="34">
        <f t="shared" si="386"/>
        <v>19133.5</v>
      </c>
      <c r="R1155" s="12"/>
      <c r="S1155" s="12"/>
      <c r="T1155" s="12">
        <v>-555</v>
      </c>
      <c r="U1155" s="12">
        <f t="shared" si="387"/>
        <v>18578.5</v>
      </c>
      <c r="W1155" s="10">
        <v>4</v>
      </c>
      <c r="X1155" s="32">
        <v>45682</v>
      </c>
      <c r="Y1155" s="33">
        <f t="shared" si="392"/>
        <v>7548</v>
      </c>
      <c r="Z1155" s="34">
        <f>3130+596+51</f>
        <v>3777</v>
      </c>
      <c r="AA1155" s="34"/>
      <c r="AB1155" s="34">
        <f t="shared" si="388"/>
        <v>3777</v>
      </c>
      <c r="AC1155" s="12"/>
      <c r="AD1155">
        <v>9</v>
      </c>
      <c r="AE1155" s="12"/>
      <c r="AF1155" s="12">
        <f t="shared" si="389"/>
        <v>3786</v>
      </c>
    </row>
    <row r="1156" spans="1:32" x14ac:dyDescent="0.25">
      <c r="A1156" s="10">
        <v>5</v>
      </c>
      <c r="B1156" s="32">
        <v>45682</v>
      </c>
      <c r="C1156" s="33">
        <f t="shared" si="390"/>
        <v>7955</v>
      </c>
      <c r="D1156" s="34">
        <f>626*15+127.5+1348</f>
        <v>10865.5</v>
      </c>
      <c r="E1156" s="34"/>
      <c r="F1156" s="34">
        <f t="shared" si="384"/>
        <v>10865.5</v>
      </c>
      <c r="G1156" s="12"/>
      <c r="H1156" s="12"/>
      <c r="I1156" s="12"/>
      <c r="J1156" s="12">
        <f t="shared" si="385"/>
        <v>10865.5</v>
      </c>
      <c r="L1156" s="10">
        <v>5</v>
      </c>
      <c r="M1156" s="32">
        <v>45682</v>
      </c>
      <c r="N1156" s="33">
        <f t="shared" si="391"/>
        <v>7918</v>
      </c>
      <c r="O1156" s="34">
        <f>1878+1192+51</f>
        <v>3121</v>
      </c>
      <c r="P1156" s="34"/>
      <c r="Q1156" s="34">
        <f t="shared" si="386"/>
        <v>3121</v>
      </c>
      <c r="R1156" s="12"/>
      <c r="S1156" s="12"/>
      <c r="T1156" s="12">
        <v>-555</v>
      </c>
      <c r="U1156" s="12">
        <f t="shared" si="387"/>
        <v>2566</v>
      </c>
      <c r="W1156" s="10">
        <v>5</v>
      </c>
      <c r="X1156" s="32">
        <v>45682</v>
      </c>
      <c r="Y1156" s="33">
        <f t="shared" si="392"/>
        <v>7549</v>
      </c>
      <c r="Z1156" s="34">
        <f>626*15+614+596*5+205+500</f>
        <v>13689</v>
      </c>
      <c r="AA1156" s="34"/>
      <c r="AB1156" s="34">
        <f t="shared" ref="AB1156:AB1161" si="393">SUM(Z1156:AA1156)</f>
        <v>13689</v>
      </c>
      <c r="AC1156" s="12"/>
      <c r="AD1156" s="12">
        <v>1015</v>
      </c>
      <c r="AE1156" s="12"/>
      <c r="AF1156" s="12">
        <f t="shared" si="389"/>
        <v>14704</v>
      </c>
    </row>
    <row r="1157" spans="1:32" x14ac:dyDescent="0.25">
      <c r="A1157" s="10">
        <v>6</v>
      </c>
      <c r="B1157" s="32">
        <v>45682</v>
      </c>
      <c r="C1157" s="33">
        <f t="shared" si="390"/>
        <v>7956</v>
      </c>
      <c r="D1157" s="34">
        <f>3756+2384+952+932+85</f>
        <v>8109</v>
      </c>
      <c r="E1157" s="34"/>
      <c r="F1157" s="34">
        <f>SUM(D1157:E1157)</f>
        <v>8109</v>
      </c>
      <c r="G1157" s="12"/>
      <c r="H1157" s="12">
        <v>80</v>
      </c>
      <c r="I1157" s="10"/>
      <c r="J1157" s="12">
        <f t="shared" si="385"/>
        <v>8189</v>
      </c>
      <c r="L1157" s="10">
        <v>6</v>
      </c>
      <c r="M1157" s="32">
        <v>45682</v>
      </c>
      <c r="N1157" s="33">
        <f t="shared" si="391"/>
        <v>7919</v>
      </c>
      <c r="O1157" s="34">
        <f>626*105+410</f>
        <v>66140</v>
      </c>
      <c r="P1157" s="34"/>
      <c r="Q1157" s="34">
        <f>SUM(O1157:P1157)</f>
        <v>66140</v>
      </c>
      <c r="R1157" s="12"/>
      <c r="S1157" s="12">
        <v>72</v>
      </c>
      <c r="T1157" s="10"/>
      <c r="U1157" s="12">
        <f t="shared" si="387"/>
        <v>66212</v>
      </c>
      <c r="W1157" s="10">
        <v>6</v>
      </c>
      <c r="X1157" s="32">
        <v>45682</v>
      </c>
      <c r="Y1157" s="33">
        <f t="shared" si="392"/>
        <v>7550</v>
      </c>
      <c r="Z1157" s="34">
        <f>626*70+614*2+674+596*20+615</f>
        <v>58257</v>
      </c>
      <c r="AA1157" s="34">
        <v>-744</v>
      </c>
      <c r="AB1157" s="34">
        <f t="shared" si="393"/>
        <v>57513</v>
      </c>
      <c r="AC1157" s="12"/>
      <c r="AD1157" s="12"/>
      <c r="AE1157" s="10"/>
      <c r="AF1157" s="12">
        <f t="shared" si="389"/>
        <v>57513</v>
      </c>
    </row>
    <row r="1158" spans="1:32" x14ac:dyDescent="0.25">
      <c r="A1158" s="10">
        <v>7</v>
      </c>
      <c r="B1158" s="32">
        <v>45682</v>
      </c>
      <c r="C1158" s="33">
        <f t="shared" si="390"/>
        <v>7957</v>
      </c>
      <c r="D1158" s="34">
        <f>626*7+614+59.5</f>
        <v>5055.5</v>
      </c>
      <c r="E1158" s="34"/>
      <c r="F1158" s="34">
        <f t="shared" ref="F1158:F1190" si="394">SUM(D1158:E1158)</f>
        <v>5055.5</v>
      </c>
      <c r="G1158" s="12"/>
      <c r="H1158" s="12"/>
      <c r="I1158" s="12"/>
      <c r="J1158" s="12">
        <f t="shared" si="385"/>
        <v>5055.5</v>
      </c>
      <c r="L1158" s="10">
        <v>7</v>
      </c>
      <c r="M1158" s="32">
        <v>45682</v>
      </c>
      <c r="N1158" s="33">
        <f t="shared" si="391"/>
        <v>7920</v>
      </c>
      <c r="O1158" s="34">
        <f>626*22+596*2+205</f>
        <v>15169</v>
      </c>
      <c r="P1158" s="34"/>
      <c r="Q1158" s="34">
        <f t="shared" ref="Q1158:Q1190" si="395">SUM(O1158:P1158)</f>
        <v>15169</v>
      </c>
      <c r="R1158" s="12"/>
      <c r="S1158" s="12">
        <v>36</v>
      </c>
      <c r="T1158" s="12"/>
      <c r="U1158" s="12">
        <f t="shared" si="387"/>
        <v>15205</v>
      </c>
      <c r="W1158" s="10">
        <v>7</v>
      </c>
      <c r="X1158" s="32">
        <v>45682</v>
      </c>
      <c r="Y1158" s="33">
        <v>7719</v>
      </c>
      <c r="Z1158" s="34">
        <f>1878+25.5</f>
        <v>1903.5</v>
      </c>
      <c r="AA1158" s="34"/>
      <c r="AB1158" s="34">
        <f t="shared" si="393"/>
        <v>1903.5</v>
      </c>
      <c r="AC1158" s="12"/>
      <c r="AD1158" s="66"/>
      <c r="AE1158" s="12"/>
      <c r="AF1158" s="12">
        <f t="shared" si="389"/>
        <v>1903.5</v>
      </c>
    </row>
    <row r="1159" spans="1:32" x14ac:dyDescent="0.25">
      <c r="A1159" s="10">
        <v>8</v>
      </c>
      <c r="B1159" s="32">
        <v>45682</v>
      </c>
      <c r="C1159" s="33">
        <f t="shared" si="390"/>
        <v>7958</v>
      </c>
      <c r="D1159" s="34">
        <f>626*54+410</f>
        <v>34214</v>
      </c>
      <c r="E1159" s="34"/>
      <c r="F1159" s="34">
        <f t="shared" si="394"/>
        <v>34214</v>
      </c>
      <c r="G1159" s="12"/>
      <c r="H1159" s="12">
        <v>156</v>
      </c>
      <c r="I1159" s="12"/>
      <c r="J1159" s="12">
        <f t="shared" si="385"/>
        <v>34370</v>
      </c>
      <c r="L1159" s="10">
        <v>8</v>
      </c>
      <c r="M1159" s="32">
        <v>45682</v>
      </c>
      <c r="N1159" s="33">
        <f t="shared" si="391"/>
        <v>7921</v>
      </c>
      <c r="O1159" s="34">
        <f>596+8.5</f>
        <v>604.5</v>
      </c>
      <c r="P1159" s="34"/>
      <c r="Q1159" s="34">
        <f t="shared" si="395"/>
        <v>604.5</v>
      </c>
      <c r="R1159" s="12"/>
      <c r="S1159" s="12"/>
      <c r="T1159" s="12"/>
      <c r="U1159" s="12">
        <f t="shared" si="387"/>
        <v>604.5</v>
      </c>
      <c r="W1159" s="10">
        <v>8</v>
      </c>
      <c r="X1159" s="32">
        <v>45682</v>
      </c>
      <c r="Y1159" s="33">
        <f t="shared" si="392"/>
        <v>7720</v>
      </c>
      <c r="Z1159" s="34">
        <f>626+8.5</f>
        <v>634.5</v>
      </c>
      <c r="AA1159" s="37"/>
      <c r="AB1159" s="34">
        <f t="shared" si="393"/>
        <v>634.5</v>
      </c>
      <c r="AC1159" s="12"/>
      <c r="AD1159" s="12">
        <v>1.5</v>
      </c>
      <c r="AE1159" s="12"/>
      <c r="AF1159" s="12">
        <f t="shared" si="389"/>
        <v>636</v>
      </c>
    </row>
    <row r="1160" spans="1:32" x14ac:dyDescent="0.25">
      <c r="A1160" s="10">
        <v>9</v>
      </c>
      <c r="B1160" s="32">
        <v>45682</v>
      </c>
      <c r="C1160" s="33">
        <f t="shared" si="390"/>
        <v>7959</v>
      </c>
      <c r="D1160" s="34">
        <f>626*30+205+650</f>
        <v>19635</v>
      </c>
      <c r="E1160" s="34"/>
      <c r="F1160" s="34">
        <f t="shared" si="394"/>
        <v>19635</v>
      </c>
      <c r="G1160" s="12"/>
      <c r="H1160" s="12"/>
      <c r="I1160" s="12"/>
      <c r="J1160" s="12">
        <f t="shared" si="385"/>
        <v>19635</v>
      </c>
      <c r="L1160" s="10">
        <v>9</v>
      </c>
      <c r="M1160" s="32">
        <v>45682</v>
      </c>
      <c r="N1160" s="33">
        <f t="shared" si="391"/>
        <v>7922</v>
      </c>
      <c r="O1160" s="34">
        <f>2504+1228+34</f>
        <v>3766</v>
      </c>
      <c r="P1160" s="34"/>
      <c r="Q1160" s="34">
        <f t="shared" si="395"/>
        <v>3766</v>
      </c>
      <c r="R1160" s="12"/>
      <c r="S1160" s="12">
        <v>13.5</v>
      </c>
      <c r="T1160" s="12"/>
      <c r="U1160" s="12">
        <f t="shared" si="387"/>
        <v>3779.5</v>
      </c>
      <c r="W1160" s="10">
        <v>9</v>
      </c>
      <c r="X1160" s="32">
        <v>45682</v>
      </c>
      <c r="Y1160" s="33">
        <f t="shared" si="392"/>
        <v>7721</v>
      </c>
      <c r="Z1160">
        <f>626+596+17</f>
        <v>1239</v>
      </c>
      <c r="AA1160" s="34"/>
      <c r="AB1160" s="34">
        <f t="shared" si="393"/>
        <v>1239</v>
      </c>
      <c r="AC1160" s="12"/>
      <c r="AD1160" s="66"/>
      <c r="AE1160" s="12"/>
      <c r="AF1160" s="12">
        <f t="shared" si="389"/>
        <v>1239</v>
      </c>
    </row>
    <row r="1161" spans="1:32" x14ac:dyDescent="0.25">
      <c r="A1161" s="10">
        <v>10</v>
      </c>
      <c r="B1161" s="32">
        <v>45682</v>
      </c>
      <c r="C1161" s="33">
        <f t="shared" si="390"/>
        <v>7960</v>
      </c>
      <c r="D1161" s="34">
        <f>3130+42.5+674</f>
        <v>3846.5</v>
      </c>
      <c r="E1161" s="34"/>
      <c r="F1161" s="34">
        <f t="shared" si="394"/>
        <v>3846.5</v>
      </c>
      <c r="G1161" s="12"/>
      <c r="H1161" s="12"/>
      <c r="I1161" s="12"/>
      <c r="J1161" s="12">
        <f t="shared" si="385"/>
        <v>3846.5</v>
      </c>
      <c r="L1161" s="10">
        <v>10</v>
      </c>
      <c r="M1161" s="32">
        <v>45682</v>
      </c>
      <c r="N1161" s="33">
        <f t="shared" si="391"/>
        <v>7923</v>
      </c>
      <c r="O1161" s="34">
        <f>2504+34</f>
        <v>2538</v>
      </c>
      <c r="P1161" s="34"/>
      <c r="Q1161" s="34">
        <f t="shared" si="395"/>
        <v>2538</v>
      </c>
      <c r="R1161" s="12"/>
      <c r="S1161" s="12"/>
      <c r="T1161" s="12"/>
      <c r="U1161" s="12">
        <f t="shared" si="387"/>
        <v>2538</v>
      </c>
      <c r="W1161" s="10">
        <v>10</v>
      </c>
      <c r="X1161" s="32">
        <v>45682</v>
      </c>
      <c r="Y1161" s="33">
        <f t="shared" si="392"/>
        <v>7722</v>
      </c>
      <c r="Z1161" s="34">
        <f>1878+1192+42.5</f>
        <v>3112.5</v>
      </c>
      <c r="AA1161" s="34"/>
      <c r="AB1161" s="34">
        <f t="shared" si="393"/>
        <v>3112.5</v>
      </c>
      <c r="AC1161" s="12"/>
      <c r="AD1161" s="12"/>
      <c r="AE1161" s="12"/>
      <c r="AF1161" s="12">
        <f t="shared" si="389"/>
        <v>3112.5</v>
      </c>
    </row>
    <row r="1162" spans="1:32" x14ac:dyDescent="0.25">
      <c r="A1162" s="10">
        <v>11</v>
      </c>
      <c r="B1162" s="32">
        <v>45682</v>
      </c>
      <c r="C1162" s="33">
        <f t="shared" si="390"/>
        <v>7961</v>
      </c>
      <c r="D1162" s="34">
        <f>8764+119</f>
        <v>8883</v>
      </c>
      <c r="E1162" s="34"/>
      <c r="F1162" s="34">
        <f t="shared" si="394"/>
        <v>8883</v>
      </c>
      <c r="G1162" s="12"/>
      <c r="H1162" s="12"/>
      <c r="I1162" s="12"/>
      <c r="J1162" s="12">
        <f t="shared" si="385"/>
        <v>8883</v>
      </c>
      <c r="L1162" s="10">
        <v>11</v>
      </c>
      <c r="M1162" s="32">
        <v>45682</v>
      </c>
      <c r="N1162" s="33">
        <f t="shared" si="391"/>
        <v>7924</v>
      </c>
      <c r="O1162" s="34">
        <f>3130+42.5</f>
        <v>3172.5</v>
      </c>
      <c r="P1162" s="34"/>
      <c r="Q1162" s="34">
        <f t="shared" si="395"/>
        <v>3172.5</v>
      </c>
      <c r="R1162" s="12"/>
      <c r="S1162" s="12"/>
      <c r="T1162" s="12"/>
      <c r="U1162" s="12">
        <f t="shared" si="387"/>
        <v>3172.5</v>
      </c>
      <c r="W1162" s="10">
        <v>11</v>
      </c>
      <c r="X1162" s="32">
        <v>45682</v>
      </c>
      <c r="Y1162" s="33">
        <f t="shared" si="392"/>
        <v>7723</v>
      </c>
      <c r="Z1162" s="34">
        <f>1252+596+25.5</f>
        <v>1873.5</v>
      </c>
      <c r="AA1162" s="34"/>
      <c r="AB1162" s="34">
        <f t="shared" ref="AB1162:AB1184" si="396">SUM(Z1162:AA1162)</f>
        <v>1873.5</v>
      </c>
      <c r="AC1162" s="12"/>
      <c r="AD1162" s="12"/>
      <c r="AE1162" s="12"/>
      <c r="AF1162" s="12">
        <f t="shared" si="389"/>
        <v>1873.5</v>
      </c>
    </row>
    <row r="1163" spans="1:32" x14ac:dyDescent="0.25">
      <c r="A1163" s="10">
        <v>12</v>
      </c>
      <c r="B1163" s="32">
        <v>45682</v>
      </c>
      <c r="C1163" s="33">
        <f t="shared" si="390"/>
        <v>7962</v>
      </c>
      <c r="D1163" s="34">
        <f>626*19+161.5</f>
        <v>12055.5</v>
      </c>
      <c r="E1163" s="34"/>
      <c r="F1163" s="34">
        <f t="shared" si="394"/>
        <v>12055.5</v>
      </c>
      <c r="G1163" s="12"/>
      <c r="H1163" s="12"/>
      <c r="I1163" s="12"/>
      <c r="J1163" s="12">
        <f t="shared" si="385"/>
        <v>12055.5</v>
      </c>
      <c r="L1163" s="10">
        <v>12</v>
      </c>
      <c r="M1163" s="32">
        <v>45682</v>
      </c>
      <c r="N1163" s="33">
        <f t="shared" si="391"/>
        <v>7925</v>
      </c>
      <c r="O1163" s="34">
        <f>2504+596+42.5</f>
        <v>3142.5</v>
      </c>
      <c r="P1163" s="34"/>
      <c r="Q1163" s="34">
        <f t="shared" si="395"/>
        <v>3142.5</v>
      </c>
      <c r="R1163" s="12"/>
      <c r="S1163" s="12"/>
      <c r="T1163" s="12"/>
      <c r="U1163" s="12">
        <f t="shared" si="387"/>
        <v>3142.5</v>
      </c>
      <c r="W1163" s="10">
        <v>12</v>
      </c>
      <c r="X1163" s="32">
        <v>45682</v>
      </c>
      <c r="Y1163" s="33">
        <f t="shared" si="392"/>
        <v>7724</v>
      </c>
      <c r="Z1163" s="34">
        <f>626*6+614+674+596+59.5</f>
        <v>5699.5</v>
      </c>
      <c r="AA1163" s="34"/>
      <c r="AB1163" s="34">
        <f t="shared" si="396"/>
        <v>5699.5</v>
      </c>
      <c r="AC1163" s="12"/>
      <c r="AD1163" s="12"/>
      <c r="AE1163" s="12"/>
      <c r="AF1163" s="12">
        <f t="shared" si="389"/>
        <v>5699.5</v>
      </c>
    </row>
    <row r="1164" spans="1:32" x14ac:dyDescent="0.25">
      <c r="A1164" s="10">
        <v>13</v>
      </c>
      <c r="B1164" s="32">
        <v>45682</v>
      </c>
      <c r="C1164" s="33">
        <f t="shared" si="390"/>
        <v>7963</v>
      </c>
      <c r="D1164" s="34">
        <f>626*2+596+25.5</f>
        <v>1873.5</v>
      </c>
      <c r="E1164" s="34"/>
      <c r="F1164" s="34">
        <f t="shared" si="394"/>
        <v>1873.5</v>
      </c>
      <c r="G1164" s="12"/>
      <c r="H1164" s="12">
        <v>9</v>
      </c>
      <c r="I1164" s="12"/>
      <c r="J1164" s="12">
        <f t="shared" si="385"/>
        <v>1882.5</v>
      </c>
      <c r="L1164" s="10">
        <v>13</v>
      </c>
      <c r="M1164" s="32">
        <v>45682</v>
      </c>
      <c r="N1164" s="33">
        <f t="shared" si="391"/>
        <v>7926</v>
      </c>
      <c r="O1164" s="34">
        <f>3130+1228+42.5</f>
        <v>4400.5</v>
      </c>
      <c r="P1164" s="34"/>
      <c r="Q1164" s="34">
        <f t="shared" si="395"/>
        <v>4400.5</v>
      </c>
      <c r="R1164" s="12"/>
      <c r="S1164" s="12"/>
      <c r="T1164" s="12"/>
      <c r="U1164" s="12">
        <f t="shared" si="387"/>
        <v>4400.5</v>
      </c>
      <c r="W1164" s="10">
        <v>13</v>
      </c>
      <c r="X1164" s="32">
        <v>45682</v>
      </c>
      <c r="Y1164" s="33">
        <f t="shared" si="392"/>
        <v>7725</v>
      </c>
      <c r="Z1164" s="34">
        <f>626*9+614+76.5</f>
        <v>6324.5</v>
      </c>
      <c r="AA1164" s="34"/>
      <c r="AB1164" s="34">
        <f t="shared" si="396"/>
        <v>6324.5</v>
      </c>
      <c r="AC1164" s="12"/>
      <c r="AD1164" s="12"/>
      <c r="AE1164" s="12"/>
      <c r="AF1164" s="12">
        <f t="shared" si="389"/>
        <v>6324.5</v>
      </c>
    </row>
    <row r="1165" spans="1:32" x14ac:dyDescent="0.25">
      <c r="A1165" s="10">
        <v>14</v>
      </c>
      <c r="B1165" s="32">
        <v>45682</v>
      </c>
      <c r="C1165" s="33">
        <f t="shared" si="390"/>
        <v>7964</v>
      </c>
      <c r="D1165" s="34">
        <f>626*9+1788+102</f>
        <v>7524</v>
      </c>
      <c r="E1165" s="34"/>
      <c r="F1165" s="34">
        <f t="shared" si="394"/>
        <v>7524</v>
      </c>
      <c r="G1165" s="12"/>
      <c r="H1165" s="12"/>
      <c r="I1165" s="12">
        <v>-177</v>
      </c>
      <c r="J1165" s="12">
        <f t="shared" si="385"/>
        <v>7347</v>
      </c>
      <c r="L1165" s="10">
        <v>14</v>
      </c>
      <c r="M1165" s="32">
        <v>45682</v>
      </c>
      <c r="N1165" s="33">
        <f t="shared" si="391"/>
        <v>7927</v>
      </c>
      <c r="O1165" s="34">
        <f>1252+17</f>
        <v>1269</v>
      </c>
      <c r="P1165" s="34"/>
      <c r="Q1165" s="34">
        <f t="shared" si="395"/>
        <v>1269</v>
      </c>
      <c r="R1165" s="12"/>
      <c r="S1165" s="12"/>
      <c r="T1165" s="12"/>
      <c r="U1165" s="12">
        <f t="shared" si="387"/>
        <v>1269</v>
      </c>
      <c r="W1165" s="10">
        <v>14</v>
      </c>
      <c r="X1165" s="32">
        <v>45682</v>
      </c>
      <c r="Y1165" s="33">
        <f t="shared" si="392"/>
        <v>7726</v>
      </c>
      <c r="Z1165">
        <f>1252+596+25.5</f>
        <v>1873.5</v>
      </c>
      <c r="AA1165" s="34"/>
      <c r="AB1165" s="34">
        <f t="shared" si="396"/>
        <v>1873.5</v>
      </c>
      <c r="AC1165" s="12"/>
      <c r="AD1165" s="12"/>
      <c r="AE1165" s="12"/>
      <c r="AF1165" s="12">
        <f t="shared" si="389"/>
        <v>1873.5</v>
      </c>
    </row>
    <row r="1166" spans="1:32" x14ac:dyDescent="0.25">
      <c r="A1166" s="10">
        <v>15</v>
      </c>
      <c r="B1166" s="32">
        <v>45682</v>
      </c>
      <c r="C1166" s="33">
        <f t="shared" si="390"/>
        <v>7965</v>
      </c>
      <c r="D1166" s="34">
        <f>2504+34</f>
        <v>2538</v>
      </c>
      <c r="E1166" s="34"/>
      <c r="F1166" s="34">
        <f t="shared" si="394"/>
        <v>2538</v>
      </c>
      <c r="G1166" s="12"/>
      <c r="H1166" s="12"/>
      <c r="I1166" s="12"/>
      <c r="J1166" s="12">
        <f t="shared" si="385"/>
        <v>2538</v>
      </c>
      <c r="L1166" s="10">
        <v>15</v>
      </c>
      <c r="M1166" s="32">
        <v>45682</v>
      </c>
      <c r="N1166" s="33">
        <f t="shared" si="391"/>
        <v>7928</v>
      </c>
      <c r="O1166" s="34">
        <f>626+8.5</f>
        <v>634.5</v>
      </c>
      <c r="P1166" s="34"/>
      <c r="Q1166" s="34">
        <f t="shared" si="395"/>
        <v>634.5</v>
      </c>
      <c r="R1166" s="12"/>
      <c r="S1166" s="12"/>
      <c r="T1166" s="12"/>
      <c r="U1166" s="12">
        <f t="shared" si="387"/>
        <v>634.5</v>
      </c>
      <c r="W1166" s="10">
        <v>15</v>
      </c>
      <c r="X1166" s="32">
        <v>45682</v>
      </c>
      <c r="Y1166" s="33">
        <f t="shared" si="392"/>
        <v>7727</v>
      </c>
      <c r="Z1166" s="34">
        <f>626*9+1192+93.5</f>
        <v>6919.5</v>
      </c>
      <c r="AA1166" s="34"/>
      <c r="AB1166" s="34">
        <f t="shared" si="396"/>
        <v>6919.5</v>
      </c>
      <c r="AC1166" s="12"/>
      <c r="AD1166" s="12">
        <v>13.5</v>
      </c>
      <c r="AE1166" s="12"/>
      <c r="AF1166" s="12">
        <f t="shared" si="389"/>
        <v>6933</v>
      </c>
    </row>
    <row r="1167" spans="1:32" x14ac:dyDescent="0.25">
      <c r="A1167" s="10">
        <v>16</v>
      </c>
      <c r="B1167" s="32">
        <v>45682</v>
      </c>
      <c r="C1167" s="33">
        <f t="shared" si="390"/>
        <v>7966</v>
      </c>
      <c r="D1167" s="34">
        <f>2504+34</f>
        <v>2538</v>
      </c>
      <c r="E1167" s="34"/>
      <c r="F1167" s="34">
        <f t="shared" si="394"/>
        <v>2538</v>
      </c>
      <c r="G1167" s="12"/>
      <c r="H1167" s="12"/>
      <c r="I1167" s="12">
        <v>-999</v>
      </c>
      <c r="J1167" s="12">
        <f t="shared" si="385"/>
        <v>1539</v>
      </c>
      <c r="L1167" s="10">
        <v>16</v>
      </c>
      <c r="M1167" s="32">
        <v>45682</v>
      </c>
      <c r="N1167" s="33">
        <f t="shared" si="391"/>
        <v>7929</v>
      </c>
      <c r="O1167" s="34">
        <f>3130+42.5</f>
        <v>3172.5</v>
      </c>
      <c r="P1167" s="34"/>
      <c r="Q1167" s="34">
        <f t="shared" si="395"/>
        <v>3172.5</v>
      </c>
      <c r="R1167" s="12"/>
      <c r="S1167" s="12"/>
      <c r="T1167" s="12"/>
      <c r="U1167" s="12">
        <f t="shared" si="387"/>
        <v>3172.5</v>
      </c>
      <c r="W1167" s="10">
        <v>16</v>
      </c>
      <c r="X1167" s="32">
        <v>45682</v>
      </c>
      <c r="Y1167" s="33">
        <f t="shared" si="392"/>
        <v>7728</v>
      </c>
      <c r="Z1167" s="34">
        <f>1878+1192+42.5</f>
        <v>3112.5</v>
      </c>
      <c r="AA1167" s="34"/>
      <c r="AB1167" s="34">
        <f t="shared" si="396"/>
        <v>3112.5</v>
      </c>
      <c r="AC1167" s="12"/>
      <c r="AD1167" s="12"/>
      <c r="AE1167" s="12"/>
      <c r="AF1167" s="12">
        <f t="shared" si="389"/>
        <v>3112.5</v>
      </c>
    </row>
    <row r="1168" spans="1:32" x14ac:dyDescent="0.25">
      <c r="A1168" s="10">
        <v>17</v>
      </c>
      <c r="B1168" s="32">
        <v>45682</v>
      </c>
      <c r="C1168" s="33">
        <f t="shared" si="390"/>
        <v>7967</v>
      </c>
      <c r="D1168" s="37">
        <f>1252+17</f>
        <v>1269</v>
      </c>
      <c r="E1168" s="34"/>
      <c r="F1168" s="34">
        <f t="shared" si="394"/>
        <v>1269</v>
      </c>
      <c r="G1168" s="12"/>
      <c r="H1168" s="12"/>
      <c r="I1168" s="12"/>
      <c r="J1168" s="12">
        <f t="shared" si="385"/>
        <v>1269</v>
      </c>
      <c r="L1168" s="10">
        <v>17</v>
      </c>
      <c r="M1168" s="32">
        <v>45682</v>
      </c>
      <c r="N1168" s="33">
        <f t="shared" si="391"/>
        <v>7930</v>
      </c>
      <c r="O1168" s="37">
        <f>614*5+596*25+832+410</f>
        <v>19212</v>
      </c>
      <c r="P1168" s="34"/>
      <c r="Q1168" s="34">
        <f t="shared" si="395"/>
        <v>19212</v>
      </c>
      <c r="R1168" s="12"/>
      <c r="S1168" s="12"/>
      <c r="T1168" s="12"/>
      <c r="U1168" s="12">
        <f t="shared" si="387"/>
        <v>19212</v>
      </c>
      <c r="W1168" s="10">
        <v>17</v>
      </c>
      <c r="X1168" s="32">
        <v>45682</v>
      </c>
      <c r="Y1168" s="33">
        <f t="shared" si="392"/>
        <v>7729</v>
      </c>
      <c r="Z1168" s="37">
        <f>4382+1192+76.5</f>
        <v>5650.5</v>
      </c>
      <c r="AA1168" s="34"/>
      <c r="AB1168" s="34">
        <f t="shared" si="396"/>
        <v>5650.5</v>
      </c>
      <c r="AC1168" s="12"/>
      <c r="AD1168" s="12"/>
      <c r="AE1168" s="12"/>
      <c r="AF1168" s="12">
        <f t="shared" si="389"/>
        <v>5650.5</v>
      </c>
    </row>
    <row r="1169" spans="1:32" x14ac:dyDescent="0.25">
      <c r="A1169" s="10">
        <v>18</v>
      </c>
      <c r="B1169" s="32">
        <v>45682</v>
      </c>
      <c r="C1169" s="33">
        <f t="shared" si="390"/>
        <v>7968</v>
      </c>
      <c r="D1169" s="34">
        <f>500+650</f>
        <v>1150</v>
      </c>
      <c r="E1169" s="34"/>
      <c r="F1169" s="34">
        <f t="shared" si="394"/>
        <v>1150</v>
      </c>
      <c r="G1169" s="12"/>
      <c r="H1169" s="12"/>
      <c r="I1169" s="12"/>
      <c r="J1169" s="12">
        <f t="shared" si="385"/>
        <v>1150</v>
      </c>
      <c r="L1169" s="10">
        <v>18</v>
      </c>
      <c r="M1169" s="32">
        <v>45682</v>
      </c>
      <c r="N1169" s="33">
        <f t="shared" si="391"/>
        <v>7931</v>
      </c>
      <c r="O1169" s="34">
        <f>1252+17</f>
        <v>1269</v>
      </c>
      <c r="P1169" s="34"/>
      <c r="Q1169" s="34">
        <f t="shared" si="395"/>
        <v>1269</v>
      </c>
      <c r="R1169" s="12"/>
      <c r="S1169" s="12"/>
      <c r="T1169" s="12"/>
      <c r="U1169" s="12">
        <f t="shared" si="387"/>
        <v>1269</v>
      </c>
      <c r="W1169" s="10">
        <v>18</v>
      </c>
      <c r="X1169" s="32">
        <v>45682</v>
      </c>
      <c r="Y1169" s="33">
        <f t="shared" si="392"/>
        <v>7730</v>
      </c>
      <c r="Z1169" s="34">
        <f>1878+614+596+34</f>
        <v>3122</v>
      </c>
      <c r="AA1169" s="34"/>
      <c r="AB1169" s="34">
        <f t="shared" si="396"/>
        <v>3122</v>
      </c>
      <c r="AC1169" s="12"/>
      <c r="AD1169" s="12"/>
      <c r="AE1169" s="12"/>
      <c r="AF1169" s="12">
        <f t="shared" si="389"/>
        <v>3122</v>
      </c>
    </row>
    <row r="1170" spans="1:32" x14ac:dyDescent="0.25">
      <c r="A1170" s="10">
        <v>19</v>
      </c>
      <c r="B1170" s="32"/>
      <c r="C1170" s="11" t="s">
        <v>28</v>
      </c>
      <c r="D1170" s="34"/>
      <c r="E1170" s="34"/>
      <c r="F1170" s="34">
        <f t="shared" si="394"/>
        <v>0</v>
      </c>
      <c r="G1170" s="12"/>
      <c r="H1170" s="12"/>
      <c r="I1170" s="12"/>
      <c r="J1170" s="12">
        <f t="shared" si="385"/>
        <v>0</v>
      </c>
      <c r="L1170" s="10">
        <v>19</v>
      </c>
      <c r="M1170" s="32">
        <v>45682</v>
      </c>
      <c r="N1170" s="33">
        <f t="shared" si="391"/>
        <v>7932</v>
      </c>
      <c r="O1170" s="34">
        <f>2504+34</f>
        <v>2538</v>
      </c>
      <c r="P1170" s="34"/>
      <c r="Q1170" s="34">
        <f t="shared" si="395"/>
        <v>2538</v>
      </c>
      <c r="R1170" s="12"/>
      <c r="S1170" s="12"/>
      <c r="T1170" s="12"/>
      <c r="U1170" s="12">
        <f t="shared" si="387"/>
        <v>2538</v>
      </c>
      <c r="W1170" s="10">
        <v>19</v>
      </c>
      <c r="X1170" s="32">
        <v>45682</v>
      </c>
      <c r="Y1170" s="33">
        <f t="shared" si="392"/>
        <v>7731</v>
      </c>
      <c r="Z1170" s="34">
        <f>626*3+596+34</f>
        <v>2508</v>
      </c>
      <c r="AA1170" s="34"/>
      <c r="AB1170" s="34">
        <f t="shared" si="396"/>
        <v>2508</v>
      </c>
      <c r="AC1170" s="12"/>
      <c r="AD1170" s="12"/>
      <c r="AE1170" s="12"/>
      <c r="AF1170" s="12">
        <f t="shared" si="389"/>
        <v>2508</v>
      </c>
    </row>
    <row r="1171" spans="1:32" x14ac:dyDescent="0.25">
      <c r="A1171" s="10">
        <v>20</v>
      </c>
      <c r="B1171" s="32"/>
      <c r="C1171" s="33"/>
      <c r="D1171" s="34"/>
      <c r="E1171" s="34"/>
      <c r="F1171" s="34">
        <f t="shared" si="394"/>
        <v>0</v>
      </c>
      <c r="G1171" s="12"/>
      <c r="H1171" s="12"/>
      <c r="I1171" s="12"/>
      <c r="J1171" s="12">
        <f t="shared" si="385"/>
        <v>0</v>
      </c>
      <c r="L1171" s="10">
        <v>20</v>
      </c>
      <c r="M1171" s="32">
        <v>45682</v>
      </c>
      <c r="N1171" s="33">
        <f t="shared" si="391"/>
        <v>7933</v>
      </c>
      <c r="O1171" s="34">
        <f>1878+25</f>
        <v>1903</v>
      </c>
      <c r="P1171" s="34"/>
      <c r="Q1171" s="34">
        <f t="shared" si="395"/>
        <v>1903</v>
      </c>
      <c r="R1171" s="12"/>
      <c r="S1171" s="12"/>
      <c r="T1171" s="12"/>
      <c r="U1171" s="12">
        <f t="shared" si="387"/>
        <v>1903</v>
      </c>
      <c r="W1171" s="10">
        <v>20</v>
      </c>
      <c r="X1171" s="32">
        <v>45682</v>
      </c>
      <c r="Y1171" s="33">
        <f t="shared" si="392"/>
        <v>7732</v>
      </c>
      <c r="Z1171" s="34">
        <f>626*45+832+205</f>
        <v>29207</v>
      </c>
      <c r="AA1171" s="34"/>
      <c r="AB1171" s="34">
        <f t="shared" si="396"/>
        <v>29207</v>
      </c>
      <c r="AC1171" s="12"/>
      <c r="AD1171" s="12"/>
      <c r="AE1171" s="12"/>
      <c r="AF1171" s="12">
        <f t="shared" si="389"/>
        <v>29207</v>
      </c>
    </row>
    <row r="1172" spans="1:32" x14ac:dyDescent="0.25">
      <c r="A1172" s="10">
        <v>21</v>
      </c>
      <c r="B1172" s="32"/>
      <c r="C1172" s="33"/>
      <c r="D1172" s="50"/>
      <c r="E1172" s="33"/>
      <c r="F1172" s="34">
        <f t="shared" si="394"/>
        <v>0</v>
      </c>
      <c r="G1172" s="10"/>
      <c r="H1172" s="10"/>
      <c r="I1172" s="10"/>
      <c r="J1172" s="12">
        <f t="shared" si="385"/>
        <v>0</v>
      </c>
      <c r="L1172" s="10">
        <v>21</v>
      </c>
      <c r="M1172" s="32">
        <v>45682</v>
      </c>
      <c r="N1172" s="33">
        <f t="shared" si="391"/>
        <v>7934</v>
      </c>
      <c r="O1172" s="50">
        <f>1252+17</f>
        <v>1269</v>
      </c>
      <c r="P1172" s="33"/>
      <c r="Q1172" s="34">
        <f t="shared" si="395"/>
        <v>1269</v>
      </c>
      <c r="R1172" s="10"/>
      <c r="S1172" s="10"/>
      <c r="T1172" s="10"/>
      <c r="U1172" s="12">
        <f t="shared" si="387"/>
        <v>1269</v>
      </c>
      <c r="W1172" s="10">
        <v>21</v>
      </c>
      <c r="X1172" s="32">
        <v>45682</v>
      </c>
      <c r="Y1172" s="33">
        <f t="shared" si="392"/>
        <v>7733</v>
      </c>
      <c r="Z1172" s="50">
        <f>832+205</f>
        <v>1037</v>
      </c>
      <c r="AA1172" s="33"/>
      <c r="AB1172" s="34">
        <f t="shared" si="396"/>
        <v>1037</v>
      </c>
      <c r="AC1172" s="10"/>
      <c r="AD1172" s="10"/>
      <c r="AE1172" s="10"/>
      <c r="AF1172" s="12">
        <f t="shared" si="389"/>
        <v>1037</v>
      </c>
    </row>
    <row r="1173" spans="1:32" x14ac:dyDescent="0.25">
      <c r="A1173" s="10">
        <v>22</v>
      </c>
      <c r="B1173" s="32"/>
      <c r="C1173" s="33"/>
      <c r="D1173" s="49"/>
      <c r="E1173" s="33"/>
      <c r="F1173" s="34">
        <f t="shared" si="394"/>
        <v>0</v>
      </c>
      <c r="G1173" s="10"/>
      <c r="H1173" s="10"/>
      <c r="I1173" s="10"/>
      <c r="J1173" s="12">
        <f t="shared" si="385"/>
        <v>0</v>
      </c>
      <c r="L1173" s="10">
        <v>22</v>
      </c>
      <c r="M1173" s="32">
        <v>45682</v>
      </c>
      <c r="N1173" s="33">
        <f t="shared" si="391"/>
        <v>7935</v>
      </c>
      <c r="O1173" s="49">
        <f>626+1228+8.5</f>
        <v>1862.5</v>
      </c>
      <c r="P1173" s="33"/>
      <c r="Q1173" s="34">
        <f t="shared" si="395"/>
        <v>1862.5</v>
      </c>
      <c r="R1173" s="10"/>
      <c r="S1173" s="10"/>
      <c r="T1173" s="10"/>
      <c r="U1173" s="12">
        <f t="shared" si="387"/>
        <v>1862.5</v>
      </c>
      <c r="W1173" s="10">
        <v>22</v>
      </c>
      <c r="X1173" s="32"/>
      <c r="Y1173" s="11" t="s">
        <v>28</v>
      </c>
      <c r="Z1173" s="49"/>
      <c r="AA1173" s="33"/>
      <c r="AB1173" s="34">
        <f t="shared" si="396"/>
        <v>0</v>
      </c>
      <c r="AC1173" s="10"/>
      <c r="AD1173" s="10"/>
      <c r="AE1173" s="10"/>
      <c r="AF1173" s="12">
        <f t="shared" si="389"/>
        <v>0</v>
      </c>
    </row>
    <row r="1174" spans="1:32" x14ac:dyDescent="0.25">
      <c r="A1174" s="10">
        <v>23</v>
      </c>
      <c r="B1174" s="32"/>
      <c r="C1174" s="33"/>
      <c r="D1174" s="51"/>
      <c r="E1174"/>
      <c r="F1174" s="34">
        <f t="shared" si="394"/>
        <v>0</v>
      </c>
      <c r="G1174" s="10"/>
      <c r="H1174" s="10"/>
      <c r="I1174" s="10"/>
      <c r="J1174" s="12">
        <f t="shared" si="385"/>
        <v>0</v>
      </c>
      <c r="L1174" s="10">
        <v>23</v>
      </c>
      <c r="M1174" s="32">
        <v>45682</v>
      </c>
      <c r="N1174" s="33">
        <f t="shared" si="391"/>
        <v>7936</v>
      </c>
      <c r="O1174" s="51">
        <f>6260+85</f>
        <v>6345</v>
      </c>
      <c r="Q1174" s="34">
        <f t="shared" si="395"/>
        <v>6345</v>
      </c>
      <c r="R1174" s="10"/>
      <c r="S1174" s="10"/>
      <c r="T1174" s="10"/>
      <c r="U1174" s="12">
        <f t="shared" si="387"/>
        <v>6345</v>
      </c>
      <c r="W1174" s="10">
        <v>23</v>
      </c>
      <c r="X1174" s="32"/>
      <c r="Y1174" s="33"/>
      <c r="Z1174" s="51"/>
      <c r="AB1174" s="34">
        <f t="shared" si="396"/>
        <v>0</v>
      </c>
      <c r="AC1174" s="10"/>
      <c r="AD1174" s="10"/>
      <c r="AE1174" s="10"/>
      <c r="AF1174" s="12">
        <f t="shared" si="389"/>
        <v>0</v>
      </c>
    </row>
    <row r="1175" spans="1:32" x14ac:dyDescent="0.25">
      <c r="A1175" s="10">
        <v>24</v>
      </c>
      <c r="B1175" s="32"/>
      <c r="C1175" s="33"/>
      <c r="D1175" s="51"/>
      <c r="E1175" s="33"/>
      <c r="F1175" s="34">
        <f t="shared" si="394"/>
        <v>0</v>
      </c>
      <c r="G1175" s="10"/>
      <c r="H1175" s="10"/>
      <c r="I1175" s="10"/>
      <c r="J1175" s="12">
        <f t="shared" si="385"/>
        <v>0</v>
      </c>
      <c r="L1175" s="10">
        <v>24</v>
      </c>
      <c r="M1175" s="32">
        <v>45682</v>
      </c>
      <c r="N1175" s="33">
        <f t="shared" si="391"/>
        <v>7937</v>
      </c>
      <c r="O1175" s="51">
        <f>1878+614+25.5</f>
        <v>2517.5</v>
      </c>
      <c r="P1175" s="33"/>
      <c r="Q1175" s="34">
        <f t="shared" si="395"/>
        <v>2517.5</v>
      </c>
      <c r="R1175" s="10"/>
      <c r="S1175" s="10"/>
      <c r="T1175" s="10"/>
      <c r="U1175" s="12">
        <f t="shared" si="387"/>
        <v>2517.5</v>
      </c>
      <c r="W1175" s="10">
        <v>24</v>
      </c>
      <c r="X1175" s="32"/>
      <c r="Y1175" s="33"/>
      <c r="Z1175" s="51"/>
      <c r="AA1175" s="33"/>
      <c r="AB1175" s="34">
        <f t="shared" si="396"/>
        <v>0</v>
      </c>
      <c r="AC1175" s="10"/>
      <c r="AD1175" s="10"/>
      <c r="AE1175" s="10"/>
      <c r="AF1175" s="12">
        <f t="shared" si="389"/>
        <v>0</v>
      </c>
    </row>
    <row r="1176" spans="1:32" x14ac:dyDescent="0.25">
      <c r="A1176" s="10">
        <v>25</v>
      </c>
      <c r="B1176" s="32"/>
      <c r="C1176" s="33"/>
      <c r="D1176" s="51"/>
      <c r="E1176" s="33"/>
      <c r="F1176" s="34">
        <f t="shared" si="394"/>
        <v>0</v>
      </c>
      <c r="G1176" s="10"/>
      <c r="H1176" s="10"/>
      <c r="I1176" s="10"/>
      <c r="J1176" s="12">
        <f t="shared" si="385"/>
        <v>0</v>
      </c>
      <c r="L1176" s="10">
        <v>25</v>
      </c>
      <c r="M1176" s="32"/>
      <c r="N1176" s="11" t="s">
        <v>28</v>
      </c>
      <c r="O1176" s="51"/>
      <c r="P1176" s="33"/>
      <c r="Q1176" s="34">
        <f t="shared" si="395"/>
        <v>0</v>
      </c>
      <c r="R1176" s="10"/>
      <c r="S1176" s="10"/>
      <c r="T1176" s="10"/>
      <c r="U1176" s="12">
        <f t="shared" si="387"/>
        <v>0</v>
      </c>
      <c r="W1176" s="10">
        <v>25</v>
      </c>
      <c r="X1176" s="32"/>
      <c r="Z1176" s="51"/>
      <c r="AA1176" s="33"/>
      <c r="AB1176" s="34">
        <f t="shared" si="396"/>
        <v>0</v>
      </c>
      <c r="AC1176" s="10"/>
      <c r="AD1176" s="10"/>
      <c r="AE1176" s="10"/>
      <c r="AF1176" s="12">
        <f t="shared" si="389"/>
        <v>0</v>
      </c>
    </row>
    <row r="1177" spans="1:32" x14ac:dyDescent="0.25">
      <c r="A1177" s="10">
        <v>26</v>
      </c>
      <c r="B1177" s="32"/>
      <c r="C1177" s="33"/>
      <c r="D1177" s="51"/>
      <c r="E1177" s="33"/>
      <c r="F1177" s="34">
        <f t="shared" si="394"/>
        <v>0</v>
      </c>
      <c r="G1177" s="10"/>
      <c r="H1177" s="10"/>
      <c r="I1177" s="10"/>
      <c r="J1177" s="12">
        <f t="shared" si="385"/>
        <v>0</v>
      </c>
      <c r="L1177" s="10">
        <v>26</v>
      </c>
      <c r="M1177" s="32"/>
      <c r="N1177" s="33"/>
      <c r="O1177" s="51"/>
      <c r="P1177" s="33"/>
      <c r="Q1177" s="34">
        <f t="shared" si="395"/>
        <v>0</v>
      </c>
      <c r="R1177" s="10"/>
      <c r="S1177" s="10"/>
      <c r="T1177" s="10"/>
      <c r="U1177" s="12">
        <f t="shared" si="387"/>
        <v>0</v>
      </c>
      <c r="W1177" s="10">
        <v>26</v>
      </c>
      <c r="X1177" s="32"/>
      <c r="Z1177" s="51"/>
      <c r="AA1177" s="33"/>
      <c r="AB1177" s="34">
        <f t="shared" si="396"/>
        <v>0</v>
      </c>
      <c r="AC1177" s="10"/>
      <c r="AD1177" s="10"/>
      <c r="AE1177" s="10"/>
      <c r="AF1177" s="12">
        <f t="shared" si="389"/>
        <v>0</v>
      </c>
    </row>
    <row r="1178" spans="1:32" x14ac:dyDescent="0.25">
      <c r="A1178" s="10">
        <v>27</v>
      </c>
      <c r="B1178" s="32"/>
      <c r="C1178" s="33"/>
      <c r="D1178" s="51"/>
      <c r="E1178" s="33"/>
      <c r="F1178" s="34">
        <f t="shared" si="394"/>
        <v>0</v>
      </c>
      <c r="G1178" s="10"/>
      <c r="H1178" s="10"/>
      <c r="I1178" s="10"/>
      <c r="J1178" s="12">
        <f t="shared" si="385"/>
        <v>0</v>
      </c>
      <c r="L1178" s="10">
        <v>27</v>
      </c>
      <c r="M1178" s="32"/>
      <c r="O1178" s="51"/>
      <c r="P1178" s="33"/>
      <c r="Q1178" s="34">
        <f t="shared" si="395"/>
        <v>0</v>
      </c>
      <c r="R1178" s="10"/>
      <c r="S1178" s="10"/>
      <c r="T1178" s="10"/>
      <c r="U1178" s="12">
        <f t="shared" si="387"/>
        <v>0</v>
      </c>
      <c r="W1178" s="10">
        <v>27</v>
      </c>
      <c r="X1178" s="32"/>
      <c r="Y1178" s="33"/>
      <c r="Z1178" s="51"/>
      <c r="AA1178" s="33"/>
      <c r="AB1178" s="34">
        <f t="shared" si="396"/>
        <v>0</v>
      </c>
      <c r="AC1178" s="10"/>
      <c r="AD1178" s="10"/>
      <c r="AE1178" s="10"/>
      <c r="AF1178" s="12">
        <f t="shared" si="389"/>
        <v>0</v>
      </c>
    </row>
    <row r="1179" spans="1:32" x14ac:dyDescent="0.25">
      <c r="A1179" s="10">
        <v>28</v>
      </c>
      <c r="B1179" s="32"/>
      <c r="D1179" s="51"/>
      <c r="E1179" s="33"/>
      <c r="F1179" s="34">
        <f t="shared" si="394"/>
        <v>0</v>
      </c>
      <c r="G1179" s="10"/>
      <c r="H1179" s="10"/>
      <c r="I1179" s="10"/>
      <c r="J1179" s="12">
        <f t="shared" si="385"/>
        <v>0</v>
      </c>
      <c r="L1179" s="10">
        <v>28</v>
      </c>
      <c r="M1179" s="32"/>
      <c r="N1179" s="33"/>
      <c r="O1179" s="51"/>
      <c r="P1179" s="33"/>
      <c r="Q1179" s="34">
        <f t="shared" si="395"/>
        <v>0</v>
      </c>
      <c r="R1179" s="10"/>
      <c r="S1179" s="10"/>
      <c r="T1179" s="10"/>
      <c r="U1179" s="12">
        <f t="shared" si="387"/>
        <v>0</v>
      </c>
      <c r="W1179" s="10">
        <v>28</v>
      </c>
      <c r="X1179" s="32"/>
      <c r="Z1179" s="51"/>
      <c r="AA1179" s="33"/>
      <c r="AB1179" s="34">
        <f t="shared" si="396"/>
        <v>0</v>
      </c>
      <c r="AC1179" s="10"/>
      <c r="AD1179" s="10"/>
      <c r="AE1179" s="10"/>
      <c r="AF1179" s="12">
        <f t="shared" si="389"/>
        <v>0</v>
      </c>
    </row>
    <row r="1180" spans="1:32" x14ac:dyDescent="0.25">
      <c r="A1180" s="10">
        <v>29</v>
      </c>
      <c r="B1180" s="32"/>
      <c r="C1180"/>
      <c r="D1180" s="51"/>
      <c r="E1180" s="33"/>
      <c r="F1180" s="34">
        <f t="shared" si="394"/>
        <v>0</v>
      </c>
      <c r="G1180" s="10"/>
      <c r="H1180" s="10"/>
      <c r="I1180" s="10"/>
      <c r="J1180" s="12">
        <f t="shared" si="385"/>
        <v>0</v>
      </c>
      <c r="L1180" s="10">
        <v>29</v>
      </c>
      <c r="M1180" s="32"/>
      <c r="O1180" s="51"/>
      <c r="P1180" s="33"/>
      <c r="Q1180" s="34">
        <f t="shared" si="395"/>
        <v>0</v>
      </c>
      <c r="R1180" s="10"/>
      <c r="S1180" s="10"/>
      <c r="T1180" s="10"/>
      <c r="U1180" s="12">
        <f t="shared" si="387"/>
        <v>0</v>
      </c>
      <c r="W1180" s="10">
        <v>29</v>
      </c>
      <c r="X1180" s="32"/>
      <c r="Z1180" s="51"/>
      <c r="AA1180" s="33"/>
      <c r="AB1180" s="34">
        <f t="shared" si="396"/>
        <v>0</v>
      </c>
      <c r="AC1180" s="10"/>
      <c r="AD1180" s="10"/>
      <c r="AE1180" s="10"/>
      <c r="AF1180" s="12">
        <f t="shared" si="389"/>
        <v>0</v>
      </c>
    </row>
    <row r="1181" spans="1:32" x14ac:dyDescent="0.25">
      <c r="A1181" s="10">
        <v>30</v>
      </c>
      <c r="B1181" s="32"/>
      <c r="C1181" s="33"/>
      <c r="D1181" s="51"/>
      <c r="E1181" s="33"/>
      <c r="F1181" s="34">
        <f t="shared" si="394"/>
        <v>0</v>
      </c>
      <c r="G1181" s="10"/>
      <c r="H1181" s="10"/>
      <c r="I1181" s="10"/>
      <c r="J1181" s="12">
        <f t="shared" si="385"/>
        <v>0</v>
      </c>
      <c r="L1181" s="10">
        <v>30</v>
      </c>
      <c r="M1181" s="32"/>
      <c r="N1181" s="33"/>
      <c r="O1181" s="51"/>
      <c r="P1181" s="33"/>
      <c r="Q1181" s="34">
        <f t="shared" si="395"/>
        <v>0</v>
      </c>
      <c r="R1181" s="10"/>
      <c r="S1181" s="10"/>
      <c r="T1181" s="10"/>
      <c r="U1181" s="12">
        <f t="shared" si="387"/>
        <v>0</v>
      </c>
      <c r="W1181" s="10">
        <v>30</v>
      </c>
      <c r="X1181" s="32"/>
      <c r="Y1181" s="33"/>
      <c r="Z1181" s="51"/>
      <c r="AA1181" s="33"/>
      <c r="AB1181" s="34">
        <f t="shared" si="396"/>
        <v>0</v>
      </c>
      <c r="AC1181" s="10"/>
      <c r="AD1181" s="10"/>
      <c r="AE1181" s="10"/>
      <c r="AF1181" s="12">
        <f t="shared" si="389"/>
        <v>0</v>
      </c>
    </row>
    <row r="1182" spans="1:32" x14ac:dyDescent="0.25">
      <c r="A1182" s="10">
        <v>31</v>
      </c>
      <c r="B1182" s="32"/>
      <c r="C1182" s="33"/>
      <c r="D1182" s="51"/>
      <c r="E1182" s="33"/>
      <c r="F1182" s="34">
        <f t="shared" si="394"/>
        <v>0</v>
      </c>
      <c r="G1182" s="10"/>
      <c r="H1182" s="10"/>
      <c r="I1182" s="10"/>
      <c r="J1182" s="12">
        <f t="shared" si="385"/>
        <v>0</v>
      </c>
      <c r="L1182" s="10">
        <v>31</v>
      </c>
      <c r="M1182" s="32"/>
      <c r="O1182" s="51"/>
      <c r="P1182" s="33"/>
      <c r="Q1182" s="34">
        <f t="shared" si="395"/>
        <v>0</v>
      </c>
      <c r="R1182" s="10"/>
      <c r="S1182" s="10"/>
      <c r="T1182" s="10"/>
      <c r="U1182" s="12">
        <f t="shared" si="387"/>
        <v>0</v>
      </c>
      <c r="W1182" s="10">
        <v>31</v>
      </c>
      <c r="X1182" s="32"/>
      <c r="Z1182" s="51"/>
      <c r="AA1182" s="33"/>
      <c r="AB1182" s="34">
        <f t="shared" si="396"/>
        <v>0</v>
      </c>
      <c r="AC1182" s="10"/>
      <c r="AD1182" s="10"/>
      <c r="AE1182" s="10"/>
      <c r="AF1182" s="12">
        <f t="shared" si="389"/>
        <v>0</v>
      </c>
    </row>
    <row r="1183" spans="1:32" x14ac:dyDescent="0.25">
      <c r="A1183" s="10">
        <v>32</v>
      </c>
      <c r="B1183" s="32"/>
      <c r="C1183" s="70"/>
      <c r="D1183" s="51"/>
      <c r="E1183" s="33"/>
      <c r="F1183" s="34">
        <f t="shared" si="394"/>
        <v>0</v>
      </c>
      <c r="G1183" s="10"/>
      <c r="H1183" s="10"/>
      <c r="I1183" s="10"/>
      <c r="J1183" s="12">
        <f t="shared" si="385"/>
        <v>0</v>
      </c>
      <c r="L1183" s="10">
        <v>32</v>
      </c>
      <c r="M1183" s="32"/>
      <c r="N1183" s="33"/>
      <c r="O1183" s="51"/>
      <c r="P1183" s="33"/>
      <c r="Q1183" s="34">
        <f t="shared" si="395"/>
        <v>0</v>
      </c>
      <c r="R1183" s="10"/>
      <c r="S1183" s="10"/>
      <c r="T1183" s="10"/>
      <c r="U1183" s="12">
        <f t="shared" si="387"/>
        <v>0</v>
      </c>
      <c r="W1183" s="10">
        <v>32</v>
      </c>
      <c r="X1183" s="32"/>
      <c r="Y1183" s="33"/>
      <c r="Z1183" s="51"/>
      <c r="AA1183" s="33"/>
      <c r="AB1183" s="34">
        <f t="shared" si="396"/>
        <v>0</v>
      </c>
      <c r="AC1183" s="10"/>
      <c r="AD1183" s="10"/>
      <c r="AE1183" s="10"/>
      <c r="AF1183" s="12">
        <f t="shared" si="389"/>
        <v>0</v>
      </c>
    </row>
    <row r="1184" spans="1:32" x14ac:dyDescent="0.25">
      <c r="A1184" s="10">
        <v>33</v>
      </c>
      <c r="B1184" s="32"/>
      <c r="C1184" s="33"/>
      <c r="D1184" s="51"/>
      <c r="E1184" s="33"/>
      <c r="F1184" s="34">
        <f t="shared" si="394"/>
        <v>0</v>
      </c>
      <c r="G1184" s="10"/>
      <c r="H1184" s="10"/>
      <c r="I1184" s="10"/>
      <c r="J1184" s="12">
        <f t="shared" si="385"/>
        <v>0</v>
      </c>
      <c r="L1184" s="10">
        <v>33</v>
      </c>
      <c r="M1184" s="32"/>
      <c r="N1184" s="33"/>
      <c r="O1184" s="51"/>
      <c r="P1184" s="33"/>
      <c r="Q1184" s="34">
        <f t="shared" si="395"/>
        <v>0</v>
      </c>
      <c r="R1184" s="10"/>
      <c r="S1184" s="10"/>
      <c r="T1184" s="10"/>
      <c r="U1184" s="12">
        <f t="shared" si="387"/>
        <v>0</v>
      </c>
      <c r="W1184" s="10">
        <v>33</v>
      </c>
      <c r="X1184" s="32"/>
      <c r="Y1184" s="33"/>
      <c r="Z1184" s="51"/>
      <c r="AA1184" s="33"/>
      <c r="AB1184" s="34">
        <f t="shared" si="396"/>
        <v>0</v>
      </c>
      <c r="AC1184" s="10"/>
      <c r="AD1184" s="10"/>
      <c r="AE1184" s="10"/>
      <c r="AF1184" s="12">
        <f t="shared" si="389"/>
        <v>0</v>
      </c>
    </row>
    <row r="1185" spans="1:32" x14ac:dyDescent="0.25">
      <c r="A1185" s="10">
        <v>34</v>
      </c>
      <c r="B1185" s="32"/>
      <c r="C1185" s="33"/>
      <c r="D1185" s="51"/>
      <c r="E1185" s="33"/>
      <c r="F1185" s="34">
        <f t="shared" si="394"/>
        <v>0</v>
      </c>
      <c r="G1185" s="10"/>
      <c r="H1185" s="10"/>
      <c r="I1185" s="10"/>
      <c r="J1185" s="12">
        <f t="shared" si="385"/>
        <v>0</v>
      </c>
      <c r="L1185" s="10">
        <v>34</v>
      </c>
      <c r="M1185" s="32"/>
      <c r="N1185" s="33"/>
      <c r="O1185" s="51"/>
      <c r="P1185" s="33"/>
      <c r="Q1185" s="34">
        <f t="shared" si="395"/>
        <v>0</v>
      </c>
      <c r="R1185" s="10"/>
      <c r="S1185" s="10"/>
      <c r="T1185" s="10"/>
      <c r="U1185" s="12">
        <f t="shared" si="387"/>
        <v>0</v>
      </c>
      <c r="W1185" s="10">
        <v>34</v>
      </c>
      <c r="X1185" s="32"/>
      <c r="Y1185" s="33"/>
      <c r="Z1185" s="51"/>
      <c r="AA1185" s="33"/>
      <c r="AB1185" s="34">
        <f t="shared" ref="AB1185:AB1190" si="397">SUM(Z1185:AA1185)</f>
        <v>0</v>
      </c>
      <c r="AC1185" s="10"/>
      <c r="AD1185" s="10"/>
      <c r="AE1185" s="10"/>
      <c r="AF1185" s="12">
        <f t="shared" si="389"/>
        <v>0</v>
      </c>
    </row>
    <row r="1186" spans="1:32" x14ac:dyDescent="0.25">
      <c r="A1186" s="10">
        <v>35</v>
      </c>
      <c r="B1186" s="32"/>
      <c r="C1186" s="33"/>
      <c r="D1186" s="51"/>
      <c r="E1186" s="33"/>
      <c r="F1186" s="34">
        <f t="shared" si="394"/>
        <v>0</v>
      </c>
      <c r="G1186" s="10"/>
      <c r="H1186" s="10"/>
      <c r="I1186" s="10"/>
      <c r="J1186" s="12">
        <f t="shared" si="385"/>
        <v>0</v>
      </c>
      <c r="L1186" s="10">
        <v>35</v>
      </c>
      <c r="M1186" s="32"/>
      <c r="N1186" s="33"/>
      <c r="O1186" s="51"/>
      <c r="P1186" s="33"/>
      <c r="Q1186" s="34">
        <f t="shared" si="395"/>
        <v>0</v>
      </c>
      <c r="R1186" s="10"/>
      <c r="S1186" s="10"/>
      <c r="T1186" s="10"/>
      <c r="U1186" s="12">
        <f t="shared" si="387"/>
        <v>0</v>
      </c>
      <c r="W1186" s="10">
        <v>35</v>
      </c>
      <c r="X1186" s="32"/>
      <c r="Y1186" s="33"/>
      <c r="Z1186" s="51"/>
      <c r="AA1186" s="33"/>
      <c r="AB1186" s="34">
        <f t="shared" si="397"/>
        <v>0</v>
      </c>
      <c r="AC1186" s="10"/>
      <c r="AD1186" s="10"/>
      <c r="AE1186" s="10"/>
      <c r="AF1186" s="12">
        <f t="shared" si="389"/>
        <v>0</v>
      </c>
    </row>
    <row r="1187" spans="1:32" x14ac:dyDescent="0.25">
      <c r="A1187" s="10">
        <v>36</v>
      </c>
      <c r="B1187" s="32"/>
      <c r="C1187" s="33"/>
      <c r="D1187" s="51"/>
      <c r="E1187" s="33"/>
      <c r="F1187" s="34">
        <f t="shared" si="394"/>
        <v>0</v>
      </c>
      <c r="G1187" s="10"/>
      <c r="H1187" s="10"/>
      <c r="I1187" s="10"/>
      <c r="J1187" s="12">
        <f t="shared" si="385"/>
        <v>0</v>
      </c>
      <c r="L1187" s="10">
        <v>36</v>
      </c>
      <c r="M1187" s="32"/>
      <c r="N1187" s="33"/>
      <c r="O1187" s="51"/>
      <c r="P1187" s="33"/>
      <c r="Q1187" s="34">
        <f t="shared" si="395"/>
        <v>0</v>
      </c>
      <c r="R1187" s="10"/>
      <c r="S1187" s="10"/>
      <c r="T1187" s="10"/>
      <c r="U1187" s="12">
        <f t="shared" si="387"/>
        <v>0</v>
      </c>
      <c r="W1187" s="10">
        <v>36</v>
      </c>
      <c r="X1187" s="32"/>
      <c r="Y1187" s="33"/>
      <c r="Z1187" s="51"/>
      <c r="AA1187" s="33"/>
      <c r="AB1187" s="34">
        <f t="shared" si="397"/>
        <v>0</v>
      </c>
      <c r="AC1187" s="10"/>
      <c r="AD1187" s="10"/>
      <c r="AE1187" s="10"/>
      <c r="AF1187" s="12">
        <f t="shared" si="389"/>
        <v>0</v>
      </c>
    </row>
    <row r="1188" spans="1:32" x14ac:dyDescent="0.25">
      <c r="A1188" s="10">
        <v>37</v>
      </c>
      <c r="B1188" s="32"/>
      <c r="C1188" s="33"/>
      <c r="D1188" s="51"/>
      <c r="E1188" s="33"/>
      <c r="F1188" s="34">
        <f t="shared" si="394"/>
        <v>0</v>
      </c>
      <c r="G1188" s="10"/>
      <c r="H1188" s="10"/>
      <c r="I1188" s="10"/>
      <c r="J1188" s="12">
        <f t="shared" si="385"/>
        <v>0</v>
      </c>
      <c r="L1188" s="10">
        <v>37</v>
      </c>
      <c r="M1188" s="32"/>
      <c r="O1188" s="51"/>
      <c r="P1188" s="33"/>
      <c r="Q1188" s="34">
        <f t="shared" si="395"/>
        <v>0</v>
      </c>
      <c r="R1188" s="10"/>
      <c r="S1188" s="10"/>
      <c r="T1188" s="10"/>
      <c r="U1188" s="12">
        <f t="shared" si="387"/>
        <v>0</v>
      </c>
      <c r="W1188" s="10">
        <v>37</v>
      </c>
      <c r="X1188" s="32"/>
      <c r="Y1188" s="33"/>
      <c r="Z1188" s="51"/>
      <c r="AA1188" s="33"/>
      <c r="AB1188" s="34">
        <f t="shared" si="397"/>
        <v>0</v>
      </c>
      <c r="AC1188" s="10"/>
      <c r="AD1188" s="10"/>
      <c r="AE1188" s="10"/>
      <c r="AF1188" s="12">
        <f t="shared" si="389"/>
        <v>0</v>
      </c>
    </row>
    <row r="1189" spans="1:32" x14ac:dyDescent="0.25">
      <c r="A1189" s="10">
        <v>38</v>
      </c>
      <c r="B1189" s="32"/>
      <c r="C1189" s="33"/>
      <c r="D1189" s="51"/>
      <c r="E1189" s="33"/>
      <c r="F1189" s="34">
        <f t="shared" si="394"/>
        <v>0</v>
      </c>
      <c r="G1189" s="10"/>
      <c r="H1189" s="10"/>
      <c r="I1189" s="10"/>
      <c r="J1189" s="12">
        <f t="shared" si="385"/>
        <v>0</v>
      </c>
      <c r="L1189" s="10">
        <v>38</v>
      </c>
      <c r="M1189" s="32"/>
      <c r="N1189" s="33"/>
      <c r="O1189" s="51"/>
      <c r="P1189" s="33"/>
      <c r="Q1189" s="34">
        <f t="shared" si="395"/>
        <v>0</v>
      </c>
      <c r="R1189" s="10"/>
      <c r="S1189" s="10"/>
      <c r="T1189" s="10"/>
      <c r="U1189" s="12">
        <f t="shared" si="387"/>
        <v>0</v>
      </c>
      <c r="W1189" s="10">
        <v>38</v>
      </c>
      <c r="X1189" s="32"/>
      <c r="Y1189" s="33"/>
      <c r="Z1189" s="51"/>
      <c r="AA1189" s="33"/>
      <c r="AB1189" s="34">
        <f t="shared" si="397"/>
        <v>0</v>
      </c>
      <c r="AC1189" s="10"/>
      <c r="AD1189" s="10"/>
      <c r="AE1189" s="10"/>
      <c r="AF1189" s="12">
        <f t="shared" si="389"/>
        <v>0</v>
      </c>
    </row>
    <row r="1190" spans="1:32" x14ac:dyDescent="0.25">
      <c r="A1190" s="10">
        <v>39</v>
      </c>
      <c r="B1190" s="32"/>
      <c r="C1190" s="33"/>
      <c r="D1190" s="51"/>
      <c r="E1190" s="33"/>
      <c r="F1190" s="34">
        <f t="shared" si="394"/>
        <v>0</v>
      </c>
      <c r="G1190" s="10"/>
      <c r="H1190" s="10"/>
      <c r="I1190" s="10"/>
      <c r="J1190" s="12">
        <f t="shared" si="385"/>
        <v>0</v>
      </c>
      <c r="L1190" s="10">
        <v>39</v>
      </c>
      <c r="M1190" s="32"/>
      <c r="N1190" s="33"/>
      <c r="O1190" s="51"/>
      <c r="P1190" s="33"/>
      <c r="Q1190" s="34">
        <f t="shared" si="395"/>
        <v>0</v>
      </c>
      <c r="R1190" s="10"/>
      <c r="S1190" s="10"/>
      <c r="T1190" s="10"/>
      <c r="U1190" s="12">
        <f t="shared" si="387"/>
        <v>0</v>
      </c>
      <c r="W1190" s="10">
        <v>39</v>
      </c>
      <c r="X1190" s="32"/>
      <c r="Y1190" s="33"/>
      <c r="Z1190" s="51"/>
      <c r="AA1190" s="33"/>
      <c r="AB1190" s="34">
        <f t="shared" si="397"/>
        <v>0</v>
      </c>
      <c r="AC1190" s="10"/>
      <c r="AD1190" s="10"/>
      <c r="AE1190" s="10"/>
      <c r="AF1190" s="12">
        <f t="shared" si="389"/>
        <v>0</v>
      </c>
    </row>
    <row r="1191" spans="1:32" x14ac:dyDescent="0.25">
      <c r="A1191" s="10"/>
      <c r="B1191" s="32"/>
      <c r="C1191"/>
      <c r="D1191" s="51"/>
      <c r="E1191" s="33"/>
      <c r="F1191" s="34"/>
      <c r="G1191" s="10"/>
      <c r="H1191" s="10"/>
      <c r="I1191" s="10"/>
      <c r="J1191" s="12">
        <f t="shared" si="385"/>
        <v>0</v>
      </c>
      <c r="L1191" s="10"/>
      <c r="M1191" s="32"/>
      <c r="O1191" s="51"/>
      <c r="P1191" s="33"/>
      <c r="Q1191" s="34"/>
      <c r="R1191" s="10"/>
      <c r="S1191" s="10"/>
      <c r="T1191" s="10"/>
      <c r="U1191" s="12">
        <f t="shared" si="387"/>
        <v>0</v>
      </c>
      <c r="W1191" s="10"/>
      <c r="X1191" s="32"/>
      <c r="Z1191" s="51"/>
      <c r="AA1191" s="33"/>
      <c r="AB1191" s="34"/>
      <c r="AC1191" s="10"/>
      <c r="AD1191" s="10"/>
      <c r="AE1191" s="10"/>
      <c r="AF1191" s="12">
        <f t="shared" si="389"/>
        <v>0</v>
      </c>
    </row>
    <row r="1192" spans="1:32" x14ac:dyDescent="0.25">
      <c r="A1192" s="10"/>
      <c r="B1192" s="32"/>
      <c r="C1192" s="33"/>
      <c r="D1192" s="51"/>
      <c r="E1192" s="33"/>
      <c r="F1192" s="34">
        <f t="shared" ref="F1192" si="398">SUM(D1192:E1192)</f>
        <v>0</v>
      </c>
      <c r="G1192" s="10"/>
      <c r="H1192" s="10"/>
      <c r="I1192" s="10"/>
      <c r="J1192" s="12">
        <f t="shared" si="385"/>
        <v>0</v>
      </c>
      <c r="L1192" s="10"/>
      <c r="M1192" s="32"/>
      <c r="N1192" s="33"/>
      <c r="O1192" s="51"/>
      <c r="P1192" s="33"/>
      <c r="Q1192" s="34">
        <f t="shared" ref="Q1192" si="399">SUM(O1192:P1192)</f>
        <v>0</v>
      </c>
      <c r="R1192" s="10"/>
      <c r="S1192" s="10"/>
      <c r="T1192" s="10"/>
      <c r="U1192" s="12">
        <f t="shared" si="387"/>
        <v>0</v>
      </c>
      <c r="W1192" s="10"/>
      <c r="X1192" s="32"/>
      <c r="Y1192" s="33"/>
      <c r="Z1192" s="51"/>
      <c r="AA1192" s="33"/>
      <c r="AB1192" s="34">
        <f t="shared" ref="AB1192" si="400">SUM(Z1192:AA1192)</f>
        <v>0</v>
      </c>
      <c r="AC1192" s="10"/>
      <c r="AD1192" s="10"/>
      <c r="AE1192" s="10"/>
      <c r="AF1192" s="12">
        <f t="shared" si="389"/>
        <v>0</v>
      </c>
    </row>
    <row r="1193" spans="1:32" x14ac:dyDescent="0.25">
      <c r="A1193" s="10"/>
      <c r="B1193" s="33"/>
      <c r="C1193" s="33"/>
      <c r="D1193" s="33"/>
      <c r="E1193" s="33"/>
      <c r="F1193" s="33"/>
      <c r="G1193" s="10"/>
      <c r="H1193" s="10"/>
      <c r="I1193" s="10"/>
      <c r="J1193" s="12">
        <f t="shared" si="385"/>
        <v>0</v>
      </c>
      <c r="L1193" s="10"/>
      <c r="M1193" s="33"/>
      <c r="N1193" s="33"/>
      <c r="O1193" s="33"/>
      <c r="P1193" s="33"/>
      <c r="Q1193" s="33"/>
      <c r="R1193" s="10"/>
      <c r="S1193" s="10"/>
      <c r="T1193" s="10"/>
      <c r="U1193" s="12">
        <f t="shared" si="387"/>
        <v>0</v>
      </c>
      <c r="W1193" s="10"/>
      <c r="X1193" s="33"/>
      <c r="Y1193" s="33"/>
      <c r="Z1193" s="33"/>
      <c r="AA1193" s="33"/>
      <c r="AB1193" s="33"/>
      <c r="AC1193" s="10"/>
      <c r="AD1193" s="10"/>
      <c r="AE1193" s="10"/>
      <c r="AF1193" s="12">
        <f t="shared" si="389"/>
        <v>0</v>
      </c>
    </row>
    <row r="1194" spans="1:32" x14ac:dyDescent="0.25">
      <c r="B1194" s="70"/>
      <c r="C1194" s="70"/>
      <c r="D1194" s="38"/>
      <c r="E1194" s="38"/>
      <c r="F1194" s="38"/>
      <c r="G1194" s="39"/>
      <c r="H1194" s="39"/>
      <c r="I1194" s="39"/>
      <c r="J1194" s="39"/>
      <c r="M1194" s="70"/>
      <c r="N1194" s="70"/>
      <c r="O1194" s="38"/>
      <c r="P1194" s="38"/>
      <c r="Q1194" s="38"/>
      <c r="R1194" s="39"/>
      <c r="S1194" s="39"/>
      <c r="T1194" s="39"/>
      <c r="U1194" s="39"/>
      <c r="X1194" s="70"/>
      <c r="Y1194" s="70"/>
      <c r="Z1194" s="38"/>
      <c r="AA1194" s="38"/>
      <c r="AB1194" s="38"/>
      <c r="AC1194" s="39"/>
      <c r="AD1194" s="39"/>
      <c r="AE1194" s="39"/>
      <c r="AF1194" s="39"/>
    </row>
    <row r="1195" spans="1:32" x14ac:dyDescent="0.25">
      <c r="B1195" s="70"/>
      <c r="C1195" s="70"/>
      <c r="D1195" s="40">
        <f>SUM(D1152:D1194)</f>
        <v>138571</v>
      </c>
      <c r="E1195" s="40">
        <f>SUM(E1152:E1176)</f>
        <v>0</v>
      </c>
      <c r="F1195" s="40">
        <f>SUM(F1152:F1194)</f>
        <v>138571</v>
      </c>
      <c r="G1195" s="4"/>
      <c r="H1195" s="43">
        <f>SUM(H1152:H1194)</f>
        <v>245</v>
      </c>
      <c r="I1195" s="43">
        <f>SUM(I1152:I1176)</f>
        <v>-1176</v>
      </c>
      <c r="J1195" s="44">
        <f>SUM(J1152:J1194)</f>
        <v>137640</v>
      </c>
      <c r="M1195" s="70"/>
      <c r="N1195" s="70"/>
      <c r="O1195" s="40">
        <f>SUM(O1152:O1194)</f>
        <v>176457.5</v>
      </c>
      <c r="P1195" s="40">
        <f>SUM(P1152:P1176)</f>
        <v>0</v>
      </c>
      <c r="Q1195" s="40">
        <f>SUM(Q1152:Q1194)</f>
        <v>176457.5</v>
      </c>
      <c r="R1195" s="4"/>
      <c r="S1195" s="43">
        <f>SUM(S1152:S1194)</f>
        <v>388.5</v>
      </c>
      <c r="T1195" s="43">
        <f>SUM(T1152:T1176)</f>
        <v>-1110</v>
      </c>
      <c r="U1195" s="44">
        <f>SUM(U1152:U1194)</f>
        <v>175736</v>
      </c>
      <c r="X1195" s="70"/>
      <c r="Y1195" s="70"/>
      <c r="Z1195" s="40">
        <f>SUM(Z1152:Z1194)</f>
        <v>170601</v>
      </c>
      <c r="AA1195" s="40">
        <f>SUM(AA1152:AA1176)</f>
        <v>-744</v>
      </c>
      <c r="AB1195" s="40">
        <f>SUM(AB1152:AB1194)</f>
        <v>169857</v>
      </c>
      <c r="AC1195" s="4"/>
      <c r="AD1195" s="43">
        <f>SUM(AD1152:AD1194)</f>
        <v>1202.5</v>
      </c>
      <c r="AE1195" s="43">
        <f>SUM(AE1152:AE1176)</f>
        <v>0</v>
      </c>
      <c r="AF1195" s="44">
        <f>SUM(AF1152:AF1194)</f>
        <v>171059.5</v>
      </c>
    </row>
    <row r="1196" spans="1:32" x14ac:dyDescent="0.25">
      <c r="B1196" s="70"/>
      <c r="C1196" s="70"/>
      <c r="D1196" s="45"/>
      <c r="E1196" s="70"/>
      <c r="F1196" s="70"/>
      <c r="M1196" s="70"/>
      <c r="N1196" s="70"/>
      <c r="O1196" s="45"/>
      <c r="P1196" s="70"/>
      <c r="Q1196" s="70"/>
      <c r="X1196" s="70"/>
      <c r="Y1196" s="70"/>
      <c r="Z1196" s="45"/>
      <c r="AA1196" s="70"/>
      <c r="AB1196" s="70"/>
    </row>
    <row r="1197" spans="1:32" x14ac:dyDescent="0.25">
      <c r="B1197" s="70"/>
      <c r="C1197" s="70"/>
      <c r="D1197" s="70"/>
      <c r="E1197" s="70"/>
      <c r="F1197" s="70"/>
      <c r="M1197" s="70"/>
      <c r="N1197" s="70"/>
      <c r="O1197" s="70"/>
      <c r="P1197" s="70"/>
      <c r="Q1197" s="70"/>
      <c r="X1197" s="70"/>
      <c r="Y1197" s="70"/>
      <c r="Z1197" s="70"/>
      <c r="AA1197" s="70"/>
      <c r="AB1197" s="70"/>
    </row>
    <row r="1198" spans="1:32" x14ac:dyDescent="0.25">
      <c r="A1198" s="18"/>
      <c r="B1198" s="18"/>
      <c r="C1198" s="18"/>
      <c r="D1198" s="18"/>
      <c r="E1198" s="18"/>
      <c r="F1198" s="18"/>
      <c r="G1198" s="18"/>
      <c r="H1198" s="18"/>
      <c r="I1198" s="18"/>
      <c r="J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W1198" s="18"/>
      <c r="X1198" s="18"/>
      <c r="Y1198" s="18"/>
      <c r="Z1198" s="18"/>
      <c r="AA1198" s="18"/>
      <c r="AB1198" s="18"/>
      <c r="AC1198" s="18"/>
      <c r="AD1198" s="18"/>
      <c r="AE1198" s="18"/>
      <c r="AF1198" s="18"/>
    </row>
    <row r="1199" spans="1:32" x14ac:dyDescent="0.25">
      <c r="A1199" t="s">
        <v>0</v>
      </c>
      <c r="B1199" s="70"/>
      <c r="C1199" s="70"/>
      <c r="D1199" s="70"/>
      <c r="E1199" s="70"/>
      <c r="F1199" s="70"/>
      <c r="L1199" t="s">
        <v>0</v>
      </c>
      <c r="M1199" s="70"/>
      <c r="N1199" s="70"/>
      <c r="O1199" s="70"/>
      <c r="P1199" s="70"/>
      <c r="Q1199" s="70"/>
      <c r="W1199" t="s">
        <v>0</v>
      </c>
      <c r="X1199" s="70"/>
      <c r="Y1199" s="70"/>
      <c r="Z1199" s="70"/>
      <c r="AA1199" s="70"/>
      <c r="AB1199" s="70"/>
    </row>
    <row r="1200" spans="1:32" x14ac:dyDescent="0.25">
      <c r="A1200" t="s">
        <v>30</v>
      </c>
      <c r="B1200" s="70"/>
      <c r="C1200" s="70"/>
      <c r="D1200" s="70"/>
      <c r="E1200" s="70"/>
      <c r="F1200" s="70"/>
      <c r="L1200" t="s">
        <v>30</v>
      </c>
      <c r="M1200" s="70"/>
      <c r="N1200" s="70"/>
      <c r="O1200" s="70"/>
      <c r="P1200" s="70"/>
      <c r="Q1200" s="70"/>
      <c r="W1200" t="s">
        <v>30</v>
      </c>
      <c r="X1200" s="70"/>
      <c r="Y1200" s="70"/>
      <c r="Z1200" s="70"/>
      <c r="AA1200" s="70"/>
      <c r="AB1200" s="70"/>
    </row>
    <row r="1201" spans="1:32" x14ac:dyDescent="0.25">
      <c r="B1201" s="70"/>
      <c r="C1201" s="70"/>
      <c r="D1201" s="70"/>
      <c r="E1201" s="70"/>
      <c r="F1201" s="70"/>
      <c r="M1201" s="70"/>
      <c r="N1201" s="70"/>
      <c r="O1201" s="70"/>
      <c r="P1201" s="70"/>
      <c r="Q1201" s="70"/>
      <c r="X1201" s="70"/>
      <c r="Y1201" s="70"/>
      <c r="Z1201" s="70"/>
      <c r="AA1201" s="70"/>
      <c r="AB1201" s="70"/>
    </row>
    <row r="1202" spans="1:32" x14ac:dyDescent="0.25">
      <c r="A1202" s="4" t="s">
        <v>15</v>
      </c>
      <c r="B1202" s="70"/>
      <c r="C1202" s="70"/>
      <c r="D1202" s="70"/>
      <c r="E1202" s="70"/>
      <c r="F1202" s="70"/>
      <c r="L1202" s="4" t="s">
        <v>15</v>
      </c>
      <c r="M1202" s="70"/>
      <c r="N1202" s="70"/>
      <c r="O1202" s="70"/>
      <c r="P1202" s="70"/>
      <c r="Q1202" s="70"/>
      <c r="W1202" s="4" t="s">
        <v>15</v>
      </c>
      <c r="X1202" s="70"/>
      <c r="Y1202" s="70"/>
      <c r="Z1202" s="70"/>
      <c r="AA1202" s="70"/>
      <c r="AB1202" s="70"/>
    </row>
    <row r="1203" spans="1:32" x14ac:dyDescent="0.25">
      <c r="B1203" s="70"/>
      <c r="C1203" s="70"/>
      <c r="D1203" s="70"/>
      <c r="E1203" s="70"/>
      <c r="F1203" s="70"/>
      <c r="M1203" s="70"/>
      <c r="N1203" s="70"/>
      <c r="O1203" s="70"/>
      <c r="P1203" s="70"/>
      <c r="Q1203" s="70"/>
      <c r="X1203" s="70"/>
      <c r="Y1203" s="70"/>
      <c r="Z1203" s="70"/>
      <c r="AA1203" s="70"/>
      <c r="AB1203" s="70"/>
    </row>
    <row r="1204" spans="1:32" ht="15.75" x14ac:dyDescent="0.25">
      <c r="A1204" t="s">
        <v>32</v>
      </c>
      <c r="B1204" s="70"/>
      <c r="C1204" s="70"/>
      <c r="D1204" s="70"/>
      <c r="E1204" s="70"/>
      <c r="F1204" s="70"/>
      <c r="H1204" s="70" t="s">
        <v>16</v>
      </c>
      <c r="I1204" s="19">
        <v>1</v>
      </c>
      <c r="L1204" t="s">
        <v>32</v>
      </c>
      <c r="M1204" s="70"/>
      <c r="N1204" s="70"/>
      <c r="O1204" s="70"/>
      <c r="P1204" s="70"/>
      <c r="Q1204" s="70"/>
      <c r="S1204" s="70" t="s">
        <v>16</v>
      </c>
      <c r="T1204" s="19">
        <v>2</v>
      </c>
      <c r="W1204" t="s">
        <v>32</v>
      </c>
      <c r="X1204" s="70"/>
      <c r="Y1204" s="70"/>
      <c r="Z1204" s="70"/>
      <c r="AA1204" s="70"/>
      <c r="AB1204" s="70"/>
      <c r="AD1204" s="70" t="s">
        <v>16</v>
      </c>
      <c r="AE1204" s="20">
        <v>3</v>
      </c>
    </row>
    <row r="1205" spans="1:32" x14ac:dyDescent="0.25">
      <c r="A1205" s="21" t="s">
        <v>90</v>
      </c>
      <c r="B1205" s="20"/>
      <c r="C1205" s="70"/>
      <c r="D1205" s="70"/>
      <c r="E1205" s="70"/>
      <c r="F1205" s="70"/>
      <c r="H1205" s="22" t="s">
        <v>17</v>
      </c>
      <c r="I1205" s="23" t="s">
        <v>46</v>
      </c>
      <c r="J1205" s="24"/>
      <c r="L1205" s="21" t="s">
        <v>90</v>
      </c>
      <c r="M1205" s="20"/>
      <c r="N1205" s="70"/>
      <c r="O1205" s="70"/>
      <c r="P1205" s="70"/>
      <c r="Q1205" s="70"/>
      <c r="S1205" s="22" t="s">
        <v>17</v>
      </c>
      <c r="T1205" s="23" t="s">
        <v>34</v>
      </c>
      <c r="U1205" s="24"/>
      <c r="W1205" s="21" t="s">
        <v>90</v>
      </c>
      <c r="X1205" s="20"/>
      <c r="Y1205" s="70"/>
      <c r="Z1205" s="70"/>
      <c r="AA1205" s="70"/>
      <c r="AB1205" s="70"/>
      <c r="AD1205" s="22" t="s">
        <v>17</v>
      </c>
      <c r="AE1205" s="23" t="s">
        <v>91</v>
      </c>
      <c r="AF1205" s="24"/>
    </row>
    <row r="1206" spans="1:32" x14ac:dyDescent="0.25">
      <c r="B1206" s="70"/>
      <c r="C1206" s="70"/>
      <c r="D1206" s="70"/>
      <c r="E1206" s="70"/>
      <c r="F1206" s="70"/>
      <c r="M1206" s="70"/>
      <c r="N1206" s="70"/>
      <c r="O1206" s="70"/>
      <c r="P1206" s="70"/>
      <c r="Q1206" s="70"/>
      <c r="X1206" s="70"/>
      <c r="Y1206" s="70"/>
      <c r="Z1206" s="70"/>
      <c r="AA1206" s="70"/>
      <c r="AB1206" s="70"/>
    </row>
    <row r="1207" spans="1:32" x14ac:dyDescent="0.25">
      <c r="B1207" s="25"/>
      <c r="C1207" s="26"/>
      <c r="D1207" s="79" t="s">
        <v>18</v>
      </c>
      <c r="E1207" s="79"/>
      <c r="F1207" s="27"/>
      <c r="H1207" s="77" t="s">
        <v>19</v>
      </c>
      <c r="I1207" s="78"/>
      <c r="J1207" s="75" t="s">
        <v>20</v>
      </c>
      <c r="M1207" s="25"/>
      <c r="N1207" s="26"/>
      <c r="O1207" s="79" t="s">
        <v>18</v>
      </c>
      <c r="P1207" s="79"/>
      <c r="Q1207" s="27"/>
      <c r="S1207" s="77" t="s">
        <v>19</v>
      </c>
      <c r="T1207" s="78"/>
      <c r="U1207" s="75" t="s">
        <v>20</v>
      </c>
      <c r="X1207" s="25"/>
      <c r="Y1207" s="26"/>
      <c r="Z1207" s="79" t="s">
        <v>18</v>
      </c>
      <c r="AA1207" s="79"/>
      <c r="AB1207" s="27"/>
      <c r="AD1207" s="77" t="s">
        <v>19</v>
      </c>
      <c r="AE1207" s="78"/>
      <c r="AF1207" s="75" t="s">
        <v>20</v>
      </c>
    </row>
    <row r="1208" spans="1:32" ht="30" x14ac:dyDescent="0.25">
      <c r="B1208" s="28" t="s">
        <v>21</v>
      </c>
      <c r="C1208" s="28" t="s">
        <v>22</v>
      </c>
      <c r="D1208" s="29" t="s">
        <v>23</v>
      </c>
      <c r="E1208" s="30" t="s">
        <v>24</v>
      </c>
      <c r="F1208" s="30" t="s">
        <v>25</v>
      </c>
      <c r="H1208" s="31" t="s">
        <v>26</v>
      </c>
      <c r="I1208" s="31" t="s">
        <v>27</v>
      </c>
      <c r="J1208" s="76"/>
      <c r="M1208" s="28" t="s">
        <v>21</v>
      </c>
      <c r="N1208" s="28" t="s">
        <v>22</v>
      </c>
      <c r="O1208" s="29" t="s">
        <v>23</v>
      </c>
      <c r="P1208" s="30" t="s">
        <v>24</v>
      </c>
      <c r="Q1208" s="30" t="s">
        <v>25</v>
      </c>
      <c r="S1208" s="31" t="s">
        <v>26</v>
      </c>
      <c r="T1208" s="31" t="s">
        <v>27</v>
      </c>
      <c r="U1208" s="76"/>
      <c r="X1208" s="28" t="s">
        <v>21</v>
      </c>
      <c r="Y1208" s="28" t="s">
        <v>22</v>
      </c>
      <c r="Z1208" s="29" t="s">
        <v>23</v>
      </c>
      <c r="AA1208" s="30" t="s">
        <v>24</v>
      </c>
      <c r="AB1208" s="30" t="s">
        <v>25</v>
      </c>
      <c r="AD1208" s="31" t="s">
        <v>26</v>
      </c>
      <c r="AE1208" s="31" t="s">
        <v>27</v>
      </c>
      <c r="AF1208" s="76"/>
    </row>
    <row r="1209" spans="1:32" x14ac:dyDescent="0.25">
      <c r="A1209" s="10">
        <v>1</v>
      </c>
      <c r="B1209" s="32">
        <v>45684</v>
      </c>
      <c r="C1209" s="33">
        <v>7969</v>
      </c>
      <c r="D1209" s="34">
        <f>1252+17</f>
        <v>1269</v>
      </c>
      <c r="E1209" s="34"/>
      <c r="F1209" s="34">
        <f>SUM(D1209:E1209)</f>
        <v>1269</v>
      </c>
      <c r="G1209" s="12"/>
      <c r="H1209" s="12"/>
      <c r="I1209" s="12"/>
      <c r="J1209" s="12">
        <f>SUM(F1209:I1209)</f>
        <v>1269</v>
      </c>
      <c r="L1209" s="10">
        <v>1</v>
      </c>
      <c r="M1209" s="32">
        <v>45684</v>
      </c>
      <c r="N1209" s="33">
        <v>7938</v>
      </c>
      <c r="O1209" s="34">
        <f>1252+614+17</f>
        <v>1883</v>
      </c>
      <c r="P1209" s="34"/>
      <c r="Q1209" s="34">
        <f>SUM(O1209:P1209)</f>
        <v>1883</v>
      </c>
      <c r="R1209" s="12"/>
      <c r="S1209" s="12"/>
      <c r="T1209" s="12"/>
      <c r="U1209" s="12">
        <f>SUM(Q1209:T1209)</f>
        <v>1883</v>
      </c>
      <c r="W1209" s="10">
        <v>1</v>
      </c>
      <c r="X1209" s="32">
        <v>45684</v>
      </c>
      <c r="Y1209" s="33">
        <v>7688</v>
      </c>
      <c r="Z1209" s="34">
        <f>626*80+596*20+205*4</f>
        <v>62820</v>
      </c>
      <c r="AA1209" s="34">
        <v>-832</v>
      </c>
      <c r="AB1209" s="34">
        <f>SUM(Z1209:AA1209)</f>
        <v>61988</v>
      </c>
      <c r="AC1209" s="12"/>
      <c r="AD1209" s="12"/>
      <c r="AE1209" s="12"/>
      <c r="AF1209" s="12">
        <f>SUM(AB1209:AE1209)</f>
        <v>61988</v>
      </c>
    </row>
    <row r="1210" spans="1:32" x14ac:dyDescent="0.25">
      <c r="A1210" s="10">
        <v>2</v>
      </c>
      <c r="B1210" s="32">
        <v>45684</v>
      </c>
      <c r="C1210" s="33">
        <f>C1209+1</f>
        <v>7970</v>
      </c>
      <c r="D1210">
        <f>1252+17</f>
        <v>1269</v>
      </c>
      <c r="E1210" s="34"/>
      <c r="F1210" s="34">
        <f t="shared" ref="F1210:F1213" si="401">SUM(D1210:E1210)</f>
        <v>1269</v>
      </c>
      <c r="G1210" s="12"/>
      <c r="H1210" s="12"/>
      <c r="I1210" s="12"/>
      <c r="J1210" s="12">
        <f t="shared" ref="J1210:J1250" si="402">SUM(F1210:I1210)</f>
        <v>1269</v>
      </c>
      <c r="L1210" s="10">
        <v>2</v>
      </c>
      <c r="M1210" s="32">
        <v>45684</v>
      </c>
      <c r="N1210" s="33">
        <f>N1209+1</f>
        <v>7939</v>
      </c>
      <c r="O1210">
        <f>626*150+596*50+1708</f>
        <v>125408</v>
      </c>
      <c r="P1210" s="34">
        <v>-1872</v>
      </c>
      <c r="Q1210" s="34">
        <f t="shared" ref="Q1210:Q1213" si="403">SUM(O1210:P1210)</f>
        <v>123536</v>
      </c>
      <c r="R1210" s="12"/>
      <c r="S1210" s="12">
        <v>6366</v>
      </c>
      <c r="T1210" s="12"/>
      <c r="U1210" s="12">
        <f t="shared" ref="U1210:U1250" si="404">SUM(Q1210:T1210)</f>
        <v>129902</v>
      </c>
      <c r="W1210" s="10">
        <v>2</v>
      </c>
      <c r="X1210" s="32">
        <v>45684</v>
      </c>
      <c r="Y1210" s="33">
        <f>Y1209+1</f>
        <v>7689</v>
      </c>
      <c r="Z1210" s="34">
        <f>626*125+596*50+852+1435</f>
        <v>110337</v>
      </c>
      <c r="AA1210" s="34">
        <v>-1408</v>
      </c>
      <c r="AB1210" s="34">
        <f t="shared" ref="AB1210:AB1212" si="405">SUM(Z1210:AA1210)</f>
        <v>108929</v>
      </c>
      <c r="AC1210" s="12"/>
      <c r="AD1210" s="12">
        <v>78</v>
      </c>
      <c r="AE1210" s="12"/>
      <c r="AF1210" s="12">
        <f t="shared" ref="AF1210:AF1250" si="406">SUM(AB1210:AE1210)</f>
        <v>109007</v>
      </c>
    </row>
    <row r="1211" spans="1:32" x14ac:dyDescent="0.25">
      <c r="A1211" s="10">
        <v>3</v>
      </c>
      <c r="B1211" s="32">
        <v>45684</v>
      </c>
      <c r="C1211" s="33">
        <f t="shared" ref="C1211:C1224" si="407">C1210+1</f>
        <v>7971</v>
      </c>
      <c r="D1211" s="34">
        <f>626*150+596*50+205*9+650*2</f>
        <v>126845</v>
      </c>
      <c r="E1211" s="34">
        <v>-1899</v>
      </c>
      <c r="F1211" s="34">
        <f t="shared" si="401"/>
        <v>124946</v>
      </c>
      <c r="G1211" s="12"/>
      <c r="H1211" s="12">
        <v>546</v>
      </c>
      <c r="I1211" s="12">
        <f>-11988+-720+-168+-126+-13.5+-42</f>
        <v>-13057.5</v>
      </c>
      <c r="J1211" s="12">
        <f t="shared" si="402"/>
        <v>112434.5</v>
      </c>
      <c r="L1211" s="10">
        <v>3</v>
      </c>
      <c r="M1211" s="32">
        <v>45684</v>
      </c>
      <c r="N1211" s="33">
        <f t="shared" ref="N1211:N1221" si="408">N1210+1</f>
        <v>7940</v>
      </c>
      <c r="O1211" s="34">
        <f>1878+25.5</f>
        <v>1903.5</v>
      </c>
      <c r="P1211" s="34"/>
      <c r="Q1211" s="34">
        <f t="shared" si="403"/>
        <v>1903.5</v>
      </c>
      <c r="R1211" s="12"/>
      <c r="S1211" s="12"/>
      <c r="T1211" s="12"/>
      <c r="U1211" s="12">
        <f t="shared" si="404"/>
        <v>1903.5</v>
      </c>
      <c r="W1211" s="10">
        <v>3</v>
      </c>
      <c r="X1211" s="32">
        <v>45684</v>
      </c>
      <c r="Y1211" s="33">
        <f t="shared" ref="Y1211:Y1214" si="409">Y1210+1</f>
        <v>7690</v>
      </c>
      <c r="Z1211" s="34">
        <f>626*140+596*60+205*8</f>
        <v>125040</v>
      </c>
      <c r="AA1211" s="34">
        <v>-1800</v>
      </c>
      <c r="AB1211" s="34">
        <f t="shared" si="405"/>
        <v>123240</v>
      </c>
      <c r="AC1211" s="12"/>
      <c r="AD1211" s="12"/>
      <c r="AE1211" s="12"/>
      <c r="AF1211" s="12">
        <f t="shared" si="406"/>
        <v>123240</v>
      </c>
    </row>
    <row r="1212" spans="1:32" x14ac:dyDescent="0.25">
      <c r="A1212" s="10">
        <v>4</v>
      </c>
      <c r="B1212" s="32">
        <v>45684</v>
      </c>
      <c r="C1212" s="33">
        <f t="shared" si="407"/>
        <v>7972</v>
      </c>
      <c r="D1212" s="34">
        <f>626*8+1192+426+1176+832+85+250</f>
        <v>8969</v>
      </c>
      <c r="E1212" s="34"/>
      <c r="F1212" s="34">
        <f t="shared" si="401"/>
        <v>8969</v>
      </c>
      <c r="G1212" s="12"/>
      <c r="H1212" s="12">
        <v>26</v>
      </c>
      <c r="I1212" s="12"/>
      <c r="J1212" s="12">
        <f t="shared" si="402"/>
        <v>8995</v>
      </c>
      <c r="L1212" s="10">
        <v>4</v>
      </c>
      <c r="M1212" s="32">
        <v>45684</v>
      </c>
      <c r="N1212" s="33">
        <f t="shared" si="408"/>
        <v>7941</v>
      </c>
      <c r="O1212" s="34">
        <f>626*4+614+852+34</f>
        <v>4004</v>
      </c>
      <c r="P1212" s="34"/>
      <c r="Q1212" s="34">
        <f t="shared" si="403"/>
        <v>4004</v>
      </c>
      <c r="R1212" s="12"/>
      <c r="S1212" s="12"/>
      <c r="T1212" s="12">
        <v>-1110</v>
      </c>
      <c r="U1212" s="12">
        <f t="shared" si="404"/>
        <v>2894</v>
      </c>
      <c r="W1212" s="10">
        <v>4</v>
      </c>
      <c r="X1212" s="32">
        <v>45684</v>
      </c>
      <c r="Y1212" s="33">
        <f t="shared" si="409"/>
        <v>7691</v>
      </c>
      <c r="Z1212" s="34">
        <f>626*5+614*2+596*2+59.5</f>
        <v>5609.5</v>
      </c>
      <c r="AA1212" s="34"/>
      <c r="AB1212" s="34">
        <f t="shared" si="405"/>
        <v>5609.5</v>
      </c>
      <c r="AC1212" s="12"/>
      <c r="AE1212" s="12"/>
      <c r="AF1212" s="12">
        <f t="shared" si="406"/>
        <v>5609.5</v>
      </c>
    </row>
    <row r="1213" spans="1:32" x14ac:dyDescent="0.25">
      <c r="A1213" s="10">
        <v>5</v>
      </c>
      <c r="B1213" s="32">
        <v>45684</v>
      </c>
      <c r="C1213" s="33">
        <f t="shared" si="407"/>
        <v>7973</v>
      </c>
      <c r="D1213" s="34">
        <f>626*50+614+596*6+205*2+674</f>
        <v>36574</v>
      </c>
      <c r="E1213" s="34"/>
      <c r="F1213" s="34">
        <f t="shared" si="401"/>
        <v>36574</v>
      </c>
      <c r="G1213" s="12"/>
      <c r="H1213" s="12">
        <v>117</v>
      </c>
      <c r="I1213" s="12"/>
      <c r="J1213" s="12">
        <f t="shared" si="402"/>
        <v>36691</v>
      </c>
      <c r="L1213" s="10">
        <v>5</v>
      </c>
      <c r="M1213" s="32">
        <v>45684</v>
      </c>
      <c r="N1213" s="33">
        <f t="shared" si="408"/>
        <v>7942</v>
      </c>
      <c r="O1213" s="34">
        <f>6260+85</f>
        <v>6345</v>
      </c>
      <c r="P1213" s="34"/>
      <c r="Q1213" s="34">
        <f t="shared" si="403"/>
        <v>6345</v>
      </c>
      <c r="R1213" s="12"/>
      <c r="S1213" s="12"/>
      <c r="T1213" s="12">
        <v>-1110</v>
      </c>
      <c r="U1213" s="12">
        <f t="shared" si="404"/>
        <v>5235</v>
      </c>
      <c r="W1213" s="10">
        <v>5</v>
      </c>
      <c r="X1213" s="32">
        <v>45684</v>
      </c>
      <c r="Y1213" s="33">
        <f t="shared" si="409"/>
        <v>7692</v>
      </c>
      <c r="Z1213" s="34">
        <f>626*2+832*2+8.5*2</f>
        <v>2933</v>
      </c>
      <c r="AA1213" s="34"/>
      <c r="AB1213" s="34">
        <f t="shared" ref="AB1213:AB1218" si="410">SUM(Z1213:AA1213)</f>
        <v>2933</v>
      </c>
      <c r="AC1213" s="12"/>
      <c r="AD1213" s="12"/>
      <c r="AE1213" s="12"/>
      <c r="AF1213" s="12">
        <f t="shared" si="406"/>
        <v>2933</v>
      </c>
    </row>
    <row r="1214" spans="1:32" x14ac:dyDescent="0.25">
      <c r="A1214" s="10">
        <v>6</v>
      </c>
      <c r="B1214" s="32">
        <v>45684</v>
      </c>
      <c r="C1214" s="33">
        <f t="shared" si="407"/>
        <v>7974</v>
      </c>
      <c r="D1214" s="34">
        <f>626*3+614+913+26+2022</f>
        <v>5453</v>
      </c>
      <c r="E1214" s="34"/>
      <c r="F1214" s="34">
        <f>SUM(D1214:E1214)</f>
        <v>5453</v>
      </c>
      <c r="G1214" s="12"/>
      <c r="H1214" s="12">
        <v>349</v>
      </c>
      <c r="I1214" s="10"/>
      <c r="J1214" s="12">
        <f t="shared" si="402"/>
        <v>5802</v>
      </c>
      <c r="L1214" s="10">
        <v>6</v>
      </c>
      <c r="M1214" s="32">
        <v>45684</v>
      </c>
      <c r="N1214" s="33">
        <f t="shared" si="408"/>
        <v>7943</v>
      </c>
      <c r="O1214" s="34">
        <f>626*25+832+102</f>
        <v>16584</v>
      </c>
      <c r="P1214" s="34"/>
      <c r="Q1214" s="34">
        <f>SUM(O1214:P1214)</f>
        <v>16584</v>
      </c>
      <c r="R1214" s="12"/>
      <c r="S1214" s="12">
        <v>453</v>
      </c>
      <c r="T1214" s="10"/>
      <c r="U1214" s="12">
        <f t="shared" si="404"/>
        <v>17037</v>
      </c>
      <c r="W1214" s="10">
        <v>6</v>
      </c>
      <c r="X1214" s="32">
        <v>45684</v>
      </c>
      <c r="Y1214" s="33">
        <f t="shared" si="409"/>
        <v>7693</v>
      </c>
      <c r="Z1214" s="34">
        <f>626*12+596*2+8.5*14</f>
        <v>8823</v>
      </c>
      <c r="AA1214" s="34"/>
      <c r="AB1214" s="34">
        <f t="shared" si="410"/>
        <v>8823</v>
      </c>
      <c r="AC1214" s="12"/>
      <c r="AD1214" s="12"/>
      <c r="AE1214" s="10"/>
      <c r="AF1214" s="12">
        <f t="shared" si="406"/>
        <v>8823</v>
      </c>
    </row>
    <row r="1215" spans="1:32" x14ac:dyDescent="0.25">
      <c r="A1215" s="10">
        <v>7</v>
      </c>
      <c r="B1215" s="32">
        <v>45684</v>
      </c>
      <c r="C1215" s="33">
        <f t="shared" si="407"/>
        <v>7975</v>
      </c>
      <c r="D1215" s="34">
        <f>626*34+614*2+626+205</f>
        <v>23343</v>
      </c>
      <c r="E1215" s="34"/>
      <c r="F1215" s="34">
        <f t="shared" ref="F1215:F1247" si="411">SUM(D1215:E1215)</f>
        <v>23343</v>
      </c>
      <c r="G1215" s="12"/>
      <c r="H1215" s="12"/>
      <c r="I1215" s="12"/>
      <c r="J1215" s="12">
        <f t="shared" si="402"/>
        <v>23343</v>
      </c>
      <c r="L1215" s="10">
        <v>7</v>
      </c>
      <c r="M1215" s="32">
        <v>45684</v>
      </c>
      <c r="N1215" s="33">
        <f t="shared" si="408"/>
        <v>7944</v>
      </c>
      <c r="O1215" s="34">
        <f>626*3+25.5</f>
        <v>1903.5</v>
      </c>
      <c r="P1215" s="34"/>
      <c r="Q1215" s="34">
        <f t="shared" ref="Q1215:Q1247" si="412">SUM(O1215:P1215)</f>
        <v>1903.5</v>
      </c>
      <c r="R1215" s="12"/>
      <c r="S1215" s="12"/>
      <c r="T1215" s="12"/>
      <c r="U1215" s="12">
        <f t="shared" si="404"/>
        <v>1903.5</v>
      </c>
      <c r="W1215" s="10">
        <v>7</v>
      </c>
      <c r="X1215" s="32"/>
      <c r="Y1215" s="11" t="s">
        <v>28</v>
      </c>
      <c r="Z1215" s="34"/>
      <c r="AA1215" s="34"/>
      <c r="AB1215" s="34">
        <f t="shared" si="410"/>
        <v>0</v>
      </c>
      <c r="AC1215" s="12"/>
      <c r="AD1215" s="66"/>
      <c r="AE1215" s="12"/>
      <c r="AF1215" s="12">
        <f t="shared" si="406"/>
        <v>0</v>
      </c>
    </row>
    <row r="1216" spans="1:32" x14ac:dyDescent="0.25">
      <c r="A1216" s="10">
        <v>8</v>
      </c>
      <c r="B1216" s="32">
        <v>45684</v>
      </c>
      <c r="C1216" s="33">
        <f t="shared" si="407"/>
        <v>7976</v>
      </c>
      <c r="D1216" s="34">
        <f>1252+17</f>
        <v>1269</v>
      </c>
      <c r="E1216" s="34"/>
      <c r="F1216" s="34">
        <f t="shared" si="411"/>
        <v>1269</v>
      </c>
      <c r="G1216" s="12"/>
      <c r="H1216" s="12"/>
      <c r="I1216" s="12">
        <v>-84</v>
      </c>
      <c r="J1216" s="12">
        <f t="shared" si="402"/>
        <v>1185</v>
      </c>
      <c r="L1216" s="10">
        <v>8</v>
      </c>
      <c r="M1216" s="32">
        <v>45684</v>
      </c>
      <c r="N1216" s="33">
        <f t="shared" si="408"/>
        <v>7945</v>
      </c>
      <c r="O1216" s="34">
        <f>626*45+384</f>
        <v>28554</v>
      </c>
      <c r="P1216" s="34"/>
      <c r="Q1216" s="34">
        <f t="shared" si="412"/>
        <v>28554</v>
      </c>
      <c r="R1216" s="12"/>
      <c r="S1216" s="12">
        <v>888</v>
      </c>
      <c r="T1216" s="12"/>
      <c r="U1216" s="12">
        <f t="shared" si="404"/>
        <v>29442</v>
      </c>
      <c r="W1216" s="10">
        <v>8</v>
      </c>
      <c r="X1216" s="32"/>
      <c r="Y1216" s="33"/>
      <c r="Z1216" s="34"/>
      <c r="AA1216" s="37"/>
      <c r="AB1216" s="34">
        <f t="shared" si="410"/>
        <v>0</v>
      </c>
      <c r="AC1216" s="12"/>
      <c r="AD1216" s="12"/>
      <c r="AE1216" s="12"/>
      <c r="AF1216" s="12">
        <f t="shared" si="406"/>
        <v>0</v>
      </c>
    </row>
    <row r="1217" spans="1:32" x14ac:dyDescent="0.25">
      <c r="A1217" s="10">
        <v>9</v>
      </c>
      <c r="B1217" s="32">
        <v>45684</v>
      </c>
      <c r="C1217" s="33">
        <f t="shared" si="407"/>
        <v>7977</v>
      </c>
      <c r="D1217" s="34">
        <f>626*3+614*2+596+34</f>
        <v>3736</v>
      </c>
      <c r="E1217" s="34"/>
      <c r="F1217" s="34">
        <f t="shared" si="411"/>
        <v>3736</v>
      </c>
      <c r="G1217" s="12"/>
      <c r="H1217" s="12"/>
      <c r="I1217" s="12"/>
      <c r="J1217" s="12">
        <f t="shared" si="402"/>
        <v>3736</v>
      </c>
      <c r="L1217" s="10">
        <v>9</v>
      </c>
      <c r="M1217" s="32">
        <v>45684</v>
      </c>
      <c r="N1217" s="33">
        <f t="shared" si="408"/>
        <v>7946</v>
      </c>
      <c r="O1217" s="34">
        <f>626*250+596*50+205*15</f>
        <v>189375</v>
      </c>
      <c r="P1217" s="34">
        <v>-2835</v>
      </c>
      <c r="Q1217" s="34">
        <f t="shared" si="412"/>
        <v>186540</v>
      </c>
      <c r="R1217" s="12"/>
      <c r="S1217" s="12"/>
      <c r="T1217" s="12">
        <v>-3168</v>
      </c>
      <c r="U1217" s="12">
        <f t="shared" si="404"/>
        <v>183372</v>
      </c>
      <c r="W1217" s="10">
        <v>9</v>
      </c>
      <c r="X1217" s="32"/>
      <c r="Y1217" s="33"/>
      <c r="AA1217" s="34"/>
      <c r="AB1217" s="34">
        <f t="shared" si="410"/>
        <v>0</v>
      </c>
      <c r="AC1217" s="12"/>
      <c r="AD1217" s="66"/>
      <c r="AE1217" s="12"/>
      <c r="AF1217" s="12">
        <f t="shared" si="406"/>
        <v>0</v>
      </c>
    </row>
    <row r="1218" spans="1:32" x14ac:dyDescent="0.25">
      <c r="A1218" s="10">
        <v>10</v>
      </c>
      <c r="B1218" s="32">
        <v>45684</v>
      </c>
      <c r="C1218" s="33">
        <f t="shared" si="407"/>
        <v>7978</v>
      </c>
      <c r="D1218" s="34">
        <f>1192+17</f>
        <v>1209</v>
      </c>
      <c r="E1218" s="34"/>
      <c r="F1218" s="34">
        <f t="shared" si="411"/>
        <v>1209</v>
      </c>
      <c r="G1218" s="12"/>
      <c r="H1218" s="12"/>
      <c r="I1218" s="12"/>
      <c r="J1218" s="12">
        <f t="shared" si="402"/>
        <v>1209</v>
      </c>
      <c r="L1218" s="10">
        <v>10</v>
      </c>
      <c r="M1218" s="32">
        <v>45684</v>
      </c>
      <c r="N1218" s="33">
        <f t="shared" si="408"/>
        <v>7947</v>
      </c>
      <c r="O1218" s="34">
        <f>1878+596+34</f>
        <v>2508</v>
      </c>
      <c r="P1218" s="34"/>
      <c r="Q1218" s="34">
        <f t="shared" si="412"/>
        <v>2508</v>
      </c>
      <c r="R1218" s="12"/>
      <c r="S1218" s="12"/>
      <c r="T1218" s="12"/>
      <c r="U1218" s="12">
        <f t="shared" si="404"/>
        <v>2508</v>
      </c>
      <c r="W1218" s="10">
        <v>10</v>
      </c>
      <c r="X1218" s="32"/>
      <c r="Y1218" s="33"/>
      <c r="Z1218" s="34"/>
      <c r="AA1218" s="34"/>
      <c r="AB1218" s="34">
        <f t="shared" si="410"/>
        <v>0</v>
      </c>
      <c r="AC1218" s="12"/>
      <c r="AD1218" s="12"/>
      <c r="AE1218" s="12"/>
      <c r="AF1218" s="12">
        <f t="shared" si="406"/>
        <v>0</v>
      </c>
    </row>
    <row r="1219" spans="1:32" x14ac:dyDescent="0.25">
      <c r="A1219" s="10">
        <v>11</v>
      </c>
      <c r="B1219" s="32">
        <v>45684</v>
      </c>
      <c r="C1219" s="33">
        <f t="shared" si="407"/>
        <v>7979</v>
      </c>
      <c r="D1219" s="34">
        <f>1878+596+34</f>
        <v>2508</v>
      </c>
      <c r="E1219" s="34"/>
      <c r="F1219" s="34">
        <f t="shared" si="411"/>
        <v>2508</v>
      </c>
      <c r="G1219" s="12"/>
      <c r="H1219" s="12"/>
      <c r="I1219" s="12"/>
      <c r="J1219" s="12">
        <f t="shared" si="402"/>
        <v>2508</v>
      </c>
      <c r="L1219" s="10">
        <v>11</v>
      </c>
      <c r="M1219" s="32">
        <v>45684</v>
      </c>
      <c r="N1219" s="33">
        <f t="shared" si="408"/>
        <v>7948</v>
      </c>
      <c r="O1219" s="34">
        <f>1878+596+34</f>
        <v>2508</v>
      </c>
      <c r="P1219" s="34"/>
      <c r="Q1219" s="34">
        <f t="shared" si="412"/>
        <v>2508</v>
      </c>
      <c r="R1219" s="12"/>
      <c r="S1219" s="12"/>
      <c r="T1219" s="12"/>
      <c r="U1219" s="12">
        <f t="shared" si="404"/>
        <v>2508</v>
      </c>
      <c r="W1219" s="10">
        <v>11</v>
      </c>
      <c r="X1219" s="32"/>
      <c r="Y1219" s="33"/>
      <c r="Z1219" s="34"/>
      <c r="AA1219" s="34"/>
      <c r="AB1219" s="34">
        <f t="shared" ref="AB1219:AB1241" si="413">SUM(Z1219:AA1219)</f>
        <v>0</v>
      </c>
      <c r="AC1219" s="12"/>
      <c r="AD1219" s="12"/>
      <c r="AE1219" s="12"/>
      <c r="AF1219" s="12">
        <f t="shared" si="406"/>
        <v>0</v>
      </c>
    </row>
    <row r="1220" spans="1:32" x14ac:dyDescent="0.25">
      <c r="A1220" s="10">
        <v>12</v>
      </c>
      <c r="B1220" s="32">
        <v>45684</v>
      </c>
      <c r="C1220" s="33">
        <f t="shared" si="407"/>
        <v>7980</v>
      </c>
      <c r="D1220" s="34">
        <f>1878+26</f>
        <v>1904</v>
      </c>
      <c r="E1220" s="34"/>
      <c r="F1220" s="34">
        <f t="shared" si="411"/>
        <v>1904</v>
      </c>
      <c r="G1220" s="12"/>
      <c r="H1220" s="12"/>
      <c r="I1220" s="12"/>
      <c r="J1220" s="12">
        <f t="shared" si="402"/>
        <v>1904</v>
      </c>
      <c r="L1220" s="10">
        <v>12</v>
      </c>
      <c r="M1220" s="32">
        <v>45684</v>
      </c>
      <c r="N1220" s="33">
        <f t="shared" si="408"/>
        <v>7949</v>
      </c>
      <c r="O1220" s="34">
        <f>1878+596+34</f>
        <v>2508</v>
      </c>
      <c r="P1220" s="34"/>
      <c r="Q1220" s="34">
        <f t="shared" si="412"/>
        <v>2508</v>
      </c>
      <c r="R1220" s="12"/>
      <c r="S1220" s="12"/>
      <c r="T1220" s="12"/>
      <c r="U1220" s="12">
        <f t="shared" si="404"/>
        <v>2508</v>
      </c>
      <c r="W1220" s="10">
        <v>12</v>
      </c>
      <c r="X1220" s="32"/>
      <c r="Y1220" s="33"/>
      <c r="Z1220" s="34"/>
      <c r="AA1220" s="34"/>
      <c r="AB1220" s="34">
        <f t="shared" si="413"/>
        <v>0</v>
      </c>
      <c r="AC1220" s="12"/>
      <c r="AD1220" s="12"/>
      <c r="AE1220" s="12"/>
      <c r="AF1220" s="12">
        <f t="shared" si="406"/>
        <v>0</v>
      </c>
    </row>
    <row r="1221" spans="1:32" x14ac:dyDescent="0.25">
      <c r="A1221" s="10">
        <v>13</v>
      </c>
      <c r="B1221" s="32">
        <v>45684</v>
      </c>
      <c r="C1221" s="33">
        <f t="shared" si="407"/>
        <v>7981</v>
      </c>
      <c r="D1221" s="34">
        <f>1192+17</f>
        <v>1209</v>
      </c>
      <c r="E1221" s="34"/>
      <c r="F1221" s="34">
        <f t="shared" si="411"/>
        <v>1209</v>
      </c>
      <c r="G1221" s="12"/>
      <c r="H1221" s="12"/>
      <c r="I1221" s="12"/>
      <c r="J1221" s="12">
        <f t="shared" si="402"/>
        <v>1209</v>
      </c>
      <c r="L1221" s="10">
        <v>13</v>
      </c>
      <c r="M1221" s="32">
        <v>45684</v>
      </c>
      <c r="N1221" s="33">
        <f t="shared" si="408"/>
        <v>7950</v>
      </c>
      <c r="O1221" s="34">
        <f>1878+25.5</f>
        <v>1903.5</v>
      </c>
      <c r="P1221" s="34"/>
      <c r="Q1221" s="34">
        <f t="shared" si="412"/>
        <v>1903.5</v>
      </c>
      <c r="R1221" s="12"/>
      <c r="S1221" s="12"/>
      <c r="T1221" s="12">
        <v>-1110</v>
      </c>
      <c r="U1221" s="12">
        <f t="shared" si="404"/>
        <v>793.5</v>
      </c>
      <c r="W1221" s="10">
        <v>13</v>
      </c>
      <c r="X1221" s="32"/>
      <c r="Y1221" s="33"/>
      <c r="Z1221" s="34"/>
      <c r="AA1221" s="34"/>
      <c r="AB1221" s="34">
        <f t="shared" si="413"/>
        <v>0</v>
      </c>
      <c r="AC1221" s="12"/>
      <c r="AD1221" s="12"/>
      <c r="AE1221" s="12"/>
      <c r="AF1221" s="12">
        <f t="shared" si="406"/>
        <v>0</v>
      </c>
    </row>
    <row r="1222" spans="1:32" x14ac:dyDescent="0.25">
      <c r="A1222" s="10">
        <v>14</v>
      </c>
      <c r="B1222" s="32">
        <v>45684</v>
      </c>
      <c r="C1222" s="33">
        <f t="shared" si="407"/>
        <v>7982</v>
      </c>
      <c r="D1222" s="34">
        <f>1878+26</f>
        <v>1904</v>
      </c>
      <c r="E1222" s="34"/>
      <c r="F1222" s="34">
        <f t="shared" si="411"/>
        <v>1904</v>
      </c>
      <c r="G1222" s="12"/>
      <c r="H1222" s="12"/>
      <c r="I1222" s="12">
        <v>-84</v>
      </c>
      <c r="J1222" s="12">
        <f t="shared" si="402"/>
        <v>1820</v>
      </c>
      <c r="L1222" s="10">
        <v>14</v>
      </c>
      <c r="M1222" s="32"/>
      <c r="N1222" s="11" t="s">
        <v>28</v>
      </c>
      <c r="O1222" s="34"/>
      <c r="P1222" s="34"/>
      <c r="Q1222" s="34">
        <f t="shared" si="412"/>
        <v>0</v>
      </c>
      <c r="R1222" s="12"/>
      <c r="S1222" s="12"/>
      <c r="T1222" s="12"/>
      <c r="U1222" s="12">
        <f t="shared" si="404"/>
        <v>0</v>
      </c>
      <c r="W1222" s="10">
        <v>14</v>
      </c>
      <c r="X1222" s="32"/>
      <c r="Y1222" s="33"/>
      <c r="AA1222" s="34"/>
      <c r="AB1222" s="34">
        <f t="shared" si="413"/>
        <v>0</v>
      </c>
      <c r="AC1222" s="12"/>
      <c r="AD1222" s="12"/>
      <c r="AE1222" s="12"/>
      <c r="AF1222" s="12">
        <f t="shared" si="406"/>
        <v>0</v>
      </c>
    </row>
    <row r="1223" spans="1:32" x14ac:dyDescent="0.25">
      <c r="A1223" s="10">
        <v>15</v>
      </c>
      <c r="B1223" s="32">
        <v>45684</v>
      </c>
      <c r="C1223" s="33">
        <f t="shared" si="407"/>
        <v>7983</v>
      </c>
      <c r="D1223" s="34">
        <f>626*4+614+34</f>
        <v>3152</v>
      </c>
      <c r="E1223" s="34"/>
      <c r="F1223" s="34">
        <f t="shared" si="411"/>
        <v>3152</v>
      </c>
      <c r="G1223" s="12"/>
      <c r="H1223" s="12"/>
      <c r="I1223" s="12"/>
      <c r="J1223" s="12">
        <f t="shared" si="402"/>
        <v>3152</v>
      </c>
      <c r="L1223" s="10">
        <v>15</v>
      </c>
      <c r="M1223" s="32"/>
      <c r="N1223" s="33"/>
      <c r="O1223" s="34"/>
      <c r="P1223" s="34"/>
      <c r="Q1223" s="34">
        <f t="shared" si="412"/>
        <v>0</v>
      </c>
      <c r="R1223" s="12"/>
      <c r="S1223" s="12"/>
      <c r="T1223" s="12"/>
      <c r="U1223" s="12">
        <f t="shared" si="404"/>
        <v>0</v>
      </c>
      <c r="W1223" s="10">
        <v>15</v>
      </c>
      <c r="X1223" s="32"/>
      <c r="Y1223" s="33"/>
      <c r="Z1223" s="34"/>
      <c r="AA1223" s="34"/>
      <c r="AB1223" s="34">
        <f t="shared" si="413"/>
        <v>0</v>
      </c>
      <c r="AC1223" s="12"/>
      <c r="AD1223" s="12"/>
      <c r="AE1223" s="12"/>
      <c r="AF1223" s="12">
        <f t="shared" si="406"/>
        <v>0</v>
      </c>
    </row>
    <row r="1224" spans="1:32" x14ac:dyDescent="0.25">
      <c r="A1224" s="10">
        <v>16</v>
      </c>
      <c r="B1224" s="32">
        <v>45684</v>
      </c>
      <c r="C1224" s="33">
        <f t="shared" si="407"/>
        <v>7984</v>
      </c>
      <c r="D1224" s="34">
        <f>626*5+43</f>
        <v>3173</v>
      </c>
      <c r="E1224" s="34"/>
      <c r="F1224" s="34">
        <f t="shared" si="411"/>
        <v>3173</v>
      </c>
      <c r="G1224" s="12"/>
      <c r="H1224" s="12"/>
      <c r="I1224" s="12"/>
      <c r="J1224" s="12">
        <f t="shared" si="402"/>
        <v>3173</v>
      </c>
      <c r="L1224" s="10">
        <v>16</v>
      </c>
      <c r="M1224" s="32"/>
      <c r="N1224" s="33"/>
      <c r="O1224" s="34"/>
      <c r="P1224" s="34"/>
      <c r="Q1224" s="34">
        <f t="shared" si="412"/>
        <v>0</v>
      </c>
      <c r="R1224" s="12"/>
      <c r="S1224" s="12"/>
      <c r="T1224" s="12"/>
      <c r="U1224" s="12">
        <f t="shared" si="404"/>
        <v>0</v>
      </c>
      <c r="W1224" s="10">
        <v>16</v>
      </c>
      <c r="X1224" s="32"/>
      <c r="Y1224" s="33"/>
      <c r="Z1224" s="34"/>
      <c r="AA1224" s="34"/>
      <c r="AB1224" s="34">
        <f t="shared" si="413"/>
        <v>0</v>
      </c>
      <c r="AC1224" s="12"/>
      <c r="AD1224" s="12"/>
      <c r="AE1224" s="12"/>
      <c r="AF1224" s="12">
        <f t="shared" si="406"/>
        <v>0</v>
      </c>
    </row>
    <row r="1225" spans="1:32" x14ac:dyDescent="0.25">
      <c r="A1225" s="10">
        <v>17</v>
      </c>
      <c r="B1225" s="32"/>
      <c r="C1225" s="11" t="s">
        <v>28</v>
      </c>
      <c r="D1225" s="37"/>
      <c r="E1225" s="34"/>
      <c r="F1225" s="34">
        <f t="shared" si="411"/>
        <v>0</v>
      </c>
      <c r="G1225" s="12"/>
      <c r="H1225" s="12"/>
      <c r="I1225" s="12"/>
      <c r="J1225" s="12">
        <f t="shared" si="402"/>
        <v>0</v>
      </c>
      <c r="L1225" s="10">
        <v>17</v>
      </c>
      <c r="M1225" s="32"/>
      <c r="N1225" s="33"/>
      <c r="O1225" s="37"/>
      <c r="P1225" s="34"/>
      <c r="Q1225" s="34">
        <f t="shared" si="412"/>
        <v>0</v>
      </c>
      <c r="R1225" s="12"/>
      <c r="S1225" s="12"/>
      <c r="T1225" s="12"/>
      <c r="U1225" s="12">
        <f t="shared" si="404"/>
        <v>0</v>
      </c>
      <c r="W1225" s="10">
        <v>17</v>
      </c>
      <c r="X1225" s="32"/>
      <c r="Y1225" s="33"/>
      <c r="Z1225" s="37"/>
      <c r="AA1225" s="34"/>
      <c r="AB1225" s="34">
        <f t="shared" si="413"/>
        <v>0</v>
      </c>
      <c r="AC1225" s="12"/>
      <c r="AD1225" s="12"/>
      <c r="AE1225" s="12"/>
      <c r="AF1225" s="12">
        <f t="shared" si="406"/>
        <v>0</v>
      </c>
    </row>
    <row r="1226" spans="1:32" x14ac:dyDescent="0.25">
      <c r="A1226" s="10">
        <v>18</v>
      </c>
      <c r="B1226" s="32"/>
      <c r="C1226" s="33"/>
      <c r="D1226" s="34"/>
      <c r="E1226" s="34"/>
      <c r="F1226" s="34">
        <f t="shared" si="411"/>
        <v>0</v>
      </c>
      <c r="G1226" s="12"/>
      <c r="H1226" s="12"/>
      <c r="I1226" s="12"/>
      <c r="J1226" s="12">
        <f t="shared" si="402"/>
        <v>0</v>
      </c>
      <c r="L1226" s="10">
        <v>18</v>
      </c>
      <c r="M1226" s="32"/>
      <c r="N1226" s="33"/>
      <c r="O1226" s="34"/>
      <c r="P1226" s="34"/>
      <c r="Q1226" s="34">
        <f t="shared" si="412"/>
        <v>0</v>
      </c>
      <c r="R1226" s="12"/>
      <c r="S1226" s="12"/>
      <c r="T1226" s="12"/>
      <c r="U1226" s="12">
        <f t="shared" si="404"/>
        <v>0</v>
      </c>
      <c r="W1226" s="10">
        <v>18</v>
      </c>
      <c r="X1226" s="32"/>
      <c r="Y1226" s="33"/>
      <c r="Z1226" s="34"/>
      <c r="AA1226" s="34"/>
      <c r="AB1226" s="34">
        <f t="shared" si="413"/>
        <v>0</v>
      </c>
      <c r="AC1226" s="12"/>
      <c r="AD1226" s="12"/>
      <c r="AE1226" s="12"/>
      <c r="AF1226" s="12">
        <f t="shared" si="406"/>
        <v>0</v>
      </c>
    </row>
    <row r="1227" spans="1:32" x14ac:dyDescent="0.25">
      <c r="A1227" s="10">
        <v>19</v>
      </c>
      <c r="B1227" s="32"/>
      <c r="D1227" s="34"/>
      <c r="E1227" s="34"/>
      <c r="F1227" s="34">
        <f t="shared" si="411"/>
        <v>0</v>
      </c>
      <c r="G1227" s="12"/>
      <c r="H1227" s="12"/>
      <c r="I1227" s="12"/>
      <c r="J1227" s="12">
        <f t="shared" si="402"/>
        <v>0</v>
      </c>
      <c r="L1227" s="10">
        <v>19</v>
      </c>
      <c r="M1227" s="32"/>
      <c r="N1227" s="33"/>
      <c r="O1227" s="34"/>
      <c r="P1227" s="34"/>
      <c r="Q1227" s="34">
        <f t="shared" si="412"/>
        <v>0</v>
      </c>
      <c r="R1227" s="12"/>
      <c r="S1227" s="12"/>
      <c r="T1227" s="12"/>
      <c r="U1227" s="12">
        <f t="shared" si="404"/>
        <v>0</v>
      </c>
      <c r="W1227" s="10">
        <v>19</v>
      </c>
      <c r="X1227" s="32"/>
      <c r="Y1227" s="33"/>
      <c r="Z1227" s="34"/>
      <c r="AA1227" s="34"/>
      <c r="AB1227" s="34">
        <f t="shared" si="413"/>
        <v>0</v>
      </c>
      <c r="AC1227" s="12"/>
      <c r="AD1227" s="12"/>
      <c r="AE1227" s="12"/>
      <c r="AF1227" s="12">
        <f t="shared" si="406"/>
        <v>0</v>
      </c>
    </row>
    <row r="1228" spans="1:32" x14ac:dyDescent="0.25">
      <c r="A1228" s="10">
        <v>20</v>
      </c>
      <c r="B1228" s="32"/>
      <c r="C1228" s="33"/>
      <c r="D1228" s="34"/>
      <c r="E1228" s="34"/>
      <c r="F1228" s="34">
        <f t="shared" si="411"/>
        <v>0</v>
      </c>
      <c r="G1228" s="12"/>
      <c r="H1228" s="12"/>
      <c r="I1228" s="12"/>
      <c r="J1228" s="12">
        <f t="shared" si="402"/>
        <v>0</v>
      </c>
      <c r="L1228" s="10">
        <v>20</v>
      </c>
      <c r="M1228" s="32"/>
      <c r="N1228" s="33"/>
      <c r="O1228" s="34"/>
      <c r="P1228" s="34"/>
      <c r="Q1228" s="34">
        <f t="shared" si="412"/>
        <v>0</v>
      </c>
      <c r="R1228" s="12"/>
      <c r="S1228" s="12"/>
      <c r="T1228" s="12"/>
      <c r="U1228" s="12">
        <f t="shared" si="404"/>
        <v>0</v>
      </c>
      <c r="W1228" s="10">
        <v>20</v>
      </c>
      <c r="X1228" s="32"/>
      <c r="Y1228" s="33"/>
      <c r="Z1228" s="34"/>
      <c r="AA1228" s="34"/>
      <c r="AB1228" s="34">
        <f t="shared" si="413"/>
        <v>0</v>
      </c>
      <c r="AC1228" s="12"/>
      <c r="AD1228" s="12"/>
      <c r="AE1228" s="12"/>
      <c r="AF1228" s="12">
        <f t="shared" si="406"/>
        <v>0</v>
      </c>
    </row>
    <row r="1229" spans="1:32" x14ac:dyDescent="0.25">
      <c r="A1229" s="10">
        <v>21</v>
      </c>
      <c r="B1229" s="32"/>
      <c r="C1229" s="33"/>
      <c r="D1229" s="50"/>
      <c r="E1229" s="33"/>
      <c r="F1229" s="34">
        <f t="shared" si="411"/>
        <v>0</v>
      </c>
      <c r="G1229" s="10"/>
      <c r="H1229" s="10"/>
      <c r="I1229" s="10"/>
      <c r="J1229" s="12">
        <f t="shared" si="402"/>
        <v>0</v>
      </c>
      <c r="L1229" s="10">
        <v>21</v>
      </c>
      <c r="M1229" s="32"/>
      <c r="N1229" s="33"/>
      <c r="O1229" s="50"/>
      <c r="P1229" s="33"/>
      <c r="Q1229" s="34">
        <f t="shared" si="412"/>
        <v>0</v>
      </c>
      <c r="R1229" s="10"/>
      <c r="S1229" s="10"/>
      <c r="T1229" s="10"/>
      <c r="U1229" s="12">
        <f t="shared" si="404"/>
        <v>0</v>
      </c>
      <c r="W1229" s="10">
        <v>21</v>
      </c>
      <c r="X1229" s="32"/>
      <c r="Y1229" s="33"/>
      <c r="Z1229" s="50"/>
      <c r="AA1229" s="33"/>
      <c r="AB1229" s="34">
        <f t="shared" si="413"/>
        <v>0</v>
      </c>
      <c r="AC1229" s="10"/>
      <c r="AD1229" s="10"/>
      <c r="AE1229" s="10"/>
      <c r="AF1229" s="12">
        <f t="shared" si="406"/>
        <v>0</v>
      </c>
    </row>
    <row r="1230" spans="1:32" x14ac:dyDescent="0.25">
      <c r="A1230" s="10">
        <v>22</v>
      </c>
      <c r="B1230" s="32"/>
      <c r="C1230" s="33"/>
      <c r="D1230" s="49"/>
      <c r="E1230" s="33"/>
      <c r="F1230" s="34">
        <f t="shared" si="411"/>
        <v>0</v>
      </c>
      <c r="G1230" s="10"/>
      <c r="H1230" s="10"/>
      <c r="I1230" s="10"/>
      <c r="J1230" s="12">
        <f t="shared" si="402"/>
        <v>0</v>
      </c>
      <c r="L1230" s="10">
        <v>22</v>
      </c>
      <c r="M1230" s="32"/>
      <c r="N1230" s="33"/>
      <c r="O1230" s="49"/>
      <c r="P1230" s="33"/>
      <c r="Q1230" s="34">
        <f t="shared" si="412"/>
        <v>0</v>
      </c>
      <c r="R1230" s="10"/>
      <c r="S1230" s="10"/>
      <c r="T1230" s="10"/>
      <c r="U1230" s="12">
        <f t="shared" si="404"/>
        <v>0</v>
      </c>
      <c r="W1230" s="10">
        <v>22</v>
      </c>
      <c r="X1230" s="32"/>
      <c r="Z1230" s="49"/>
      <c r="AA1230" s="33"/>
      <c r="AB1230" s="34">
        <f t="shared" si="413"/>
        <v>0</v>
      </c>
      <c r="AC1230" s="10"/>
      <c r="AD1230" s="10"/>
      <c r="AE1230" s="10"/>
      <c r="AF1230" s="12">
        <f t="shared" si="406"/>
        <v>0</v>
      </c>
    </row>
    <row r="1231" spans="1:32" x14ac:dyDescent="0.25">
      <c r="A1231" s="10">
        <v>23</v>
      </c>
      <c r="B1231" s="32"/>
      <c r="C1231" s="33"/>
      <c r="D1231" s="51"/>
      <c r="E1231"/>
      <c r="F1231" s="34">
        <f t="shared" si="411"/>
        <v>0</v>
      </c>
      <c r="G1231" s="10"/>
      <c r="H1231" s="10"/>
      <c r="I1231" s="10"/>
      <c r="J1231" s="12">
        <f t="shared" si="402"/>
        <v>0</v>
      </c>
      <c r="L1231" s="10">
        <v>23</v>
      </c>
      <c r="M1231" s="32"/>
      <c r="N1231" s="33"/>
      <c r="O1231" s="51"/>
      <c r="Q1231" s="34">
        <f t="shared" si="412"/>
        <v>0</v>
      </c>
      <c r="R1231" s="10"/>
      <c r="S1231" s="10"/>
      <c r="T1231" s="10"/>
      <c r="U1231" s="12">
        <f t="shared" si="404"/>
        <v>0</v>
      </c>
      <c r="W1231" s="10">
        <v>23</v>
      </c>
      <c r="X1231" s="32"/>
      <c r="Y1231" s="33"/>
      <c r="Z1231" s="51"/>
      <c r="AB1231" s="34">
        <f t="shared" si="413"/>
        <v>0</v>
      </c>
      <c r="AC1231" s="10"/>
      <c r="AD1231" s="10"/>
      <c r="AE1231" s="10"/>
      <c r="AF1231" s="12">
        <f t="shared" si="406"/>
        <v>0</v>
      </c>
    </row>
    <row r="1232" spans="1:32" x14ac:dyDescent="0.25">
      <c r="A1232" s="10">
        <v>24</v>
      </c>
      <c r="B1232" s="32"/>
      <c r="C1232" s="33"/>
      <c r="D1232" s="51"/>
      <c r="E1232" s="33"/>
      <c r="F1232" s="34">
        <f t="shared" si="411"/>
        <v>0</v>
      </c>
      <c r="G1232" s="10"/>
      <c r="H1232" s="10"/>
      <c r="I1232" s="10"/>
      <c r="J1232" s="12">
        <f t="shared" si="402"/>
        <v>0</v>
      </c>
      <c r="L1232" s="10">
        <v>24</v>
      </c>
      <c r="M1232" s="32"/>
      <c r="N1232" s="33"/>
      <c r="O1232" s="51"/>
      <c r="P1232" s="33"/>
      <c r="Q1232" s="34">
        <f t="shared" si="412"/>
        <v>0</v>
      </c>
      <c r="R1232" s="10"/>
      <c r="S1232" s="10"/>
      <c r="T1232" s="10"/>
      <c r="U1232" s="12">
        <f t="shared" si="404"/>
        <v>0</v>
      </c>
      <c r="W1232" s="10">
        <v>24</v>
      </c>
      <c r="X1232" s="32"/>
      <c r="Y1232" s="33"/>
      <c r="Z1232" s="51"/>
      <c r="AA1232" s="33"/>
      <c r="AB1232" s="34">
        <f t="shared" si="413"/>
        <v>0</v>
      </c>
      <c r="AC1232" s="10"/>
      <c r="AD1232" s="10"/>
      <c r="AE1232" s="10"/>
      <c r="AF1232" s="12">
        <f t="shared" si="406"/>
        <v>0</v>
      </c>
    </row>
    <row r="1233" spans="1:32" x14ac:dyDescent="0.25">
      <c r="A1233" s="10">
        <v>25</v>
      </c>
      <c r="B1233" s="32"/>
      <c r="C1233" s="33"/>
      <c r="D1233" s="51"/>
      <c r="E1233" s="33"/>
      <c r="F1233" s="34">
        <f t="shared" si="411"/>
        <v>0</v>
      </c>
      <c r="G1233" s="10"/>
      <c r="H1233" s="10"/>
      <c r="I1233" s="10"/>
      <c r="J1233" s="12">
        <f t="shared" si="402"/>
        <v>0</v>
      </c>
      <c r="L1233" s="10">
        <v>25</v>
      </c>
      <c r="M1233" s="32"/>
      <c r="O1233" s="51"/>
      <c r="P1233" s="33"/>
      <c r="Q1233" s="34">
        <f t="shared" si="412"/>
        <v>0</v>
      </c>
      <c r="R1233" s="10"/>
      <c r="S1233" s="10"/>
      <c r="T1233" s="10"/>
      <c r="U1233" s="12">
        <f t="shared" si="404"/>
        <v>0</v>
      </c>
      <c r="W1233" s="10">
        <v>25</v>
      </c>
      <c r="X1233" s="32"/>
      <c r="Z1233" s="51"/>
      <c r="AA1233" s="33"/>
      <c r="AB1233" s="34">
        <f t="shared" si="413"/>
        <v>0</v>
      </c>
      <c r="AC1233" s="10"/>
      <c r="AD1233" s="10"/>
      <c r="AE1233" s="10"/>
      <c r="AF1233" s="12">
        <f t="shared" si="406"/>
        <v>0</v>
      </c>
    </row>
    <row r="1234" spans="1:32" x14ac:dyDescent="0.25">
      <c r="A1234" s="10">
        <v>26</v>
      </c>
      <c r="B1234" s="32"/>
      <c r="C1234" s="33"/>
      <c r="D1234" s="51"/>
      <c r="E1234" s="33"/>
      <c r="F1234" s="34">
        <f t="shared" si="411"/>
        <v>0</v>
      </c>
      <c r="G1234" s="10"/>
      <c r="H1234" s="10"/>
      <c r="I1234" s="10"/>
      <c r="J1234" s="12">
        <f t="shared" si="402"/>
        <v>0</v>
      </c>
      <c r="L1234" s="10">
        <v>26</v>
      </c>
      <c r="M1234" s="32"/>
      <c r="N1234" s="33"/>
      <c r="O1234" s="51"/>
      <c r="P1234" s="33"/>
      <c r="Q1234" s="34">
        <f t="shared" si="412"/>
        <v>0</v>
      </c>
      <c r="R1234" s="10"/>
      <c r="S1234" s="10"/>
      <c r="T1234" s="10"/>
      <c r="U1234" s="12">
        <f t="shared" si="404"/>
        <v>0</v>
      </c>
      <c r="W1234" s="10">
        <v>26</v>
      </c>
      <c r="X1234" s="32"/>
      <c r="Z1234" s="51"/>
      <c r="AA1234" s="33"/>
      <c r="AB1234" s="34">
        <f t="shared" si="413"/>
        <v>0</v>
      </c>
      <c r="AC1234" s="10"/>
      <c r="AD1234" s="10"/>
      <c r="AE1234" s="10"/>
      <c r="AF1234" s="12">
        <f t="shared" si="406"/>
        <v>0</v>
      </c>
    </row>
    <row r="1235" spans="1:32" x14ac:dyDescent="0.25">
      <c r="A1235" s="10">
        <v>27</v>
      </c>
      <c r="B1235" s="32"/>
      <c r="C1235" s="33"/>
      <c r="D1235" s="51"/>
      <c r="E1235" s="33"/>
      <c r="F1235" s="34">
        <f t="shared" si="411"/>
        <v>0</v>
      </c>
      <c r="G1235" s="10"/>
      <c r="H1235" s="10"/>
      <c r="I1235" s="10"/>
      <c r="J1235" s="12">
        <f t="shared" si="402"/>
        <v>0</v>
      </c>
      <c r="L1235" s="10">
        <v>27</v>
      </c>
      <c r="M1235" s="32"/>
      <c r="O1235" s="51"/>
      <c r="P1235" s="33"/>
      <c r="Q1235" s="34">
        <f t="shared" si="412"/>
        <v>0</v>
      </c>
      <c r="R1235" s="10"/>
      <c r="S1235" s="10"/>
      <c r="T1235" s="10"/>
      <c r="U1235" s="12">
        <f t="shared" si="404"/>
        <v>0</v>
      </c>
      <c r="W1235" s="10">
        <v>27</v>
      </c>
      <c r="X1235" s="32"/>
      <c r="Y1235" s="33"/>
      <c r="Z1235" s="51"/>
      <c r="AA1235" s="33"/>
      <c r="AB1235" s="34">
        <f t="shared" si="413"/>
        <v>0</v>
      </c>
      <c r="AC1235" s="10"/>
      <c r="AD1235" s="10"/>
      <c r="AE1235" s="10"/>
      <c r="AF1235" s="12">
        <f t="shared" si="406"/>
        <v>0</v>
      </c>
    </row>
    <row r="1236" spans="1:32" x14ac:dyDescent="0.25">
      <c r="A1236" s="10">
        <v>28</v>
      </c>
      <c r="B1236" s="32"/>
      <c r="C1236" s="70"/>
      <c r="D1236" s="51"/>
      <c r="E1236" s="33"/>
      <c r="F1236" s="34">
        <f t="shared" si="411"/>
        <v>0</v>
      </c>
      <c r="G1236" s="10"/>
      <c r="H1236" s="10"/>
      <c r="I1236" s="10"/>
      <c r="J1236" s="12">
        <f t="shared" si="402"/>
        <v>0</v>
      </c>
      <c r="L1236" s="10">
        <v>28</v>
      </c>
      <c r="M1236" s="32"/>
      <c r="N1236" s="33"/>
      <c r="O1236" s="51"/>
      <c r="P1236" s="33"/>
      <c r="Q1236" s="34">
        <f t="shared" si="412"/>
        <v>0</v>
      </c>
      <c r="R1236" s="10"/>
      <c r="S1236" s="10"/>
      <c r="T1236" s="10"/>
      <c r="U1236" s="12">
        <f t="shared" si="404"/>
        <v>0</v>
      </c>
      <c r="W1236" s="10">
        <v>28</v>
      </c>
      <c r="X1236" s="32"/>
      <c r="Z1236" s="51"/>
      <c r="AA1236" s="33"/>
      <c r="AB1236" s="34">
        <f t="shared" si="413"/>
        <v>0</v>
      </c>
      <c r="AC1236" s="10"/>
      <c r="AD1236" s="10"/>
      <c r="AE1236" s="10"/>
      <c r="AF1236" s="12">
        <f t="shared" si="406"/>
        <v>0</v>
      </c>
    </row>
    <row r="1237" spans="1:32" x14ac:dyDescent="0.25">
      <c r="A1237" s="10">
        <v>29</v>
      </c>
      <c r="B1237" s="32"/>
      <c r="C1237"/>
      <c r="D1237" s="51"/>
      <c r="E1237" s="33"/>
      <c r="F1237" s="34">
        <f t="shared" si="411"/>
        <v>0</v>
      </c>
      <c r="G1237" s="10"/>
      <c r="H1237" s="10"/>
      <c r="I1237" s="10"/>
      <c r="J1237" s="12">
        <f t="shared" si="402"/>
        <v>0</v>
      </c>
      <c r="L1237" s="10">
        <v>29</v>
      </c>
      <c r="M1237" s="32"/>
      <c r="O1237" s="51"/>
      <c r="P1237" s="33"/>
      <c r="Q1237" s="34">
        <f t="shared" si="412"/>
        <v>0</v>
      </c>
      <c r="R1237" s="10"/>
      <c r="S1237" s="10"/>
      <c r="T1237" s="10"/>
      <c r="U1237" s="12">
        <f t="shared" si="404"/>
        <v>0</v>
      </c>
      <c r="W1237" s="10">
        <v>29</v>
      </c>
      <c r="X1237" s="32"/>
      <c r="Z1237" s="51"/>
      <c r="AA1237" s="33"/>
      <c r="AB1237" s="34">
        <f t="shared" si="413"/>
        <v>0</v>
      </c>
      <c r="AC1237" s="10"/>
      <c r="AD1237" s="10"/>
      <c r="AE1237" s="10"/>
      <c r="AF1237" s="12">
        <f t="shared" si="406"/>
        <v>0</v>
      </c>
    </row>
    <row r="1238" spans="1:32" x14ac:dyDescent="0.25">
      <c r="A1238" s="10">
        <v>30</v>
      </c>
      <c r="B1238" s="32"/>
      <c r="C1238" s="33"/>
      <c r="D1238" s="51"/>
      <c r="E1238" s="33"/>
      <c r="F1238" s="34">
        <f t="shared" si="411"/>
        <v>0</v>
      </c>
      <c r="G1238" s="10"/>
      <c r="H1238" s="10"/>
      <c r="I1238" s="10"/>
      <c r="J1238" s="12">
        <f t="shared" si="402"/>
        <v>0</v>
      </c>
      <c r="L1238" s="10">
        <v>30</v>
      </c>
      <c r="M1238" s="32"/>
      <c r="N1238" s="33"/>
      <c r="O1238" s="51"/>
      <c r="P1238" s="33"/>
      <c r="Q1238" s="34">
        <f t="shared" si="412"/>
        <v>0</v>
      </c>
      <c r="R1238" s="10"/>
      <c r="S1238" s="10"/>
      <c r="T1238" s="10"/>
      <c r="U1238" s="12">
        <f t="shared" si="404"/>
        <v>0</v>
      </c>
      <c r="W1238" s="10">
        <v>30</v>
      </c>
      <c r="X1238" s="32"/>
      <c r="Y1238" s="33"/>
      <c r="Z1238" s="51"/>
      <c r="AA1238" s="33"/>
      <c r="AB1238" s="34">
        <f t="shared" si="413"/>
        <v>0</v>
      </c>
      <c r="AC1238" s="10"/>
      <c r="AD1238" s="10"/>
      <c r="AE1238" s="10"/>
      <c r="AF1238" s="12">
        <f t="shared" si="406"/>
        <v>0</v>
      </c>
    </row>
    <row r="1239" spans="1:32" x14ac:dyDescent="0.25">
      <c r="A1239" s="10">
        <v>31</v>
      </c>
      <c r="B1239" s="32"/>
      <c r="C1239" s="33"/>
      <c r="D1239" s="51"/>
      <c r="E1239" s="33"/>
      <c r="F1239" s="34">
        <f t="shared" si="411"/>
        <v>0</v>
      </c>
      <c r="G1239" s="10"/>
      <c r="H1239" s="10"/>
      <c r="I1239" s="10"/>
      <c r="J1239" s="12">
        <f t="shared" si="402"/>
        <v>0</v>
      </c>
      <c r="L1239" s="10">
        <v>31</v>
      </c>
      <c r="M1239" s="32"/>
      <c r="O1239" s="51"/>
      <c r="P1239" s="33"/>
      <c r="Q1239" s="34">
        <f t="shared" si="412"/>
        <v>0</v>
      </c>
      <c r="R1239" s="10"/>
      <c r="S1239" s="10"/>
      <c r="T1239" s="10"/>
      <c r="U1239" s="12">
        <f t="shared" si="404"/>
        <v>0</v>
      </c>
      <c r="W1239" s="10">
        <v>31</v>
      </c>
      <c r="X1239" s="32"/>
      <c r="Z1239" s="51"/>
      <c r="AA1239" s="33"/>
      <c r="AB1239" s="34">
        <f t="shared" si="413"/>
        <v>0</v>
      </c>
      <c r="AC1239" s="10"/>
      <c r="AD1239" s="10"/>
      <c r="AE1239" s="10"/>
      <c r="AF1239" s="12">
        <f t="shared" si="406"/>
        <v>0</v>
      </c>
    </row>
    <row r="1240" spans="1:32" x14ac:dyDescent="0.25">
      <c r="A1240" s="10">
        <v>32</v>
      </c>
      <c r="B1240" s="32"/>
      <c r="C1240" s="70"/>
      <c r="D1240" s="51"/>
      <c r="E1240" s="33"/>
      <c r="F1240" s="34">
        <f t="shared" si="411"/>
        <v>0</v>
      </c>
      <c r="G1240" s="10"/>
      <c r="H1240" s="10"/>
      <c r="I1240" s="10"/>
      <c r="J1240" s="12">
        <f t="shared" si="402"/>
        <v>0</v>
      </c>
      <c r="L1240" s="10">
        <v>32</v>
      </c>
      <c r="M1240" s="32"/>
      <c r="N1240" s="33"/>
      <c r="O1240" s="51"/>
      <c r="P1240" s="33"/>
      <c r="Q1240" s="34">
        <f t="shared" si="412"/>
        <v>0</v>
      </c>
      <c r="R1240" s="10"/>
      <c r="S1240" s="10"/>
      <c r="T1240" s="10"/>
      <c r="U1240" s="12">
        <f t="shared" si="404"/>
        <v>0</v>
      </c>
      <c r="W1240" s="10">
        <v>32</v>
      </c>
      <c r="X1240" s="32"/>
      <c r="Y1240" s="33"/>
      <c r="Z1240" s="51"/>
      <c r="AA1240" s="33"/>
      <c r="AB1240" s="34">
        <f t="shared" si="413"/>
        <v>0</v>
      </c>
      <c r="AC1240" s="10"/>
      <c r="AD1240" s="10"/>
      <c r="AE1240" s="10"/>
      <c r="AF1240" s="12">
        <f t="shared" si="406"/>
        <v>0</v>
      </c>
    </row>
    <row r="1241" spans="1:32" x14ac:dyDescent="0.25">
      <c r="A1241" s="10">
        <v>33</v>
      </c>
      <c r="B1241" s="32"/>
      <c r="C1241" s="33"/>
      <c r="D1241" s="51"/>
      <c r="E1241" s="33"/>
      <c r="F1241" s="34">
        <f t="shared" si="411"/>
        <v>0</v>
      </c>
      <c r="G1241" s="10"/>
      <c r="H1241" s="10"/>
      <c r="I1241" s="10"/>
      <c r="J1241" s="12">
        <f t="shared" si="402"/>
        <v>0</v>
      </c>
      <c r="L1241" s="10">
        <v>33</v>
      </c>
      <c r="M1241" s="32"/>
      <c r="N1241" s="33"/>
      <c r="O1241" s="51"/>
      <c r="P1241" s="33"/>
      <c r="Q1241" s="34">
        <f t="shared" si="412"/>
        <v>0</v>
      </c>
      <c r="R1241" s="10"/>
      <c r="S1241" s="10"/>
      <c r="T1241" s="10"/>
      <c r="U1241" s="12">
        <f t="shared" si="404"/>
        <v>0</v>
      </c>
      <c r="W1241" s="10">
        <v>33</v>
      </c>
      <c r="X1241" s="32"/>
      <c r="Y1241" s="33"/>
      <c r="Z1241" s="51"/>
      <c r="AA1241" s="33"/>
      <c r="AB1241" s="34">
        <f t="shared" si="413"/>
        <v>0</v>
      </c>
      <c r="AC1241" s="10"/>
      <c r="AD1241" s="10"/>
      <c r="AE1241" s="10"/>
      <c r="AF1241" s="12">
        <f t="shared" si="406"/>
        <v>0</v>
      </c>
    </row>
    <row r="1242" spans="1:32" x14ac:dyDescent="0.25">
      <c r="A1242" s="10">
        <v>34</v>
      </c>
      <c r="B1242" s="32"/>
      <c r="C1242" s="33"/>
      <c r="D1242" s="51"/>
      <c r="E1242" s="33"/>
      <c r="F1242" s="34">
        <f t="shared" si="411"/>
        <v>0</v>
      </c>
      <c r="G1242" s="10"/>
      <c r="H1242" s="10"/>
      <c r="I1242" s="10"/>
      <c r="J1242" s="12">
        <f t="shared" si="402"/>
        <v>0</v>
      </c>
      <c r="L1242" s="10">
        <v>34</v>
      </c>
      <c r="M1242" s="32"/>
      <c r="N1242" s="33"/>
      <c r="O1242" s="51"/>
      <c r="P1242" s="33"/>
      <c r="Q1242" s="34">
        <f t="shared" si="412"/>
        <v>0</v>
      </c>
      <c r="R1242" s="10"/>
      <c r="S1242" s="10"/>
      <c r="T1242" s="10"/>
      <c r="U1242" s="12">
        <f t="shared" si="404"/>
        <v>0</v>
      </c>
      <c r="W1242" s="10">
        <v>34</v>
      </c>
      <c r="X1242" s="32"/>
      <c r="Y1242" s="33"/>
      <c r="Z1242" s="51"/>
      <c r="AA1242" s="33"/>
      <c r="AB1242" s="34">
        <f t="shared" ref="AB1242:AB1247" si="414">SUM(Z1242:AA1242)</f>
        <v>0</v>
      </c>
      <c r="AC1242" s="10"/>
      <c r="AD1242" s="10"/>
      <c r="AE1242" s="10"/>
      <c r="AF1242" s="12">
        <f t="shared" si="406"/>
        <v>0</v>
      </c>
    </row>
    <row r="1243" spans="1:32" x14ac:dyDescent="0.25">
      <c r="A1243" s="10">
        <v>35</v>
      </c>
      <c r="B1243" s="32"/>
      <c r="C1243" s="33"/>
      <c r="D1243" s="51"/>
      <c r="E1243" s="33"/>
      <c r="F1243" s="34">
        <f t="shared" si="411"/>
        <v>0</v>
      </c>
      <c r="G1243" s="10"/>
      <c r="H1243" s="10"/>
      <c r="I1243" s="10"/>
      <c r="J1243" s="12">
        <f t="shared" si="402"/>
        <v>0</v>
      </c>
      <c r="L1243" s="10">
        <v>35</v>
      </c>
      <c r="M1243" s="32"/>
      <c r="N1243" s="33"/>
      <c r="O1243" s="51"/>
      <c r="P1243" s="33"/>
      <c r="Q1243" s="34">
        <f t="shared" si="412"/>
        <v>0</v>
      </c>
      <c r="R1243" s="10"/>
      <c r="S1243" s="10"/>
      <c r="T1243" s="10"/>
      <c r="U1243" s="12">
        <f t="shared" si="404"/>
        <v>0</v>
      </c>
      <c r="W1243" s="10">
        <v>35</v>
      </c>
      <c r="X1243" s="32"/>
      <c r="Y1243" s="33"/>
      <c r="Z1243" s="51"/>
      <c r="AA1243" s="33"/>
      <c r="AB1243" s="34">
        <f t="shared" si="414"/>
        <v>0</v>
      </c>
      <c r="AC1243" s="10"/>
      <c r="AD1243" s="10"/>
      <c r="AE1243" s="10"/>
      <c r="AF1243" s="12">
        <f t="shared" si="406"/>
        <v>0</v>
      </c>
    </row>
    <row r="1244" spans="1:32" x14ac:dyDescent="0.25">
      <c r="A1244" s="10">
        <v>36</v>
      </c>
      <c r="B1244" s="32"/>
      <c r="C1244" s="33"/>
      <c r="D1244" s="51"/>
      <c r="E1244" s="33"/>
      <c r="F1244" s="34">
        <f t="shared" si="411"/>
        <v>0</v>
      </c>
      <c r="G1244" s="10"/>
      <c r="H1244" s="10"/>
      <c r="I1244" s="10"/>
      <c r="J1244" s="12">
        <f t="shared" si="402"/>
        <v>0</v>
      </c>
      <c r="L1244" s="10">
        <v>36</v>
      </c>
      <c r="M1244" s="32"/>
      <c r="N1244" s="33"/>
      <c r="O1244" s="51"/>
      <c r="P1244" s="33"/>
      <c r="Q1244" s="34">
        <f t="shared" si="412"/>
        <v>0</v>
      </c>
      <c r="R1244" s="10"/>
      <c r="S1244" s="10"/>
      <c r="T1244" s="10"/>
      <c r="U1244" s="12">
        <f t="shared" si="404"/>
        <v>0</v>
      </c>
      <c r="W1244" s="10">
        <v>36</v>
      </c>
      <c r="X1244" s="32"/>
      <c r="Y1244" s="33"/>
      <c r="Z1244" s="51"/>
      <c r="AA1244" s="33"/>
      <c r="AB1244" s="34">
        <f t="shared" si="414"/>
        <v>0</v>
      </c>
      <c r="AC1244" s="10"/>
      <c r="AD1244" s="10"/>
      <c r="AE1244" s="10"/>
      <c r="AF1244" s="12">
        <f t="shared" si="406"/>
        <v>0</v>
      </c>
    </row>
    <row r="1245" spans="1:32" x14ac:dyDescent="0.25">
      <c r="A1245" s="10">
        <v>37</v>
      </c>
      <c r="B1245" s="32"/>
      <c r="C1245" s="33"/>
      <c r="D1245" s="51"/>
      <c r="E1245" s="33"/>
      <c r="F1245" s="34">
        <f t="shared" si="411"/>
        <v>0</v>
      </c>
      <c r="G1245" s="10"/>
      <c r="H1245" s="10"/>
      <c r="I1245" s="10"/>
      <c r="J1245" s="12">
        <f t="shared" si="402"/>
        <v>0</v>
      </c>
      <c r="L1245" s="10">
        <v>37</v>
      </c>
      <c r="M1245" s="32"/>
      <c r="O1245" s="51"/>
      <c r="P1245" s="33"/>
      <c r="Q1245" s="34">
        <f t="shared" si="412"/>
        <v>0</v>
      </c>
      <c r="R1245" s="10"/>
      <c r="S1245" s="10"/>
      <c r="T1245" s="10"/>
      <c r="U1245" s="12">
        <f t="shared" si="404"/>
        <v>0</v>
      </c>
      <c r="W1245" s="10">
        <v>37</v>
      </c>
      <c r="X1245" s="32"/>
      <c r="Y1245" s="33"/>
      <c r="Z1245" s="51"/>
      <c r="AA1245" s="33"/>
      <c r="AB1245" s="34">
        <f t="shared" si="414"/>
        <v>0</v>
      </c>
      <c r="AC1245" s="10"/>
      <c r="AD1245" s="10"/>
      <c r="AE1245" s="10"/>
      <c r="AF1245" s="12">
        <f t="shared" si="406"/>
        <v>0</v>
      </c>
    </row>
    <row r="1246" spans="1:32" x14ac:dyDescent="0.25">
      <c r="A1246" s="10">
        <v>38</v>
      </c>
      <c r="B1246" s="32"/>
      <c r="C1246" s="33"/>
      <c r="D1246" s="51"/>
      <c r="E1246" s="33"/>
      <c r="F1246" s="34">
        <f t="shared" si="411"/>
        <v>0</v>
      </c>
      <c r="G1246" s="10"/>
      <c r="H1246" s="10"/>
      <c r="I1246" s="10"/>
      <c r="J1246" s="12">
        <f t="shared" si="402"/>
        <v>0</v>
      </c>
      <c r="L1246" s="10">
        <v>38</v>
      </c>
      <c r="M1246" s="32"/>
      <c r="N1246" s="33"/>
      <c r="O1246" s="51"/>
      <c r="P1246" s="33"/>
      <c r="Q1246" s="34">
        <f t="shared" si="412"/>
        <v>0</v>
      </c>
      <c r="R1246" s="10"/>
      <c r="S1246" s="10"/>
      <c r="T1246" s="10"/>
      <c r="U1246" s="12">
        <f t="shared" si="404"/>
        <v>0</v>
      </c>
      <c r="W1246" s="10">
        <v>38</v>
      </c>
      <c r="X1246" s="32"/>
      <c r="Y1246" s="33"/>
      <c r="Z1246" s="51"/>
      <c r="AA1246" s="33"/>
      <c r="AB1246" s="34">
        <f t="shared" si="414"/>
        <v>0</v>
      </c>
      <c r="AC1246" s="10"/>
      <c r="AD1246" s="10"/>
      <c r="AE1246" s="10"/>
      <c r="AF1246" s="12">
        <f t="shared" si="406"/>
        <v>0</v>
      </c>
    </row>
    <row r="1247" spans="1:32" x14ac:dyDescent="0.25">
      <c r="A1247" s="10">
        <v>39</v>
      </c>
      <c r="B1247" s="32"/>
      <c r="C1247" s="33"/>
      <c r="D1247" s="51"/>
      <c r="E1247" s="33"/>
      <c r="F1247" s="34">
        <f t="shared" si="411"/>
        <v>0</v>
      </c>
      <c r="G1247" s="10"/>
      <c r="H1247" s="10"/>
      <c r="I1247" s="10"/>
      <c r="J1247" s="12">
        <f t="shared" si="402"/>
        <v>0</v>
      </c>
      <c r="L1247" s="10">
        <v>39</v>
      </c>
      <c r="M1247" s="32"/>
      <c r="N1247" s="33"/>
      <c r="O1247" s="51"/>
      <c r="P1247" s="33"/>
      <c r="Q1247" s="34">
        <f t="shared" si="412"/>
        <v>0</v>
      </c>
      <c r="R1247" s="10"/>
      <c r="S1247" s="10"/>
      <c r="T1247" s="10"/>
      <c r="U1247" s="12">
        <f t="shared" si="404"/>
        <v>0</v>
      </c>
      <c r="W1247" s="10">
        <v>39</v>
      </c>
      <c r="X1247" s="32"/>
      <c r="Y1247" s="33"/>
      <c r="Z1247" s="51"/>
      <c r="AA1247" s="33"/>
      <c r="AB1247" s="34">
        <f t="shared" si="414"/>
        <v>0</v>
      </c>
      <c r="AC1247" s="10"/>
      <c r="AD1247" s="10"/>
      <c r="AE1247" s="10"/>
      <c r="AF1247" s="12">
        <f t="shared" si="406"/>
        <v>0</v>
      </c>
    </row>
    <row r="1248" spans="1:32" x14ac:dyDescent="0.25">
      <c r="A1248" s="10"/>
      <c r="B1248" s="32"/>
      <c r="C1248"/>
      <c r="D1248" s="51"/>
      <c r="E1248" s="33"/>
      <c r="F1248" s="34"/>
      <c r="G1248" s="10"/>
      <c r="H1248" s="10"/>
      <c r="I1248" s="10"/>
      <c r="J1248" s="12">
        <f t="shared" si="402"/>
        <v>0</v>
      </c>
      <c r="L1248" s="10"/>
      <c r="M1248" s="32"/>
      <c r="O1248" s="51"/>
      <c r="P1248" s="33"/>
      <c r="Q1248" s="34"/>
      <c r="R1248" s="10"/>
      <c r="S1248" s="10"/>
      <c r="T1248" s="10"/>
      <c r="U1248" s="12">
        <f t="shared" si="404"/>
        <v>0</v>
      </c>
      <c r="W1248" s="10"/>
      <c r="X1248" s="32"/>
      <c r="Z1248" s="51"/>
      <c r="AA1248" s="33"/>
      <c r="AB1248" s="34"/>
      <c r="AC1248" s="10"/>
      <c r="AD1248" s="10"/>
      <c r="AE1248" s="10"/>
      <c r="AF1248" s="12">
        <f t="shared" si="406"/>
        <v>0</v>
      </c>
    </row>
    <row r="1249" spans="1:32" x14ac:dyDescent="0.25">
      <c r="A1249" s="10"/>
      <c r="B1249" s="32"/>
      <c r="C1249" s="33"/>
      <c r="D1249" s="51"/>
      <c r="E1249" s="33"/>
      <c r="F1249" s="34">
        <f t="shared" ref="F1249" si="415">SUM(D1249:E1249)</f>
        <v>0</v>
      </c>
      <c r="G1249" s="10"/>
      <c r="H1249" s="10"/>
      <c r="I1249" s="10"/>
      <c r="J1249" s="12">
        <f t="shared" si="402"/>
        <v>0</v>
      </c>
      <c r="L1249" s="10"/>
      <c r="M1249" s="32"/>
      <c r="N1249" s="33"/>
      <c r="O1249" s="51"/>
      <c r="P1249" s="33"/>
      <c r="Q1249" s="34">
        <f t="shared" ref="Q1249" si="416">SUM(O1249:P1249)</f>
        <v>0</v>
      </c>
      <c r="R1249" s="10"/>
      <c r="S1249" s="10"/>
      <c r="T1249" s="10"/>
      <c r="U1249" s="12">
        <f t="shared" si="404"/>
        <v>0</v>
      </c>
      <c r="W1249" s="10"/>
      <c r="X1249" s="32"/>
      <c r="Y1249" s="33"/>
      <c r="Z1249" s="51"/>
      <c r="AA1249" s="33"/>
      <c r="AB1249" s="34">
        <f t="shared" ref="AB1249" si="417">SUM(Z1249:AA1249)</f>
        <v>0</v>
      </c>
      <c r="AC1249" s="10"/>
      <c r="AD1249" s="10"/>
      <c r="AE1249" s="10"/>
      <c r="AF1249" s="12">
        <f t="shared" si="406"/>
        <v>0</v>
      </c>
    </row>
    <row r="1250" spans="1:32" x14ac:dyDescent="0.25">
      <c r="A1250" s="10"/>
      <c r="B1250" s="33"/>
      <c r="C1250" s="33"/>
      <c r="D1250" s="33"/>
      <c r="E1250" s="33"/>
      <c r="F1250" s="33"/>
      <c r="G1250" s="10"/>
      <c r="H1250" s="10"/>
      <c r="I1250" s="10"/>
      <c r="J1250" s="12">
        <f t="shared" si="402"/>
        <v>0</v>
      </c>
      <c r="L1250" s="10"/>
      <c r="M1250" s="33"/>
      <c r="N1250" s="33"/>
      <c r="O1250" s="33"/>
      <c r="P1250" s="33"/>
      <c r="Q1250" s="33"/>
      <c r="R1250" s="10"/>
      <c r="S1250" s="10"/>
      <c r="T1250" s="10"/>
      <c r="U1250" s="12">
        <f t="shared" si="404"/>
        <v>0</v>
      </c>
      <c r="W1250" s="10"/>
      <c r="X1250" s="33"/>
      <c r="Y1250" s="33"/>
      <c r="Z1250" s="33"/>
      <c r="AA1250" s="33"/>
      <c r="AB1250" s="33"/>
      <c r="AC1250" s="10"/>
      <c r="AD1250" s="10"/>
      <c r="AE1250" s="10"/>
      <c r="AF1250" s="12">
        <f t="shared" si="406"/>
        <v>0</v>
      </c>
    </row>
    <row r="1251" spans="1:32" x14ac:dyDescent="0.25">
      <c r="B1251" s="70"/>
      <c r="C1251" s="70"/>
      <c r="D1251" s="38"/>
      <c r="E1251" s="38"/>
      <c r="F1251" s="38"/>
      <c r="G1251" s="39"/>
      <c r="H1251" s="39"/>
      <c r="I1251" s="39"/>
      <c r="J1251" s="39"/>
      <c r="M1251" s="70"/>
      <c r="N1251" s="70"/>
      <c r="O1251" s="38"/>
      <c r="P1251" s="38"/>
      <c r="Q1251" s="38"/>
      <c r="R1251" s="39"/>
      <c r="S1251" s="39"/>
      <c r="T1251" s="39"/>
      <c r="U1251" s="39"/>
      <c r="X1251" s="70"/>
      <c r="Y1251" s="70"/>
      <c r="Z1251" s="38"/>
      <c r="AA1251" s="38"/>
      <c r="AB1251" s="38"/>
      <c r="AC1251" s="39"/>
      <c r="AD1251" s="39"/>
      <c r="AE1251" s="39"/>
      <c r="AF1251" s="39"/>
    </row>
    <row r="1252" spans="1:32" x14ac:dyDescent="0.25">
      <c r="B1252" s="70"/>
      <c r="C1252" s="70"/>
      <c r="D1252" s="40">
        <f>SUM(D1209:D1251)</f>
        <v>223786</v>
      </c>
      <c r="E1252" s="40">
        <f>SUM(E1209:E1233)</f>
        <v>-1899</v>
      </c>
      <c r="F1252" s="40">
        <f>SUM(F1209:F1251)</f>
        <v>221887</v>
      </c>
      <c r="G1252" s="4"/>
      <c r="H1252" s="43">
        <f>SUM(H1209:H1251)</f>
        <v>1038</v>
      </c>
      <c r="I1252" s="43">
        <f>SUM(I1209:I1233)</f>
        <v>-13225.5</v>
      </c>
      <c r="J1252" s="44">
        <f>SUM(J1209:J1251)</f>
        <v>209699.5</v>
      </c>
      <c r="M1252" s="70"/>
      <c r="N1252" s="70"/>
      <c r="O1252" s="40">
        <f>SUM(O1209:O1251)</f>
        <v>385387.5</v>
      </c>
      <c r="P1252" s="40">
        <f>SUM(P1209:P1233)</f>
        <v>-4707</v>
      </c>
      <c r="Q1252" s="40">
        <f>SUM(Q1209:Q1251)</f>
        <v>380680.5</v>
      </c>
      <c r="R1252" s="4"/>
      <c r="S1252" s="43">
        <f>SUM(S1209:S1251)</f>
        <v>7707</v>
      </c>
      <c r="T1252" s="43">
        <f>SUM(T1209:T1233)</f>
        <v>-6498</v>
      </c>
      <c r="U1252" s="44">
        <f>SUM(U1209:U1251)</f>
        <v>381889.5</v>
      </c>
      <c r="X1252" s="70"/>
      <c r="Y1252" s="70"/>
      <c r="Z1252" s="40">
        <f>SUM(Z1209:Z1251)</f>
        <v>315562.5</v>
      </c>
      <c r="AA1252" s="40">
        <f>SUM(AA1209:AA1233)</f>
        <v>-4040</v>
      </c>
      <c r="AB1252" s="40">
        <f>SUM(AB1209:AB1251)</f>
        <v>311522.5</v>
      </c>
      <c r="AC1252" s="4"/>
      <c r="AD1252" s="43">
        <f>SUM(AD1209:AD1251)</f>
        <v>78</v>
      </c>
      <c r="AE1252" s="43">
        <f>SUM(AE1209:AE1233)</f>
        <v>0</v>
      </c>
      <c r="AF1252" s="44">
        <f>SUM(AF1209:AF1251)</f>
        <v>311600.5</v>
      </c>
    </row>
    <row r="1253" spans="1:32" x14ac:dyDescent="0.25">
      <c r="B1253" s="70"/>
      <c r="C1253" s="70"/>
      <c r="D1253" s="45"/>
      <c r="E1253" s="70"/>
      <c r="F1253" s="70"/>
      <c r="M1253" s="70"/>
      <c r="N1253" s="70"/>
      <c r="O1253" s="45"/>
      <c r="P1253" s="70"/>
      <c r="Q1253" s="70"/>
      <c r="X1253" s="70"/>
      <c r="Y1253" s="70"/>
      <c r="Z1253" s="45"/>
      <c r="AA1253" s="70"/>
      <c r="AB1253" s="70"/>
    </row>
    <row r="1254" spans="1:32" x14ac:dyDescent="0.25">
      <c r="B1254" s="70"/>
      <c r="C1254" s="70"/>
      <c r="D1254" s="70"/>
      <c r="E1254" s="70"/>
      <c r="F1254" s="70"/>
      <c r="M1254" s="70"/>
      <c r="N1254" s="70"/>
      <c r="O1254" s="70"/>
      <c r="P1254" s="70"/>
      <c r="Q1254" s="70"/>
      <c r="X1254" s="70"/>
      <c r="Y1254" s="70"/>
      <c r="Z1254" s="70"/>
      <c r="AA1254" s="70"/>
      <c r="AB1254" s="70"/>
    </row>
    <row r="1255" spans="1:32" x14ac:dyDescent="0.25">
      <c r="A1255" s="18"/>
      <c r="B1255" s="18"/>
      <c r="C1255" s="18"/>
      <c r="D1255" s="18"/>
      <c r="E1255" s="18"/>
      <c r="F1255" s="18"/>
      <c r="G1255" s="18"/>
      <c r="H1255" s="18"/>
      <c r="I1255" s="18"/>
      <c r="J1255" s="18"/>
      <c r="L1255" s="18"/>
      <c r="M1255" s="18"/>
      <c r="N1255" s="18"/>
      <c r="O1255" s="18"/>
      <c r="P1255" s="18"/>
      <c r="Q1255" s="18"/>
      <c r="R1255" s="18"/>
      <c r="S1255" s="18"/>
      <c r="T1255" s="18"/>
      <c r="U1255" s="18"/>
      <c r="W1255" s="18"/>
      <c r="X1255" s="18"/>
      <c r="Y1255" s="18"/>
      <c r="Z1255" s="18"/>
      <c r="AA1255" s="18"/>
      <c r="AB1255" s="18"/>
      <c r="AC1255" s="18"/>
      <c r="AD1255" s="18"/>
      <c r="AE1255" s="18"/>
      <c r="AF1255" s="18"/>
    </row>
    <row r="1256" spans="1:32" x14ac:dyDescent="0.25">
      <c r="A1256" t="s">
        <v>0</v>
      </c>
      <c r="B1256" s="70"/>
      <c r="C1256" s="70"/>
      <c r="D1256" s="70"/>
      <c r="E1256" s="70"/>
      <c r="F1256" s="70"/>
      <c r="L1256" t="s">
        <v>0</v>
      </c>
      <c r="M1256" s="70"/>
      <c r="N1256" s="70"/>
      <c r="O1256" s="70"/>
      <c r="P1256" s="70"/>
      <c r="Q1256" s="70"/>
      <c r="W1256" t="s">
        <v>0</v>
      </c>
      <c r="X1256" s="70"/>
      <c r="Y1256" s="70"/>
      <c r="Z1256" s="70"/>
      <c r="AA1256" s="70"/>
      <c r="AB1256" s="70"/>
    </row>
    <row r="1257" spans="1:32" x14ac:dyDescent="0.25">
      <c r="A1257" t="s">
        <v>30</v>
      </c>
      <c r="B1257" s="70"/>
      <c r="C1257" s="70"/>
      <c r="D1257" s="70"/>
      <c r="E1257" s="70"/>
      <c r="F1257" s="70"/>
      <c r="L1257" t="s">
        <v>30</v>
      </c>
      <c r="M1257" s="70"/>
      <c r="N1257" s="70"/>
      <c r="O1257" s="70"/>
      <c r="P1257" s="70"/>
      <c r="Q1257" s="70"/>
      <c r="W1257" t="s">
        <v>30</v>
      </c>
      <c r="X1257" s="70"/>
      <c r="Y1257" s="70"/>
      <c r="Z1257" s="70"/>
      <c r="AA1257" s="70"/>
      <c r="AB1257" s="70"/>
    </row>
    <row r="1258" spans="1:32" x14ac:dyDescent="0.25">
      <c r="B1258" s="70"/>
      <c r="C1258" s="70"/>
      <c r="D1258" s="70"/>
      <c r="E1258" s="70"/>
      <c r="F1258" s="70"/>
      <c r="M1258" s="70"/>
      <c r="N1258" s="70"/>
      <c r="O1258" s="70"/>
      <c r="P1258" s="70"/>
      <c r="Q1258" s="70"/>
      <c r="X1258" s="70"/>
      <c r="Y1258" s="70"/>
      <c r="Z1258" s="70"/>
      <c r="AA1258" s="70"/>
      <c r="AB1258" s="70"/>
    </row>
    <row r="1259" spans="1:32" x14ac:dyDescent="0.25">
      <c r="A1259" s="4" t="s">
        <v>15</v>
      </c>
      <c r="B1259" s="70"/>
      <c r="C1259" s="70"/>
      <c r="D1259" s="70"/>
      <c r="E1259" s="70"/>
      <c r="F1259" s="70"/>
      <c r="L1259" s="4" t="s">
        <v>15</v>
      </c>
      <c r="M1259" s="70"/>
      <c r="N1259" s="70"/>
      <c r="O1259" s="70"/>
      <c r="P1259" s="70"/>
      <c r="Q1259" s="70"/>
      <c r="W1259" s="4" t="s">
        <v>15</v>
      </c>
      <c r="X1259" s="70"/>
      <c r="Y1259" s="70"/>
      <c r="Z1259" s="70"/>
      <c r="AA1259" s="70"/>
      <c r="AB1259" s="70"/>
    </row>
    <row r="1260" spans="1:32" x14ac:dyDescent="0.25">
      <c r="B1260" s="70"/>
      <c r="C1260" s="70"/>
      <c r="D1260" s="70"/>
      <c r="E1260" s="70"/>
      <c r="F1260" s="70"/>
      <c r="M1260" s="70"/>
      <c r="N1260" s="70"/>
      <c r="O1260" s="70"/>
      <c r="P1260" s="70"/>
      <c r="Q1260" s="70"/>
      <c r="X1260" s="70"/>
      <c r="Y1260" s="70"/>
      <c r="Z1260" s="70"/>
      <c r="AA1260" s="70"/>
      <c r="AB1260" s="70"/>
    </row>
    <row r="1261" spans="1:32" ht="15.75" x14ac:dyDescent="0.25">
      <c r="A1261" t="s">
        <v>35</v>
      </c>
      <c r="B1261" s="70"/>
      <c r="C1261" s="70"/>
      <c r="D1261" s="70"/>
      <c r="E1261" s="70"/>
      <c r="F1261" s="70"/>
      <c r="H1261" s="70" t="s">
        <v>16</v>
      </c>
      <c r="I1261" s="19">
        <v>1</v>
      </c>
      <c r="L1261" t="s">
        <v>35</v>
      </c>
      <c r="M1261" s="70"/>
      <c r="N1261" s="70"/>
      <c r="O1261" s="70"/>
      <c r="P1261" s="70"/>
      <c r="Q1261" s="70"/>
      <c r="S1261" s="70" t="s">
        <v>16</v>
      </c>
      <c r="T1261" s="19">
        <v>2</v>
      </c>
      <c r="W1261" t="s">
        <v>35</v>
      </c>
      <c r="X1261" s="70"/>
      <c r="Y1261" s="70"/>
      <c r="Z1261" s="70"/>
      <c r="AA1261" s="70"/>
      <c r="AB1261" s="70"/>
      <c r="AD1261" s="70" t="s">
        <v>16</v>
      </c>
      <c r="AE1261" s="20">
        <v>3</v>
      </c>
    </row>
    <row r="1262" spans="1:32" x14ac:dyDescent="0.25">
      <c r="A1262" s="21" t="s">
        <v>93</v>
      </c>
      <c r="B1262" s="20"/>
      <c r="C1262" s="70"/>
      <c r="D1262" s="70"/>
      <c r="E1262" s="70"/>
      <c r="F1262" s="70"/>
      <c r="H1262" s="22" t="s">
        <v>17</v>
      </c>
      <c r="I1262" s="23" t="s">
        <v>46</v>
      </c>
      <c r="J1262" s="24"/>
      <c r="L1262" s="21" t="s">
        <v>93</v>
      </c>
      <c r="M1262" s="20"/>
      <c r="N1262" s="70"/>
      <c r="O1262" s="70"/>
      <c r="P1262" s="70"/>
      <c r="Q1262" s="70"/>
      <c r="S1262" s="22" t="s">
        <v>17</v>
      </c>
      <c r="T1262" s="23" t="s">
        <v>34</v>
      </c>
      <c r="U1262" s="24"/>
      <c r="W1262" s="21" t="s">
        <v>93</v>
      </c>
      <c r="X1262" s="20"/>
      <c r="Y1262" s="70"/>
      <c r="Z1262" s="70"/>
      <c r="AA1262" s="70"/>
      <c r="AB1262" s="70"/>
      <c r="AD1262" s="22" t="s">
        <v>17</v>
      </c>
      <c r="AE1262" s="23" t="s">
        <v>91</v>
      </c>
      <c r="AF1262" s="24"/>
    </row>
    <row r="1263" spans="1:32" x14ac:dyDescent="0.25">
      <c r="B1263" s="70"/>
      <c r="C1263" s="70"/>
      <c r="D1263" s="70"/>
      <c r="E1263" s="70"/>
      <c r="F1263" s="70"/>
      <c r="M1263" s="70"/>
      <c r="N1263" s="70"/>
      <c r="O1263" s="70"/>
      <c r="P1263" s="70"/>
      <c r="Q1263" s="70"/>
      <c r="X1263" s="70"/>
      <c r="Y1263" s="70"/>
      <c r="Z1263" s="70"/>
      <c r="AA1263" s="70"/>
      <c r="AB1263" s="70"/>
    </row>
    <row r="1264" spans="1:32" x14ac:dyDescent="0.25">
      <c r="B1264" s="25"/>
      <c r="C1264" s="26"/>
      <c r="D1264" s="79" t="s">
        <v>18</v>
      </c>
      <c r="E1264" s="79"/>
      <c r="F1264" s="27"/>
      <c r="H1264" s="77" t="s">
        <v>19</v>
      </c>
      <c r="I1264" s="78"/>
      <c r="J1264" s="75" t="s">
        <v>20</v>
      </c>
      <c r="M1264" s="25"/>
      <c r="N1264" s="26"/>
      <c r="O1264" s="79" t="s">
        <v>18</v>
      </c>
      <c r="P1264" s="79"/>
      <c r="Q1264" s="27"/>
      <c r="S1264" s="77" t="s">
        <v>19</v>
      </c>
      <c r="T1264" s="78"/>
      <c r="U1264" s="75" t="s">
        <v>20</v>
      </c>
      <c r="X1264" s="25"/>
      <c r="Y1264" s="26"/>
      <c r="Z1264" s="79" t="s">
        <v>18</v>
      </c>
      <c r="AA1264" s="79"/>
      <c r="AB1264" s="27"/>
      <c r="AD1264" s="77" t="s">
        <v>19</v>
      </c>
      <c r="AE1264" s="78"/>
      <c r="AF1264" s="75" t="s">
        <v>20</v>
      </c>
    </row>
    <row r="1265" spans="1:32" ht="30" x14ac:dyDescent="0.25">
      <c r="B1265" s="28" t="s">
        <v>21</v>
      </c>
      <c r="C1265" s="28" t="s">
        <v>22</v>
      </c>
      <c r="D1265" s="29" t="s">
        <v>23</v>
      </c>
      <c r="E1265" s="30" t="s">
        <v>24</v>
      </c>
      <c r="F1265" s="30" t="s">
        <v>25</v>
      </c>
      <c r="H1265" s="31" t="s">
        <v>26</v>
      </c>
      <c r="I1265" s="31" t="s">
        <v>27</v>
      </c>
      <c r="J1265" s="76"/>
      <c r="M1265" s="28" t="s">
        <v>21</v>
      </c>
      <c r="N1265" s="28" t="s">
        <v>22</v>
      </c>
      <c r="O1265" s="29" t="s">
        <v>23</v>
      </c>
      <c r="P1265" s="30" t="s">
        <v>24</v>
      </c>
      <c r="Q1265" s="30" t="s">
        <v>25</v>
      </c>
      <c r="S1265" s="31" t="s">
        <v>26</v>
      </c>
      <c r="T1265" s="31" t="s">
        <v>27</v>
      </c>
      <c r="U1265" s="76"/>
      <c r="X1265" s="28" t="s">
        <v>21</v>
      </c>
      <c r="Y1265" s="28" t="s">
        <v>22</v>
      </c>
      <c r="Z1265" s="29" t="s">
        <v>23</v>
      </c>
      <c r="AA1265" s="30" t="s">
        <v>24</v>
      </c>
      <c r="AB1265" s="30" t="s">
        <v>25</v>
      </c>
      <c r="AD1265" s="31" t="s">
        <v>26</v>
      </c>
      <c r="AE1265" s="31" t="s">
        <v>27</v>
      </c>
      <c r="AF1265" s="76"/>
    </row>
    <row r="1266" spans="1:32" x14ac:dyDescent="0.25">
      <c r="A1266" s="10">
        <v>1</v>
      </c>
      <c r="B1266" s="32">
        <v>45685</v>
      </c>
      <c r="C1266" s="33">
        <v>7985</v>
      </c>
      <c r="D1266" s="34">
        <f>626*170+596*30+205*8</f>
        <v>125940</v>
      </c>
      <c r="E1266" s="34">
        <v>-1872</v>
      </c>
      <c r="F1266" s="34">
        <f>SUM(D1266:E1266)</f>
        <v>124068</v>
      </c>
      <c r="G1266" s="12"/>
      <c r="H1266" s="12">
        <f>2664+468</f>
        <v>3132</v>
      </c>
      <c r="I1266" s="12">
        <f>-84+-462+-9</f>
        <v>-555</v>
      </c>
      <c r="J1266" s="12">
        <f>SUM(F1266:I1266)</f>
        <v>126645</v>
      </c>
      <c r="L1266" s="10">
        <v>1</v>
      </c>
      <c r="M1266" s="32">
        <v>45685</v>
      </c>
      <c r="N1266" s="33">
        <v>9551</v>
      </c>
      <c r="O1266" s="34">
        <f>135216+1640</f>
        <v>136856</v>
      </c>
      <c r="P1266" s="34">
        <v>-2016</v>
      </c>
      <c r="Q1266" s="34">
        <f>SUM(O1266:P1266)</f>
        <v>134840</v>
      </c>
      <c r="R1266" s="12"/>
      <c r="S1266" s="12"/>
      <c r="T1266" s="12">
        <v>-8775</v>
      </c>
      <c r="U1266" s="12">
        <f>SUM(Q1266:T1266)</f>
        <v>126065</v>
      </c>
      <c r="W1266" s="10">
        <v>1</v>
      </c>
      <c r="X1266" s="32">
        <v>45685</v>
      </c>
      <c r="Y1266" s="33">
        <v>7695</v>
      </c>
      <c r="Z1266" s="34">
        <f>626*70+596*20+205*4</f>
        <v>56560</v>
      </c>
      <c r="AA1266" s="34">
        <v>-720</v>
      </c>
      <c r="AB1266" s="34">
        <f>SUM(Z1266:AA1266)</f>
        <v>55840</v>
      </c>
      <c r="AC1266" s="12"/>
      <c r="AD1266" s="12">
        <v>312</v>
      </c>
      <c r="AE1266" s="12"/>
      <c r="AF1266" s="12">
        <f>SUM(AB1266:AE1266)</f>
        <v>56152</v>
      </c>
    </row>
    <row r="1267" spans="1:32" x14ac:dyDescent="0.25">
      <c r="A1267" s="10">
        <v>2</v>
      </c>
      <c r="B1267" s="32">
        <v>45685</v>
      </c>
      <c r="C1267" s="33">
        <f>C1266+1</f>
        <v>7986</v>
      </c>
      <c r="D1267">
        <f>626+503+416+9</f>
        <v>1554</v>
      </c>
      <c r="E1267" s="34"/>
      <c r="F1267" s="34">
        <f t="shared" ref="F1267:F1270" si="418">SUM(D1267:E1267)</f>
        <v>1554</v>
      </c>
      <c r="G1267" s="12"/>
      <c r="H1267" s="12"/>
      <c r="I1267" s="12"/>
      <c r="J1267" s="12">
        <f t="shared" ref="J1267:J1307" si="419">SUM(F1267:I1267)</f>
        <v>1554</v>
      </c>
      <c r="L1267" s="10">
        <v>2</v>
      </c>
      <c r="M1267" s="32">
        <v>45685</v>
      </c>
      <c r="N1267" s="33">
        <f>N1266+1</f>
        <v>9552</v>
      </c>
      <c r="O1267">
        <f>626+8.5</f>
        <v>634.5</v>
      </c>
      <c r="P1267" s="34"/>
      <c r="Q1267" s="34">
        <f t="shared" ref="Q1267:Q1270" si="420">SUM(O1267:P1267)</f>
        <v>634.5</v>
      </c>
      <c r="R1267" s="12"/>
      <c r="S1267" s="12"/>
      <c r="T1267" s="12"/>
      <c r="U1267" s="12">
        <f t="shared" ref="U1267:U1307" si="421">SUM(Q1267:T1267)</f>
        <v>634.5</v>
      </c>
      <c r="W1267" s="10">
        <v>2</v>
      </c>
      <c r="X1267" s="32">
        <v>45685</v>
      </c>
      <c r="Y1267" s="33">
        <f>Y1266+1</f>
        <v>7696</v>
      </c>
      <c r="Z1267" s="34">
        <f>626*112+596*88+832+1640+650</f>
        <v>125682</v>
      </c>
      <c r="AA1267" s="34">
        <v>-1890</v>
      </c>
      <c r="AB1267" s="34">
        <f t="shared" ref="AB1267:AB1269" si="422">SUM(Z1267:AA1267)</f>
        <v>123792</v>
      </c>
      <c r="AC1267" s="12"/>
      <c r="AD1267" s="12"/>
      <c r="AE1267" s="12">
        <v>-1110</v>
      </c>
      <c r="AF1267" s="12">
        <f t="shared" ref="AF1267:AF1307" si="423">SUM(AB1267:AE1267)</f>
        <v>122682</v>
      </c>
    </row>
    <row r="1268" spans="1:32" x14ac:dyDescent="0.25">
      <c r="A1268" s="10">
        <v>3</v>
      </c>
      <c r="B1268" s="32">
        <v>45685</v>
      </c>
      <c r="C1268" s="33">
        <f t="shared" ref="C1268:C1287" si="424">C1267+1</f>
        <v>7987</v>
      </c>
      <c r="D1268" s="34">
        <f>626*18+1228+153</f>
        <v>12649</v>
      </c>
      <c r="E1268" s="34"/>
      <c r="F1268" s="34">
        <f t="shared" si="418"/>
        <v>12649</v>
      </c>
      <c r="G1268" s="12"/>
      <c r="H1268" s="12"/>
      <c r="I1268" s="12"/>
      <c r="J1268" s="12">
        <f t="shared" si="419"/>
        <v>12649</v>
      </c>
      <c r="L1268" s="10">
        <v>3</v>
      </c>
      <c r="M1268" s="32">
        <v>45685</v>
      </c>
      <c r="N1268" s="33">
        <f t="shared" ref="N1268:N1289" si="425">N1267+1</f>
        <v>9553</v>
      </c>
      <c r="O1268" s="34">
        <f>3130+42.5</f>
        <v>3172.5</v>
      </c>
      <c r="P1268" s="34"/>
      <c r="Q1268" s="34">
        <f t="shared" si="420"/>
        <v>3172.5</v>
      </c>
      <c r="R1268" s="12"/>
      <c r="S1268" s="12"/>
      <c r="T1268" s="12"/>
      <c r="U1268" s="12">
        <f t="shared" si="421"/>
        <v>3172.5</v>
      </c>
      <c r="W1268" s="10">
        <v>3</v>
      </c>
      <c r="X1268" s="32">
        <v>45685</v>
      </c>
      <c r="Y1268" s="33">
        <f t="shared" ref="Y1268:Y1271" si="426">Y1267+1</f>
        <v>7697</v>
      </c>
      <c r="Z1268" s="34">
        <f>626*67+615</f>
        <v>42557</v>
      </c>
      <c r="AA1268" s="34">
        <v>-560</v>
      </c>
      <c r="AB1268" s="34">
        <f t="shared" si="422"/>
        <v>41997</v>
      </c>
      <c r="AC1268" s="12"/>
      <c r="AD1268" s="12"/>
      <c r="AE1268" s="12">
        <v>-4518</v>
      </c>
      <c r="AF1268" s="12">
        <f t="shared" si="423"/>
        <v>37479</v>
      </c>
    </row>
    <row r="1269" spans="1:32" x14ac:dyDescent="0.25">
      <c r="A1269" s="10">
        <v>4</v>
      </c>
      <c r="B1269" s="32">
        <v>45685</v>
      </c>
      <c r="C1269" s="33">
        <f t="shared" si="424"/>
        <v>7988</v>
      </c>
      <c r="D1269" s="34">
        <f>626*16+596*2+153</f>
        <v>11361</v>
      </c>
      <c r="E1269" s="34"/>
      <c r="F1269" s="34">
        <f t="shared" si="418"/>
        <v>11361</v>
      </c>
      <c r="G1269" s="12"/>
      <c r="H1269" s="12">
        <v>53</v>
      </c>
      <c r="I1269" s="12"/>
      <c r="J1269" s="12">
        <f t="shared" si="419"/>
        <v>11414</v>
      </c>
      <c r="L1269" s="10">
        <v>4</v>
      </c>
      <c r="M1269" s="32">
        <v>45685</v>
      </c>
      <c r="N1269" s="33">
        <f t="shared" si="425"/>
        <v>9554</v>
      </c>
      <c r="O1269" s="34">
        <f>7748+110.5</f>
        <v>7858.5</v>
      </c>
      <c r="P1269" s="34"/>
      <c r="Q1269" s="34">
        <f t="shared" si="420"/>
        <v>7858.5</v>
      </c>
      <c r="R1269" s="12"/>
      <c r="S1269" s="12"/>
      <c r="T1269" s="12"/>
      <c r="U1269" s="12">
        <f t="shared" si="421"/>
        <v>7858.5</v>
      </c>
      <c r="W1269" s="10">
        <v>4</v>
      </c>
      <c r="X1269" s="32">
        <v>45685</v>
      </c>
      <c r="Y1269" s="33">
        <v>7816</v>
      </c>
      <c r="Z1269" s="34">
        <f>187800+3070+20220+89400+1447+4160+41600+16640+5000+1447</f>
        <v>370784</v>
      </c>
      <c r="AA1269" s="34"/>
      <c r="AB1269" s="34">
        <f t="shared" si="422"/>
        <v>370784</v>
      </c>
      <c r="AC1269" s="12"/>
      <c r="AD1269">
        <f>10560+53835</f>
        <v>64395</v>
      </c>
      <c r="AE1269" s="12">
        <v>-39648</v>
      </c>
      <c r="AF1269" s="12">
        <f t="shared" si="423"/>
        <v>395531</v>
      </c>
    </row>
    <row r="1270" spans="1:32" x14ac:dyDescent="0.25">
      <c r="A1270" s="10">
        <v>5</v>
      </c>
      <c r="B1270" s="32">
        <v>45685</v>
      </c>
      <c r="C1270" s="33">
        <f t="shared" si="424"/>
        <v>7989</v>
      </c>
      <c r="D1270" s="34">
        <f>3756+51</f>
        <v>3807</v>
      </c>
      <c r="E1270" s="34"/>
      <c r="F1270" s="34">
        <f t="shared" si="418"/>
        <v>3807</v>
      </c>
      <c r="G1270" s="12"/>
      <c r="H1270" s="12"/>
      <c r="I1270" s="12"/>
      <c r="J1270" s="12">
        <f t="shared" si="419"/>
        <v>3807</v>
      </c>
      <c r="L1270" s="10">
        <v>5</v>
      </c>
      <c r="M1270" s="32">
        <v>45685</v>
      </c>
      <c r="N1270" s="33">
        <f t="shared" si="425"/>
        <v>9555</v>
      </c>
      <c r="O1270" s="34">
        <f>1252+17</f>
        <v>1269</v>
      </c>
      <c r="P1270" s="34"/>
      <c r="Q1270" s="34">
        <f t="shared" si="420"/>
        <v>1269</v>
      </c>
      <c r="R1270" s="12"/>
      <c r="S1270" s="12"/>
      <c r="T1270" s="12"/>
      <c r="U1270" s="12">
        <f t="shared" si="421"/>
        <v>1269</v>
      </c>
      <c r="W1270" s="10">
        <v>5</v>
      </c>
      <c r="X1270" s="32">
        <v>45685</v>
      </c>
      <c r="Y1270" s="33">
        <f t="shared" si="426"/>
        <v>7817</v>
      </c>
      <c r="Z1270" s="34">
        <f>6500+3250+3250+1582+5510+1582+5875</f>
        <v>27549</v>
      </c>
      <c r="AA1270" s="34"/>
      <c r="AB1270" s="34">
        <f t="shared" ref="AB1270:AB1275" si="427">SUM(Z1270:AA1270)</f>
        <v>27549</v>
      </c>
      <c r="AC1270" s="12"/>
      <c r="AD1270" s="12"/>
      <c r="AE1270" s="12"/>
      <c r="AF1270" s="12">
        <f t="shared" si="423"/>
        <v>27549</v>
      </c>
    </row>
    <row r="1271" spans="1:32" x14ac:dyDescent="0.25">
      <c r="A1271" s="10">
        <v>6</v>
      </c>
      <c r="B1271" s="32">
        <v>45685</v>
      </c>
      <c r="C1271" s="33">
        <f t="shared" si="424"/>
        <v>7990</v>
      </c>
      <c r="D1271" s="34">
        <f>2504+34</f>
        <v>2538</v>
      </c>
      <c r="E1271" s="34"/>
      <c r="F1271" s="34">
        <f>SUM(D1271:E1271)</f>
        <v>2538</v>
      </c>
      <c r="G1271" s="12"/>
      <c r="H1271" s="12"/>
      <c r="I1271" s="10"/>
      <c r="J1271" s="12">
        <f t="shared" si="419"/>
        <v>2538</v>
      </c>
      <c r="L1271" s="10">
        <v>6</v>
      </c>
      <c r="M1271" s="32">
        <v>45685</v>
      </c>
      <c r="N1271" s="33">
        <f t="shared" si="425"/>
        <v>9556</v>
      </c>
      <c r="O1271" s="34">
        <f>2504+614+596+42.5+674</f>
        <v>4430.5</v>
      </c>
      <c r="P1271" s="34"/>
      <c r="Q1271" s="34">
        <f>SUM(O1271:P1271)</f>
        <v>4430.5</v>
      </c>
      <c r="R1271" s="12"/>
      <c r="S1271" s="12"/>
      <c r="T1271" s="10"/>
      <c r="U1271" s="12">
        <f t="shared" si="421"/>
        <v>4430.5</v>
      </c>
      <c r="W1271" s="10">
        <v>6</v>
      </c>
      <c r="X1271" s="32">
        <v>45685</v>
      </c>
      <c r="Y1271" s="33">
        <f t="shared" si="426"/>
        <v>7818</v>
      </c>
      <c r="Z1271" s="34">
        <f>1172+3334+2350+3525+5510</f>
        <v>15891</v>
      </c>
      <c r="AA1271" s="34"/>
      <c r="AB1271" s="34">
        <f t="shared" si="427"/>
        <v>15891</v>
      </c>
      <c r="AC1271" s="12"/>
      <c r="AD1271" s="12"/>
      <c r="AE1271" s="10"/>
      <c r="AF1271" s="12">
        <f t="shared" si="423"/>
        <v>15891</v>
      </c>
    </row>
    <row r="1272" spans="1:32" x14ac:dyDescent="0.25">
      <c r="A1272" s="10">
        <v>7</v>
      </c>
      <c r="B1272" s="32">
        <v>45685</v>
      </c>
      <c r="C1272" s="33">
        <f t="shared" si="424"/>
        <v>7991</v>
      </c>
      <c r="D1272" s="34">
        <f>1878+596+34</f>
        <v>2508</v>
      </c>
      <c r="E1272" s="34"/>
      <c r="F1272" s="34">
        <f t="shared" ref="F1272:F1304" si="428">SUM(D1272:E1272)</f>
        <v>2508</v>
      </c>
      <c r="G1272" s="12"/>
      <c r="H1272" s="12"/>
      <c r="I1272" s="12"/>
      <c r="J1272" s="12">
        <f t="shared" si="419"/>
        <v>2508</v>
      </c>
      <c r="L1272" s="10">
        <v>7</v>
      </c>
      <c r="M1272" s="32">
        <v>45685</v>
      </c>
      <c r="N1272" s="33">
        <f t="shared" si="425"/>
        <v>9557</v>
      </c>
      <c r="O1272" s="34">
        <f>6260+85</f>
        <v>6345</v>
      </c>
      <c r="P1272" s="34"/>
      <c r="Q1272" s="34">
        <f t="shared" ref="Q1272:Q1304" si="429">SUM(O1272:P1272)</f>
        <v>6345</v>
      </c>
      <c r="R1272" s="12"/>
      <c r="S1272" s="12"/>
      <c r="T1272" s="12"/>
      <c r="U1272" s="12">
        <f t="shared" si="421"/>
        <v>6345</v>
      </c>
      <c r="W1272" s="10">
        <v>7</v>
      </c>
      <c r="X1272" s="32"/>
      <c r="Y1272" s="11" t="s">
        <v>28</v>
      </c>
      <c r="Z1272" s="34"/>
      <c r="AA1272" s="34"/>
      <c r="AB1272" s="34">
        <f t="shared" si="427"/>
        <v>0</v>
      </c>
      <c r="AC1272" s="12"/>
      <c r="AD1272" s="66"/>
      <c r="AE1272" s="12"/>
      <c r="AF1272" s="12">
        <f t="shared" si="423"/>
        <v>0</v>
      </c>
    </row>
    <row r="1273" spans="1:32" x14ac:dyDescent="0.25">
      <c r="A1273" s="10">
        <v>8</v>
      </c>
      <c r="B1273" s="32">
        <v>45685</v>
      </c>
      <c r="C1273" s="33">
        <f t="shared" si="424"/>
        <v>7992</v>
      </c>
      <c r="D1273" s="34">
        <f>1878+614+26</f>
        <v>2518</v>
      </c>
      <c r="E1273" s="34"/>
      <c r="F1273" s="34">
        <f t="shared" si="428"/>
        <v>2518</v>
      </c>
      <c r="G1273" s="12"/>
      <c r="H1273" s="12"/>
      <c r="I1273" s="12"/>
      <c r="J1273" s="12">
        <f t="shared" si="419"/>
        <v>2518</v>
      </c>
      <c r="L1273" s="10">
        <v>8</v>
      </c>
      <c r="M1273" s="32">
        <v>45685</v>
      </c>
      <c r="N1273" s="33">
        <f t="shared" si="425"/>
        <v>9558</v>
      </c>
      <c r="O1273" s="34">
        <f>1878+205</f>
        <v>2083</v>
      </c>
      <c r="P1273" s="34"/>
      <c r="Q1273" s="34">
        <f t="shared" si="429"/>
        <v>2083</v>
      </c>
      <c r="R1273" s="12"/>
      <c r="S1273" s="12"/>
      <c r="T1273" s="12"/>
      <c r="U1273" s="12">
        <f t="shared" si="421"/>
        <v>2083</v>
      </c>
      <c r="W1273" s="10">
        <v>8</v>
      </c>
      <c r="X1273" s="32"/>
      <c r="Y1273" s="33"/>
      <c r="Z1273" s="34"/>
      <c r="AA1273" s="37"/>
      <c r="AB1273" s="34">
        <f t="shared" si="427"/>
        <v>0</v>
      </c>
      <c r="AC1273" s="12"/>
      <c r="AD1273" s="12"/>
      <c r="AE1273" s="12"/>
      <c r="AF1273" s="12">
        <f t="shared" si="423"/>
        <v>0</v>
      </c>
    </row>
    <row r="1274" spans="1:32" x14ac:dyDescent="0.25">
      <c r="A1274" s="10">
        <v>9</v>
      </c>
      <c r="B1274" s="32">
        <v>45685</v>
      </c>
      <c r="C1274" s="33">
        <f t="shared" si="424"/>
        <v>7993</v>
      </c>
      <c r="D1274" s="34">
        <f>4382+1228+596+103</f>
        <v>6309</v>
      </c>
      <c r="E1274" s="34"/>
      <c r="F1274" s="34">
        <f t="shared" si="428"/>
        <v>6309</v>
      </c>
      <c r="G1274" s="12"/>
      <c r="H1274" s="12"/>
      <c r="I1274" s="12"/>
      <c r="J1274" s="12">
        <f t="shared" si="419"/>
        <v>6309</v>
      </c>
      <c r="L1274" s="10">
        <v>9</v>
      </c>
      <c r="M1274" s="32">
        <v>45685</v>
      </c>
      <c r="N1274" s="33">
        <f t="shared" si="425"/>
        <v>9559</v>
      </c>
      <c r="O1274" s="34">
        <f>4382+7*8.5</f>
        <v>4441.5</v>
      </c>
      <c r="P1274" s="34"/>
      <c r="Q1274" s="34">
        <f t="shared" si="429"/>
        <v>4441.5</v>
      </c>
      <c r="R1274" s="12"/>
      <c r="S1274" s="12"/>
      <c r="T1274" s="12">
        <v>-1110</v>
      </c>
      <c r="U1274" s="12">
        <f t="shared" si="421"/>
        <v>3331.5</v>
      </c>
      <c r="W1274" s="10">
        <v>9</v>
      </c>
      <c r="X1274" s="32"/>
      <c r="Y1274" s="33"/>
      <c r="AA1274" s="34"/>
      <c r="AB1274" s="34">
        <f t="shared" si="427"/>
        <v>0</v>
      </c>
      <c r="AC1274" s="12"/>
      <c r="AD1274" s="66"/>
      <c r="AE1274" s="12"/>
      <c r="AF1274" s="12">
        <f t="shared" si="423"/>
        <v>0</v>
      </c>
    </row>
    <row r="1275" spans="1:32" x14ac:dyDescent="0.25">
      <c r="A1275" s="10">
        <v>10</v>
      </c>
      <c r="B1275" s="32">
        <v>45685</v>
      </c>
      <c r="C1275" s="33">
        <f t="shared" si="424"/>
        <v>7994</v>
      </c>
      <c r="D1275" s="34">
        <f>8764+614+119</f>
        <v>9497</v>
      </c>
      <c r="E1275" s="34"/>
      <c r="F1275" s="34">
        <f t="shared" si="428"/>
        <v>9497</v>
      </c>
      <c r="G1275" s="12"/>
      <c r="H1275" s="12"/>
      <c r="I1275" s="12"/>
      <c r="J1275" s="12">
        <f t="shared" si="419"/>
        <v>9497</v>
      </c>
      <c r="L1275" s="10">
        <v>10</v>
      </c>
      <c r="M1275" s="32">
        <v>45685</v>
      </c>
      <c r="N1275" s="33">
        <f t="shared" si="425"/>
        <v>9560</v>
      </c>
      <c r="O1275" s="34">
        <f>626*2+17</f>
        <v>1269</v>
      </c>
      <c r="P1275" s="34"/>
      <c r="Q1275" s="34">
        <f t="shared" si="429"/>
        <v>1269</v>
      </c>
      <c r="R1275" s="12"/>
      <c r="S1275" s="12"/>
      <c r="T1275" s="12"/>
      <c r="U1275" s="12">
        <f t="shared" si="421"/>
        <v>1269</v>
      </c>
      <c r="W1275" s="10">
        <v>10</v>
      </c>
      <c r="X1275" s="32"/>
      <c r="Y1275" s="33"/>
      <c r="Z1275" s="34"/>
      <c r="AA1275" s="34"/>
      <c r="AB1275" s="34">
        <f t="shared" si="427"/>
        <v>0</v>
      </c>
      <c r="AC1275" s="12"/>
      <c r="AD1275" s="12"/>
      <c r="AE1275" s="12"/>
      <c r="AF1275" s="12">
        <f t="shared" si="423"/>
        <v>0</v>
      </c>
    </row>
    <row r="1276" spans="1:32" x14ac:dyDescent="0.25">
      <c r="A1276" s="10">
        <v>11</v>
      </c>
      <c r="B1276" s="32">
        <v>45685</v>
      </c>
      <c r="C1276" s="33">
        <f t="shared" si="424"/>
        <v>7995</v>
      </c>
      <c r="D1276" s="34">
        <f>1878+596+34</f>
        <v>2508</v>
      </c>
      <c r="E1276" s="34"/>
      <c r="F1276" s="34">
        <f t="shared" si="428"/>
        <v>2508</v>
      </c>
      <c r="G1276" s="12"/>
      <c r="H1276" s="12"/>
      <c r="I1276" s="12"/>
      <c r="J1276" s="12">
        <f t="shared" si="419"/>
        <v>2508</v>
      </c>
      <c r="L1276" s="10">
        <v>11</v>
      </c>
      <c r="M1276" s="32">
        <v>45685</v>
      </c>
      <c r="N1276" s="33">
        <f t="shared" si="425"/>
        <v>9561</v>
      </c>
      <c r="O1276" s="34">
        <f>3130+42.5</f>
        <v>3172.5</v>
      </c>
      <c r="P1276" s="34"/>
      <c r="Q1276" s="34">
        <f t="shared" si="429"/>
        <v>3172.5</v>
      </c>
      <c r="R1276" s="12"/>
      <c r="S1276" s="12"/>
      <c r="T1276" s="12"/>
      <c r="U1276" s="12">
        <f t="shared" si="421"/>
        <v>3172.5</v>
      </c>
      <c r="W1276" s="10">
        <v>11</v>
      </c>
      <c r="X1276" s="32"/>
      <c r="Y1276" s="33"/>
      <c r="Z1276" s="34"/>
      <c r="AA1276" s="34"/>
      <c r="AB1276" s="34">
        <f t="shared" ref="AB1276:AB1298" si="430">SUM(Z1276:AA1276)</f>
        <v>0</v>
      </c>
      <c r="AC1276" s="12"/>
      <c r="AD1276" s="12"/>
      <c r="AE1276" s="12"/>
      <c r="AF1276" s="12">
        <f t="shared" si="423"/>
        <v>0</v>
      </c>
    </row>
    <row r="1277" spans="1:32" x14ac:dyDescent="0.25">
      <c r="A1277" s="10">
        <v>12</v>
      </c>
      <c r="B1277" s="32">
        <v>45685</v>
      </c>
      <c r="C1277" s="33">
        <f t="shared" si="424"/>
        <v>7996</v>
      </c>
      <c r="D1277" s="34">
        <f>626+9</f>
        <v>635</v>
      </c>
      <c r="E1277" s="34"/>
      <c r="F1277" s="34">
        <f t="shared" si="428"/>
        <v>635</v>
      </c>
      <c r="G1277" s="12"/>
      <c r="H1277" s="12"/>
      <c r="I1277" s="12"/>
      <c r="J1277" s="12">
        <f t="shared" si="419"/>
        <v>635</v>
      </c>
      <c r="L1277" s="10">
        <v>12</v>
      </c>
      <c r="M1277" s="32">
        <v>45685</v>
      </c>
      <c r="N1277" s="33">
        <f t="shared" si="425"/>
        <v>9562</v>
      </c>
      <c r="O1277" s="34">
        <f>1252+17</f>
        <v>1269</v>
      </c>
      <c r="P1277" s="34"/>
      <c r="Q1277" s="34">
        <f t="shared" si="429"/>
        <v>1269</v>
      </c>
      <c r="R1277" s="12"/>
      <c r="S1277" s="12"/>
      <c r="T1277" s="12"/>
      <c r="U1277" s="12">
        <f t="shared" si="421"/>
        <v>1269</v>
      </c>
      <c r="W1277" s="10">
        <v>12</v>
      </c>
      <c r="X1277" s="32"/>
      <c r="Y1277" s="33"/>
      <c r="Z1277" s="34"/>
      <c r="AA1277" s="34"/>
      <c r="AB1277" s="34">
        <f t="shared" si="430"/>
        <v>0</v>
      </c>
      <c r="AC1277" s="12"/>
      <c r="AD1277" s="12"/>
      <c r="AE1277" s="12"/>
      <c r="AF1277" s="12">
        <f t="shared" si="423"/>
        <v>0</v>
      </c>
    </row>
    <row r="1278" spans="1:32" x14ac:dyDescent="0.25">
      <c r="A1278" s="10">
        <v>13</v>
      </c>
      <c r="B1278" s="32">
        <v>45685</v>
      </c>
      <c r="C1278" s="33">
        <f t="shared" si="424"/>
        <v>7997</v>
      </c>
      <c r="D1278" s="34">
        <f>3756+1192+68</f>
        <v>5016</v>
      </c>
      <c r="E1278" s="34"/>
      <c r="F1278" s="34">
        <f t="shared" si="428"/>
        <v>5016</v>
      </c>
      <c r="G1278" s="12"/>
      <c r="H1278" s="12"/>
      <c r="I1278" s="12"/>
      <c r="J1278" s="12">
        <f t="shared" si="419"/>
        <v>5016</v>
      </c>
      <c r="L1278" s="10">
        <v>13</v>
      </c>
      <c r="M1278" s="32">
        <v>45685</v>
      </c>
      <c r="N1278" s="33">
        <f t="shared" si="425"/>
        <v>9563</v>
      </c>
      <c r="O1278" s="34">
        <f>1252+17</f>
        <v>1269</v>
      </c>
      <c r="P1278" s="34"/>
      <c r="Q1278" s="34">
        <f t="shared" si="429"/>
        <v>1269</v>
      </c>
      <c r="R1278" s="12"/>
      <c r="S1278" s="12"/>
      <c r="T1278" s="12"/>
      <c r="U1278" s="12">
        <f t="shared" si="421"/>
        <v>1269</v>
      </c>
      <c r="W1278" s="10">
        <v>13</v>
      </c>
      <c r="X1278" s="32"/>
      <c r="Y1278" s="33"/>
      <c r="Z1278" s="34"/>
      <c r="AA1278" s="34"/>
      <c r="AB1278" s="34">
        <f t="shared" si="430"/>
        <v>0</v>
      </c>
      <c r="AC1278" s="12"/>
      <c r="AD1278" s="12"/>
      <c r="AE1278" s="12"/>
      <c r="AF1278" s="12">
        <f t="shared" si="423"/>
        <v>0</v>
      </c>
    </row>
    <row r="1279" spans="1:32" x14ac:dyDescent="0.25">
      <c r="A1279" s="10">
        <v>14</v>
      </c>
      <c r="B1279" s="32">
        <v>45685</v>
      </c>
      <c r="C1279" s="33">
        <f t="shared" si="424"/>
        <v>7998</v>
      </c>
      <c r="D1279" s="34">
        <f>626+9</f>
        <v>635</v>
      </c>
      <c r="E1279" s="34"/>
      <c r="F1279" s="34">
        <f t="shared" si="428"/>
        <v>635</v>
      </c>
      <c r="G1279" s="12"/>
      <c r="H1279" s="12"/>
      <c r="I1279" s="12"/>
      <c r="J1279" s="12">
        <f t="shared" si="419"/>
        <v>635</v>
      </c>
      <c r="L1279" s="10">
        <v>14</v>
      </c>
      <c r="M1279" s="32">
        <v>45685</v>
      </c>
      <c r="N1279" s="33">
        <f t="shared" si="425"/>
        <v>9564</v>
      </c>
      <c r="O1279" s="34">
        <f>1878+25.5</f>
        <v>1903.5</v>
      </c>
      <c r="P1279" s="34"/>
      <c r="Q1279" s="34">
        <f t="shared" si="429"/>
        <v>1903.5</v>
      </c>
      <c r="R1279" s="12"/>
      <c r="S1279" s="12"/>
      <c r="T1279" s="12"/>
      <c r="U1279" s="12">
        <f t="shared" si="421"/>
        <v>1903.5</v>
      </c>
      <c r="W1279" s="10">
        <v>14</v>
      </c>
      <c r="X1279" s="32"/>
      <c r="Y1279" s="33"/>
      <c r="AA1279" s="34"/>
      <c r="AB1279" s="34">
        <f t="shared" si="430"/>
        <v>0</v>
      </c>
      <c r="AC1279" s="12"/>
      <c r="AD1279" s="12"/>
      <c r="AE1279" s="12"/>
      <c r="AF1279" s="12">
        <f t="shared" si="423"/>
        <v>0</v>
      </c>
    </row>
    <row r="1280" spans="1:32" x14ac:dyDescent="0.25">
      <c r="A1280" s="10">
        <v>15</v>
      </c>
      <c r="B1280" s="32">
        <v>45685</v>
      </c>
      <c r="C1280" s="33">
        <f t="shared" si="424"/>
        <v>7999</v>
      </c>
      <c r="D1280" s="34">
        <f t="shared" ref="D1280:D1285" si="431">1252+17</f>
        <v>1269</v>
      </c>
      <c r="E1280" s="34"/>
      <c r="F1280" s="34">
        <f t="shared" si="428"/>
        <v>1269</v>
      </c>
      <c r="G1280" s="12"/>
      <c r="H1280" s="12"/>
      <c r="I1280" s="12"/>
      <c r="J1280" s="12">
        <f t="shared" si="419"/>
        <v>1269</v>
      </c>
      <c r="L1280" s="10">
        <v>15</v>
      </c>
      <c r="M1280" s="32">
        <v>45685</v>
      </c>
      <c r="N1280" s="33">
        <f t="shared" si="425"/>
        <v>9565</v>
      </c>
      <c r="O1280" s="34">
        <f>2504+614+34</f>
        <v>3152</v>
      </c>
      <c r="P1280" s="34"/>
      <c r="Q1280" s="34">
        <f t="shared" si="429"/>
        <v>3152</v>
      </c>
      <c r="R1280" s="12"/>
      <c r="S1280" s="12"/>
      <c r="T1280" s="12">
        <v>-444</v>
      </c>
      <c r="U1280" s="12">
        <f t="shared" si="421"/>
        <v>2708</v>
      </c>
      <c r="W1280" s="10">
        <v>15</v>
      </c>
      <c r="X1280" s="32"/>
      <c r="Y1280" s="33"/>
      <c r="Z1280" s="34"/>
      <c r="AA1280" s="34"/>
      <c r="AB1280" s="34">
        <f t="shared" si="430"/>
        <v>0</v>
      </c>
      <c r="AC1280" s="12"/>
      <c r="AD1280" s="12"/>
      <c r="AE1280" s="12"/>
      <c r="AF1280" s="12">
        <f t="shared" si="423"/>
        <v>0</v>
      </c>
    </row>
    <row r="1281" spans="1:32" x14ac:dyDescent="0.25">
      <c r="A1281" s="10">
        <v>16</v>
      </c>
      <c r="B1281" s="32">
        <v>45685</v>
      </c>
      <c r="C1281" s="33">
        <f t="shared" si="424"/>
        <v>8000</v>
      </c>
      <c r="D1281" s="34">
        <f t="shared" si="431"/>
        <v>1269</v>
      </c>
      <c r="E1281" s="34"/>
      <c r="F1281" s="34">
        <f t="shared" si="428"/>
        <v>1269</v>
      </c>
      <c r="G1281" s="12"/>
      <c r="H1281" s="12"/>
      <c r="I1281" s="12"/>
      <c r="J1281" s="12">
        <f t="shared" si="419"/>
        <v>1269</v>
      </c>
      <c r="L1281" s="10">
        <v>16</v>
      </c>
      <c r="M1281" s="32">
        <v>45685</v>
      </c>
      <c r="N1281" s="33">
        <f t="shared" si="425"/>
        <v>9566</v>
      </c>
      <c r="O1281" s="34">
        <f>3756+51</f>
        <v>3807</v>
      </c>
      <c r="P1281" s="34"/>
      <c r="Q1281" s="34">
        <f t="shared" si="429"/>
        <v>3807</v>
      </c>
      <c r="R1281" s="12"/>
      <c r="S1281" s="12"/>
      <c r="T1281" s="12"/>
      <c r="U1281" s="12">
        <f t="shared" si="421"/>
        <v>3807</v>
      </c>
      <c r="W1281" s="10">
        <v>16</v>
      </c>
      <c r="X1281" s="32"/>
      <c r="Y1281" s="33"/>
      <c r="Z1281" s="34"/>
      <c r="AA1281" s="34"/>
      <c r="AB1281" s="34">
        <f t="shared" si="430"/>
        <v>0</v>
      </c>
      <c r="AC1281" s="12"/>
      <c r="AD1281" s="12"/>
      <c r="AE1281" s="12"/>
      <c r="AF1281" s="12">
        <f t="shared" si="423"/>
        <v>0</v>
      </c>
    </row>
    <row r="1282" spans="1:32" x14ac:dyDescent="0.25">
      <c r="A1282" s="10">
        <v>17</v>
      </c>
      <c r="B1282" s="32">
        <v>45685</v>
      </c>
      <c r="C1282" s="33">
        <v>7851</v>
      </c>
      <c r="D1282" s="37">
        <f t="shared" si="431"/>
        <v>1269</v>
      </c>
      <c r="E1282" s="34"/>
      <c r="F1282" s="34">
        <f t="shared" si="428"/>
        <v>1269</v>
      </c>
      <c r="G1282" s="12"/>
      <c r="H1282" s="12"/>
      <c r="I1282" s="12">
        <v>-1110</v>
      </c>
      <c r="J1282" s="12">
        <f t="shared" si="419"/>
        <v>159</v>
      </c>
      <c r="L1282" s="10">
        <v>17</v>
      </c>
      <c r="M1282" s="32">
        <v>45685</v>
      </c>
      <c r="N1282" s="33">
        <f t="shared" si="425"/>
        <v>9567</v>
      </c>
      <c r="O1282" s="37">
        <f>3756+51</f>
        <v>3807</v>
      </c>
      <c r="P1282" s="34"/>
      <c r="Q1282" s="34">
        <f t="shared" si="429"/>
        <v>3807</v>
      </c>
      <c r="R1282" s="12"/>
      <c r="S1282" s="12"/>
      <c r="T1282" s="12"/>
      <c r="U1282" s="12">
        <f t="shared" si="421"/>
        <v>3807</v>
      </c>
      <c r="W1282" s="10">
        <v>17</v>
      </c>
      <c r="X1282" s="32"/>
      <c r="Y1282" s="33"/>
      <c r="Z1282" s="37"/>
      <c r="AA1282" s="34"/>
      <c r="AB1282" s="34">
        <f t="shared" si="430"/>
        <v>0</v>
      </c>
      <c r="AC1282" s="12"/>
      <c r="AD1282" s="12"/>
      <c r="AE1282" s="12"/>
      <c r="AF1282" s="12">
        <f t="shared" si="423"/>
        <v>0</v>
      </c>
    </row>
    <row r="1283" spans="1:32" x14ac:dyDescent="0.25">
      <c r="A1283" s="10">
        <v>18</v>
      </c>
      <c r="B1283" s="32">
        <v>45685</v>
      </c>
      <c r="C1283" s="33">
        <f t="shared" si="424"/>
        <v>7852</v>
      </c>
      <c r="D1283" s="34">
        <f t="shared" si="431"/>
        <v>1269</v>
      </c>
      <c r="E1283" s="34"/>
      <c r="F1283" s="34">
        <f t="shared" si="428"/>
        <v>1269</v>
      </c>
      <c r="G1283" s="12"/>
      <c r="H1283" s="12"/>
      <c r="I1283" s="12"/>
      <c r="J1283" s="12">
        <f t="shared" si="419"/>
        <v>1269</v>
      </c>
      <c r="L1283" s="10">
        <v>18</v>
      </c>
      <c r="M1283" s="32">
        <v>45685</v>
      </c>
      <c r="N1283" s="33">
        <f t="shared" si="425"/>
        <v>9568</v>
      </c>
      <c r="O1283" s="34">
        <f>626+596+17</f>
        <v>1239</v>
      </c>
      <c r="P1283" s="34"/>
      <c r="Q1283" s="34">
        <f t="shared" si="429"/>
        <v>1239</v>
      </c>
      <c r="R1283" s="12"/>
      <c r="S1283" s="12"/>
      <c r="T1283" s="12"/>
      <c r="U1283" s="12">
        <f t="shared" si="421"/>
        <v>1239</v>
      </c>
      <c r="W1283" s="10">
        <v>18</v>
      </c>
      <c r="X1283" s="32"/>
      <c r="Y1283" s="33"/>
      <c r="Z1283" s="34"/>
      <c r="AA1283" s="34"/>
      <c r="AB1283" s="34">
        <f t="shared" si="430"/>
        <v>0</v>
      </c>
      <c r="AC1283" s="12"/>
      <c r="AD1283" s="12"/>
      <c r="AE1283" s="12"/>
      <c r="AF1283" s="12">
        <f t="shared" si="423"/>
        <v>0</v>
      </c>
    </row>
    <row r="1284" spans="1:32" x14ac:dyDescent="0.25">
      <c r="A1284" s="10">
        <v>19</v>
      </c>
      <c r="B1284" s="32">
        <v>45685</v>
      </c>
      <c r="C1284" s="33">
        <f t="shared" si="424"/>
        <v>7853</v>
      </c>
      <c r="D1284" s="34">
        <f t="shared" si="431"/>
        <v>1269</v>
      </c>
      <c r="E1284" s="34"/>
      <c r="F1284" s="34">
        <f t="shared" si="428"/>
        <v>1269</v>
      </c>
      <c r="G1284" s="12"/>
      <c r="H1284" s="12">
        <v>222</v>
      </c>
      <c r="I1284" s="12"/>
      <c r="J1284" s="12">
        <f t="shared" si="419"/>
        <v>1491</v>
      </c>
      <c r="L1284" s="10">
        <v>19</v>
      </c>
      <c r="M1284" s="32">
        <v>45685</v>
      </c>
      <c r="N1284" s="33">
        <f t="shared" si="425"/>
        <v>9569</v>
      </c>
      <c r="O1284" s="34">
        <f>5634+76.5</f>
        <v>5710.5</v>
      </c>
      <c r="P1284" s="34"/>
      <c r="Q1284" s="34">
        <f t="shared" si="429"/>
        <v>5710.5</v>
      </c>
      <c r="R1284" s="12"/>
      <c r="S1284" s="12"/>
      <c r="T1284" s="12"/>
      <c r="U1284" s="12">
        <f t="shared" si="421"/>
        <v>5710.5</v>
      </c>
      <c r="W1284" s="10">
        <v>19</v>
      </c>
      <c r="X1284" s="32"/>
      <c r="Y1284" s="33"/>
      <c r="Z1284" s="34"/>
      <c r="AA1284" s="34"/>
      <c r="AB1284" s="34">
        <f t="shared" si="430"/>
        <v>0</v>
      </c>
      <c r="AC1284" s="12"/>
      <c r="AD1284" s="12"/>
      <c r="AE1284" s="12"/>
      <c r="AF1284" s="12">
        <f t="shared" si="423"/>
        <v>0</v>
      </c>
    </row>
    <row r="1285" spans="1:32" x14ac:dyDescent="0.25">
      <c r="A1285" s="10">
        <v>20</v>
      </c>
      <c r="B1285" s="32">
        <v>45685</v>
      </c>
      <c r="C1285" s="33">
        <f t="shared" si="424"/>
        <v>7854</v>
      </c>
      <c r="D1285" s="34">
        <f t="shared" si="431"/>
        <v>1269</v>
      </c>
      <c r="E1285" s="34"/>
      <c r="F1285" s="34">
        <f t="shared" si="428"/>
        <v>1269</v>
      </c>
      <c r="G1285" s="12"/>
      <c r="H1285" s="12"/>
      <c r="I1285" s="12"/>
      <c r="J1285" s="12">
        <f t="shared" si="419"/>
        <v>1269</v>
      </c>
      <c r="L1285" s="10">
        <v>20</v>
      </c>
      <c r="M1285" s="32">
        <v>45685</v>
      </c>
      <c r="N1285" s="33">
        <f t="shared" si="425"/>
        <v>9570</v>
      </c>
      <c r="O1285" s="34">
        <f>3130+42.5</f>
        <v>3172.5</v>
      </c>
      <c r="P1285" s="34"/>
      <c r="Q1285" s="34">
        <f t="shared" si="429"/>
        <v>3172.5</v>
      </c>
      <c r="R1285" s="12"/>
      <c r="S1285" s="12"/>
      <c r="T1285" s="12"/>
      <c r="U1285" s="12">
        <f t="shared" si="421"/>
        <v>3172.5</v>
      </c>
      <c r="W1285" s="10">
        <v>20</v>
      </c>
      <c r="X1285" s="32"/>
      <c r="Z1285" s="34"/>
      <c r="AA1285" s="34"/>
      <c r="AB1285" s="34">
        <f t="shared" si="430"/>
        <v>0</v>
      </c>
      <c r="AC1285" s="12"/>
      <c r="AD1285" s="12"/>
      <c r="AE1285" s="12"/>
      <c r="AF1285" s="12">
        <f t="shared" si="423"/>
        <v>0</v>
      </c>
    </row>
    <row r="1286" spans="1:32" x14ac:dyDescent="0.25">
      <c r="A1286" s="10">
        <v>21</v>
      </c>
      <c r="B1286" s="32">
        <v>45685</v>
      </c>
      <c r="C1286" s="33">
        <f t="shared" si="424"/>
        <v>7855</v>
      </c>
      <c r="D1286" s="50">
        <f>2504+34</f>
        <v>2538</v>
      </c>
      <c r="E1286" s="33"/>
      <c r="F1286" s="34">
        <f t="shared" si="428"/>
        <v>2538</v>
      </c>
      <c r="G1286" s="10"/>
      <c r="H1286" s="10"/>
      <c r="I1286" s="10"/>
      <c r="J1286" s="12">
        <f t="shared" si="419"/>
        <v>2538</v>
      </c>
      <c r="L1286" s="10">
        <v>21</v>
      </c>
      <c r="M1286" s="32">
        <v>45685</v>
      </c>
      <c r="N1286" s="33">
        <f t="shared" si="425"/>
        <v>9571</v>
      </c>
      <c r="O1286" s="50">
        <f>832</f>
        <v>832</v>
      </c>
      <c r="P1286" s="33"/>
      <c r="Q1286" s="34">
        <f t="shared" si="429"/>
        <v>832</v>
      </c>
      <c r="R1286" s="10"/>
      <c r="S1286" s="10"/>
      <c r="T1286" s="10"/>
      <c r="U1286" s="12">
        <f t="shared" si="421"/>
        <v>832</v>
      </c>
      <c r="W1286" s="10">
        <v>21</v>
      </c>
      <c r="X1286" s="32"/>
      <c r="Y1286" s="33"/>
      <c r="Z1286" s="50"/>
      <c r="AA1286" s="33"/>
      <c r="AB1286" s="34">
        <f t="shared" si="430"/>
        <v>0</v>
      </c>
      <c r="AC1286" s="10"/>
      <c r="AD1286" s="10"/>
      <c r="AE1286" s="10"/>
      <c r="AF1286" s="12">
        <f t="shared" si="423"/>
        <v>0</v>
      </c>
    </row>
    <row r="1287" spans="1:32" x14ac:dyDescent="0.25">
      <c r="A1287" s="10">
        <v>22</v>
      </c>
      <c r="B1287" s="32">
        <v>45685</v>
      </c>
      <c r="C1287" s="33">
        <f t="shared" si="424"/>
        <v>7856</v>
      </c>
      <c r="D1287" s="49">
        <f>1878+26</f>
        <v>1904</v>
      </c>
      <c r="E1287" s="33"/>
      <c r="F1287" s="34">
        <f t="shared" si="428"/>
        <v>1904</v>
      </c>
      <c r="G1287" s="10"/>
      <c r="H1287" s="10">
        <v>5</v>
      </c>
      <c r="I1287" s="10"/>
      <c r="J1287" s="12">
        <f t="shared" si="419"/>
        <v>1909</v>
      </c>
      <c r="L1287" s="10">
        <v>22</v>
      </c>
      <c r="M1287" s="32">
        <v>45685</v>
      </c>
      <c r="N1287" s="33">
        <f t="shared" si="425"/>
        <v>9572</v>
      </c>
      <c r="O1287" s="49">
        <f>1252+17</f>
        <v>1269</v>
      </c>
      <c r="P1287" s="33"/>
      <c r="Q1287" s="34">
        <f t="shared" si="429"/>
        <v>1269</v>
      </c>
      <c r="R1287" s="10"/>
      <c r="S1287" s="10"/>
      <c r="T1287" s="10"/>
      <c r="U1287" s="12">
        <f t="shared" si="421"/>
        <v>1269</v>
      </c>
      <c r="W1287" s="10">
        <v>22</v>
      </c>
      <c r="X1287" s="32"/>
      <c r="Z1287" s="49"/>
      <c r="AA1287" s="33"/>
      <c r="AB1287" s="34">
        <f t="shared" si="430"/>
        <v>0</v>
      </c>
      <c r="AC1287" s="10"/>
      <c r="AD1287" s="10"/>
      <c r="AE1287" s="10"/>
      <c r="AF1287" s="12">
        <f t="shared" si="423"/>
        <v>0</v>
      </c>
    </row>
    <row r="1288" spans="1:32" x14ac:dyDescent="0.25">
      <c r="A1288" s="10">
        <v>23</v>
      </c>
      <c r="B1288" s="32"/>
      <c r="C1288" s="11" t="s">
        <v>28</v>
      </c>
      <c r="D1288" s="51"/>
      <c r="E1288"/>
      <c r="F1288" s="34">
        <f t="shared" si="428"/>
        <v>0</v>
      </c>
      <c r="G1288" s="10"/>
      <c r="H1288" s="10"/>
      <c r="I1288" s="10"/>
      <c r="J1288" s="12">
        <f t="shared" si="419"/>
        <v>0</v>
      </c>
      <c r="L1288" s="10">
        <v>23</v>
      </c>
      <c r="M1288" s="32">
        <v>45685</v>
      </c>
      <c r="N1288" s="33">
        <f t="shared" si="425"/>
        <v>9573</v>
      </c>
      <c r="O1288" s="51">
        <f>1788+25.5</f>
        <v>1813.5</v>
      </c>
      <c r="Q1288" s="34">
        <f t="shared" si="429"/>
        <v>1813.5</v>
      </c>
      <c r="R1288" s="10"/>
      <c r="S1288" s="10"/>
      <c r="T1288" s="10"/>
      <c r="U1288" s="12">
        <f t="shared" si="421"/>
        <v>1813.5</v>
      </c>
      <c r="W1288" s="10">
        <v>23</v>
      </c>
      <c r="X1288" s="32"/>
      <c r="Y1288" s="33"/>
      <c r="Z1288" s="51"/>
      <c r="AB1288" s="34">
        <f t="shared" si="430"/>
        <v>0</v>
      </c>
      <c r="AC1288" s="10"/>
      <c r="AD1288" s="10"/>
      <c r="AE1288" s="10"/>
      <c r="AF1288" s="12">
        <f t="shared" si="423"/>
        <v>0</v>
      </c>
    </row>
    <row r="1289" spans="1:32" x14ac:dyDescent="0.25">
      <c r="A1289" s="10">
        <v>24</v>
      </c>
      <c r="B1289" s="32"/>
      <c r="C1289" s="33"/>
      <c r="D1289" s="51"/>
      <c r="E1289" s="33"/>
      <c r="F1289" s="34">
        <f t="shared" si="428"/>
        <v>0</v>
      </c>
      <c r="G1289" s="10"/>
      <c r="H1289" s="10"/>
      <c r="I1289" s="10"/>
      <c r="J1289" s="12">
        <f t="shared" si="419"/>
        <v>0</v>
      </c>
      <c r="L1289" s="10">
        <v>24</v>
      </c>
      <c r="M1289" s="32">
        <v>45685</v>
      </c>
      <c r="N1289" s="33">
        <f t="shared" si="425"/>
        <v>9574</v>
      </c>
      <c r="O1289" s="51">
        <f>1252+614+17</f>
        <v>1883</v>
      </c>
      <c r="P1289" s="33"/>
      <c r="Q1289" s="34">
        <f t="shared" si="429"/>
        <v>1883</v>
      </c>
      <c r="R1289" s="10"/>
      <c r="S1289" s="10"/>
      <c r="T1289" s="10"/>
      <c r="U1289" s="12">
        <f t="shared" si="421"/>
        <v>1883</v>
      </c>
      <c r="W1289" s="10">
        <v>24</v>
      </c>
      <c r="X1289" s="32"/>
      <c r="Y1289" s="33"/>
      <c r="Z1289" s="51"/>
      <c r="AA1289" s="33"/>
      <c r="AB1289" s="34">
        <f t="shared" si="430"/>
        <v>0</v>
      </c>
      <c r="AC1289" s="10"/>
      <c r="AD1289" s="10"/>
      <c r="AE1289" s="10"/>
      <c r="AF1289" s="12">
        <f t="shared" si="423"/>
        <v>0</v>
      </c>
    </row>
    <row r="1290" spans="1:32" x14ac:dyDescent="0.25">
      <c r="A1290" s="10">
        <v>25</v>
      </c>
      <c r="B1290" s="32"/>
      <c r="C1290" s="33"/>
      <c r="D1290" s="51"/>
      <c r="E1290" s="33"/>
      <c r="F1290" s="34">
        <f t="shared" si="428"/>
        <v>0</v>
      </c>
      <c r="G1290" s="10"/>
      <c r="H1290" s="10"/>
      <c r="I1290" s="10"/>
      <c r="J1290" s="12">
        <f t="shared" si="419"/>
        <v>0</v>
      </c>
      <c r="L1290" s="10">
        <v>25</v>
      </c>
      <c r="M1290" s="32"/>
      <c r="N1290" s="11" t="s">
        <v>28</v>
      </c>
      <c r="O1290" s="51"/>
      <c r="P1290" s="33"/>
      <c r="Q1290" s="34">
        <f t="shared" si="429"/>
        <v>0</v>
      </c>
      <c r="R1290" s="10"/>
      <c r="S1290" s="10"/>
      <c r="T1290" s="10"/>
      <c r="U1290" s="12">
        <f t="shared" si="421"/>
        <v>0</v>
      </c>
      <c r="W1290" s="10">
        <v>25</v>
      </c>
      <c r="X1290" s="32"/>
      <c r="Z1290" s="51"/>
      <c r="AA1290" s="33"/>
      <c r="AB1290" s="34">
        <f t="shared" si="430"/>
        <v>0</v>
      </c>
      <c r="AC1290" s="10"/>
      <c r="AD1290" s="10"/>
      <c r="AE1290" s="10"/>
      <c r="AF1290" s="12">
        <f t="shared" si="423"/>
        <v>0</v>
      </c>
    </row>
    <row r="1291" spans="1:32" x14ac:dyDescent="0.25">
      <c r="A1291" s="10">
        <v>26</v>
      </c>
      <c r="B1291" s="32"/>
      <c r="C1291" s="33"/>
      <c r="D1291" s="51"/>
      <c r="E1291" s="33"/>
      <c r="F1291" s="34">
        <f t="shared" si="428"/>
        <v>0</v>
      </c>
      <c r="G1291" s="10"/>
      <c r="H1291" s="10"/>
      <c r="I1291" s="10"/>
      <c r="J1291" s="12">
        <f t="shared" si="419"/>
        <v>0</v>
      </c>
      <c r="L1291" s="10">
        <v>26</v>
      </c>
      <c r="M1291" s="32"/>
      <c r="N1291" s="33"/>
      <c r="O1291" s="51"/>
      <c r="P1291" s="33"/>
      <c r="Q1291" s="34">
        <f t="shared" si="429"/>
        <v>0</v>
      </c>
      <c r="R1291" s="10"/>
      <c r="S1291" s="10"/>
      <c r="T1291" s="10"/>
      <c r="U1291" s="12">
        <f t="shared" si="421"/>
        <v>0</v>
      </c>
      <c r="W1291" s="10">
        <v>26</v>
      </c>
      <c r="X1291" s="32"/>
      <c r="Z1291" s="51"/>
      <c r="AA1291" s="33"/>
      <c r="AB1291" s="34">
        <f t="shared" si="430"/>
        <v>0</v>
      </c>
      <c r="AC1291" s="10"/>
      <c r="AD1291" s="10"/>
      <c r="AE1291" s="10"/>
      <c r="AF1291" s="12">
        <f t="shared" si="423"/>
        <v>0</v>
      </c>
    </row>
    <row r="1292" spans="1:32" x14ac:dyDescent="0.25">
      <c r="A1292" s="10">
        <v>27</v>
      </c>
      <c r="B1292" s="32"/>
      <c r="C1292" s="33"/>
      <c r="D1292" s="51"/>
      <c r="E1292" s="33"/>
      <c r="F1292" s="34">
        <f t="shared" si="428"/>
        <v>0</v>
      </c>
      <c r="G1292" s="10"/>
      <c r="H1292" s="10"/>
      <c r="I1292" s="10"/>
      <c r="J1292" s="12">
        <f t="shared" si="419"/>
        <v>0</v>
      </c>
      <c r="L1292" s="10">
        <v>27</v>
      </c>
      <c r="M1292" s="32"/>
      <c r="N1292" s="33"/>
      <c r="O1292" s="51"/>
      <c r="P1292" s="33"/>
      <c r="Q1292" s="34">
        <f t="shared" si="429"/>
        <v>0</v>
      </c>
      <c r="R1292" s="10"/>
      <c r="S1292" s="10"/>
      <c r="T1292" s="10"/>
      <c r="U1292" s="12">
        <f t="shared" si="421"/>
        <v>0</v>
      </c>
      <c r="W1292" s="10">
        <v>27</v>
      </c>
      <c r="X1292" s="32"/>
      <c r="Y1292" s="33"/>
      <c r="Z1292" s="51"/>
      <c r="AA1292" s="33"/>
      <c r="AB1292" s="34">
        <f t="shared" si="430"/>
        <v>0</v>
      </c>
      <c r="AC1292" s="10"/>
      <c r="AD1292" s="10"/>
      <c r="AE1292" s="10"/>
      <c r="AF1292" s="12">
        <f t="shared" si="423"/>
        <v>0</v>
      </c>
    </row>
    <row r="1293" spans="1:32" x14ac:dyDescent="0.25">
      <c r="A1293" s="10">
        <v>28</v>
      </c>
      <c r="B1293" s="32"/>
      <c r="C1293" s="33"/>
      <c r="D1293" s="51"/>
      <c r="E1293" s="33"/>
      <c r="F1293" s="34">
        <f t="shared" si="428"/>
        <v>0</v>
      </c>
      <c r="G1293" s="10"/>
      <c r="H1293" s="10"/>
      <c r="I1293" s="10"/>
      <c r="J1293" s="12">
        <f t="shared" si="419"/>
        <v>0</v>
      </c>
      <c r="L1293" s="10">
        <v>28</v>
      </c>
      <c r="M1293" s="32"/>
      <c r="N1293" s="33"/>
      <c r="O1293" s="51"/>
      <c r="P1293" s="33"/>
      <c r="Q1293" s="34">
        <f t="shared" si="429"/>
        <v>0</v>
      </c>
      <c r="R1293" s="10"/>
      <c r="S1293" s="10"/>
      <c r="T1293" s="10"/>
      <c r="U1293" s="12">
        <f t="shared" si="421"/>
        <v>0</v>
      </c>
      <c r="W1293" s="10">
        <v>28</v>
      </c>
      <c r="X1293" s="32"/>
      <c r="Z1293" s="51"/>
      <c r="AA1293" s="33"/>
      <c r="AB1293" s="34">
        <f t="shared" si="430"/>
        <v>0</v>
      </c>
      <c r="AC1293" s="10"/>
      <c r="AD1293" s="10"/>
      <c r="AE1293" s="10"/>
      <c r="AF1293" s="12">
        <f t="shared" si="423"/>
        <v>0</v>
      </c>
    </row>
    <row r="1294" spans="1:32" x14ac:dyDescent="0.25">
      <c r="A1294" s="10">
        <v>29</v>
      </c>
      <c r="B1294" s="32"/>
      <c r="C1294" s="33"/>
      <c r="D1294" s="51"/>
      <c r="E1294" s="33"/>
      <c r="F1294" s="34">
        <f t="shared" si="428"/>
        <v>0</v>
      </c>
      <c r="G1294" s="10"/>
      <c r="H1294" s="10"/>
      <c r="I1294" s="10"/>
      <c r="J1294" s="12">
        <f t="shared" si="419"/>
        <v>0</v>
      </c>
      <c r="L1294" s="10">
        <v>29</v>
      </c>
      <c r="M1294" s="32"/>
      <c r="N1294" s="33"/>
      <c r="O1294" s="51"/>
      <c r="P1294" s="33"/>
      <c r="Q1294" s="34">
        <f t="shared" si="429"/>
        <v>0</v>
      </c>
      <c r="R1294" s="10"/>
      <c r="S1294" s="10"/>
      <c r="T1294" s="10"/>
      <c r="U1294" s="12">
        <f t="shared" si="421"/>
        <v>0</v>
      </c>
      <c r="W1294" s="10">
        <v>29</v>
      </c>
      <c r="X1294" s="32"/>
      <c r="Z1294" s="51"/>
      <c r="AA1294" s="33"/>
      <c r="AB1294" s="34">
        <f t="shared" si="430"/>
        <v>0</v>
      </c>
      <c r="AC1294" s="10"/>
      <c r="AD1294" s="10"/>
      <c r="AE1294" s="10"/>
      <c r="AF1294" s="12">
        <f t="shared" si="423"/>
        <v>0</v>
      </c>
    </row>
    <row r="1295" spans="1:32" x14ac:dyDescent="0.25">
      <c r="A1295" s="10">
        <v>30</v>
      </c>
      <c r="B1295" s="32"/>
      <c r="D1295" s="51"/>
      <c r="E1295" s="33"/>
      <c r="F1295" s="34">
        <f t="shared" si="428"/>
        <v>0</v>
      </c>
      <c r="G1295" s="10"/>
      <c r="H1295" s="10"/>
      <c r="I1295" s="10"/>
      <c r="J1295" s="12">
        <f t="shared" si="419"/>
        <v>0</v>
      </c>
      <c r="L1295" s="10">
        <v>30</v>
      </c>
      <c r="M1295" s="32"/>
      <c r="N1295" s="33"/>
      <c r="O1295" s="51"/>
      <c r="P1295" s="33"/>
      <c r="Q1295" s="34">
        <f t="shared" si="429"/>
        <v>0</v>
      </c>
      <c r="R1295" s="10"/>
      <c r="S1295" s="10"/>
      <c r="T1295" s="10"/>
      <c r="U1295" s="12">
        <f t="shared" si="421"/>
        <v>0</v>
      </c>
      <c r="W1295" s="10">
        <v>30</v>
      </c>
      <c r="X1295" s="32"/>
      <c r="Y1295" s="33"/>
      <c r="Z1295" s="51"/>
      <c r="AA1295" s="33"/>
      <c r="AB1295" s="34">
        <f t="shared" si="430"/>
        <v>0</v>
      </c>
      <c r="AC1295" s="10"/>
      <c r="AD1295" s="10"/>
      <c r="AE1295" s="10"/>
      <c r="AF1295" s="12">
        <f t="shared" si="423"/>
        <v>0</v>
      </c>
    </row>
    <row r="1296" spans="1:32" x14ac:dyDescent="0.25">
      <c r="A1296" s="10">
        <v>31</v>
      </c>
      <c r="B1296" s="32"/>
      <c r="C1296" s="33"/>
      <c r="D1296" s="51"/>
      <c r="E1296" s="33"/>
      <c r="F1296" s="34">
        <f t="shared" si="428"/>
        <v>0</v>
      </c>
      <c r="G1296" s="10"/>
      <c r="H1296" s="10"/>
      <c r="I1296" s="10"/>
      <c r="J1296" s="12">
        <f t="shared" si="419"/>
        <v>0</v>
      </c>
      <c r="L1296" s="10">
        <v>31</v>
      </c>
      <c r="M1296" s="32"/>
      <c r="O1296" s="51"/>
      <c r="P1296" s="33"/>
      <c r="Q1296" s="34">
        <f t="shared" si="429"/>
        <v>0</v>
      </c>
      <c r="R1296" s="10"/>
      <c r="S1296" s="10"/>
      <c r="T1296" s="10"/>
      <c r="U1296" s="12">
        <f t="shared" si="421"/>
        <v>0</v>
      </c>
      <c r="W1296" s="10">
        <v>31</v>
      </c>
      <c r="X1296" s="32"/>
      <c r="Z1296" s="51"/>
      <c r="AA1296" s="33"/>
      <c r="AB1296" s="34">
        <f t="shared" si="430"/>
        <v>0</v>
      </c>
      <c r="AC1296" s="10"/>
      <c r="AD1296" s="10"/>
      <c r="AE1296" s="10"/>
      <c r="AF1296" s="12">
        <f t="shared" si="423"/>
        <v>0</v>
      </c>
    </row>
    <row r="1297" spans="1:32" x14ac:dyDescent="0.25">
      <c r="A1297" s="10">
        <v>32</v>
      </c>
      <c r="B1297" s="32"/>
      <c r="C1297" s="70"/>
      <c r="D1297" s="51"/>
      <c r="E1297" s="33"/>
      <c r="F1297" s="34">
        <f t="shared" si="428"/>
        <v>0</v>
      </c>
      <c r="G1297" s="10"/>
      <c r="H1297" s="10"/>
      <c r="I1297" s="10"/>
      <c r="J1297" s="12">
        <f t="shared" si="419"/>
        <v>0</v>
      </c>
      <c r="L1297" s="10">
        <v>32</v>
      </c>
      <c r="M1297" s="32"/>
      <c r="N1297" s="33"/>
      <c r="O1297" s="51"/>
      <c r="P1297" s="33"/>
      <c r="Q1297" s="34">
        <f t="shared" si="429"/>
        <v>0</v>
      </c>
      <c r="R1297" s="10"/>
      <c r="S1297" s="10"/>
      <c r="T1297" s="10"/>
      <c r="U1297" s="12">
        <f t="shared" si="421"/>
        <v>0</v>
      </c>
      <c r="W1297" s="10">
        <v>32</v>
      </c>
      <c r="X1297" s="32"/>
      <c r="Y1297" s="33"/>
      <c r="Z1297" s="51"/>
      <c r="AA1297" s="33"/>
      <c r="AB1297" s="34">
        <f t="shared" si="430"/>
        <v>0</v>
      </c>
      <c r="AC1297" s="10"/>
      <c r="AD1297" s="10"/>
      <c r="AE1297" s="10"/>
      <c r="AF1297" s="12">
        <f t="shared" si="423"/>
        <v>0</v>
      </c>
    </row>
    <row r="1298" spans="1:32" x14ac:dyDescent="0.25">
      <c r="A1298" s="10">
        <v>33</v>
      </c>
      <c r="B1298" s="32"/>
      <c r="C1298" s="33"/>
      <c r="D1298" s="51"/>
      <c r="E1298" s="33"/>
      <c r="F1298" s="34">
        <f t="shared" si="428"/>
        <v>0</v>
      </c>
      <c r="G1298" s="10"/>
      <c r="H1298" s="10"/>
      <c r="I1298" s="10"/>
      <c r="J1298" s="12">
        <f t="shared" si="419"/>
        <v>0</v>
      </c>
      <c r="L1298" s="10">
        <v>33</v>
      </c>
      <c r="M1298" s="32"/>
      <c r="N1298" s="33"/>
      <c r="O1298" s="51"/>
      <c r="P1298" s="33"/>
      <c r="Q1298" s="34">
        <f t="shared" si="429"/>
        <v>0</v>
      </c>
      <c r="R1298" s="10"/>
      <c r="S1298" s="10"/>
      <c r="T1298" s="10"/>
      <c r="U1298" s="12">
        <f t="shared" si="421"/>
        <v>0</v>
      </c>
      <c r="W1298" s="10">
        <v>33</v>
      </c>
      <c r="X1298" s="32"/>
      <c r="Y1298" s="33"/>
      <c r="Z1298" s="51"/>
      <c r="AA1298" s="33"/>
      <c r="AB1298" s="34">
        <f t="shared" si="430"/>
        <v>0</v>
      </c>
      <c r="AC1298" s="10"/>
      <c r="AD1298" s="10"/>
      <c r="AE1298" s="10"/>
      <c r="AF1298" s="12">
        <f t="shared" si="423"/>
        <v>0</v>
      </c>
    </row>
    <row r="1299" spans="1:32" x14ac:dyDescent="0.25">
      <c r="A1299" s="10">
        <v>34</v>
      </c>
      <c r="B1299" s="32"/>
      <c r="C1299" s="33"/>
      <c r="D1299" s="51"/>
      <c r="E1299" s="33"/>
      <c r="F1299" s="34">
        <f t="shared" si="428"/>
        <v>0</v>
      </c>
      <c r="G1299" s="10"/>
      <c r="H1299" s="10"/>
      <c r="I1299" s="10"/>
      <c r="J1299" s="12">
        <f t="shared" si="419"/>
        <v>0</v>
      </c>
      <c r="L1299" s="10">
        <v>34</v>
      </c>
      <c r="M1299" s="32"/>
      <c r="N1299" s="33"/>
      <c r="O1299" s="51"/>
      <c r="P1299" s="33"/>
      <c r="Q1299" s="34">
        <f t="shared" si="429"/>
        <v>0</v>
      </c>
      <c r="R1299" s="10"/>
      <c r="S1299" s="10"/>
      <c r="T1299" s="10"/>
      <c r="U1299" s="12">
        <f t="shared" si="421"/>
        <v>0</v>
      </c>
      <c r="W1299" s="10">
        <v>34</v>
      </c>
      <c r="X1299" s="32"/>
      <c r="Y1299" s="33"/>
      <c r="Z1299" s="51"/>
      <c r="AA1299" s="33"/>
      <c r="AB1299" s="34">
        <f t="shared" ref="AB1299:AB1304" si="432">SUM(Z1299:AA1299)</f>
        <v>0</v>
      </c>
      <c r="AC1299" s="10"/>
      <c r="AD1299" s="10"/>
      <c r="AE1299" s="10"/>
      <c r="AF1299" s="12">
        <f t="shared" si="423"/>
        <v>0</v>
      </c>
    </row>
    <row r="1300" spans="1:32" x14ac:dyDescent="0.25">
      <c r="A1300" s="10">
        <v>35</v>
      </c>
      <c r="B1300" s="32"/>
      <c r="C1300" s="33"/>
      <c r="D1300" s="51"/>
      <c r="E1300" s="33"/>
      <c r="F1300" s="34">
        <f t="shared" si="428"/>
        <v>0</v>
      </c>
      <c r="G1300" s="10"/>
      <c r="H1300" s="10"/>
      <c r="I1300" s="10"/>
      <c r="J1300" s="12">
        <f t="shared" si="419"/>
        <v>0</v>
      </c>
      <c r="L1300" s="10">
        <v>35</v>
      </c>
      <c r="M1300" s="32"/>
      <c r="N1300" s="33"/>
      <c r="O1300" s="51"/>
      <c r="P1300" s="33"/>
      <c r="Q1300" s="34">
        <f t="shared" si="429"/>
        <v>0</v>
      </c>
      <c r="R1300" s="10"/>
      <c r="S1300" s="10"/>
      <c r="T1300" s="10"/>
      <c r="U1300" s="12">
        <f t="shared" si="421"/>
        <v>0</v>
      </c>
      <c r="W1300" s="10">
        <v>35</v>
      </c>
      <c r="X1300" s="32"/>
      <c r="Y1300" s="33"/>
      <c r="Z1300" s="51"/>
      <c r="AA1300" s="33"/>
      <c r="AB1300" s="34">
        <f t="shared" si="432"/>
        <v>0</v>
      </c>
      <c r="AC1300" s="10"/>
      <c r="AD1300" s="10"/>
      <c r="AE1300" s="10"/>
      <c r="AF1300" s="12">
        <f t="shared" si="423"/>
        <v>0</v>
      </c>
    </row>
    <row r="1301" spans="1:32" x14ac:dyDescent="0.25">
      <c r="A1301" s="10">
        <v>36</v>
      </c>
      <c r="B1301" s="32"/>
      <c r="C1301" s="33"/>
      <c r="D1301" s="51"/>
      <c r="E1301" s="33"/>
      <c r="F1301" s="34">
        <f t="shared" si="428"/>
        <v>0</v>
      </c>
      <c r="G1301" s="10"/>
      <c r="H1301" s="10"/>
      <c r="I1301" s="10"/>
      <c r="J1301" s="12">
        <f t="shared" si="419"/>
        <v>0</v>
      </c>
      <c r="L1301" s="10">
        <v>36</v>
      </c>
      <c r="M1301" s="32"/>
      <c r="N1301" s="33"/>
      <c r="O1301" s="51"/>
      <c r="P1301" s="33"/>
      <c r="Q1301" s="34">
        <f t="shared" si="429"/>
        <v>0</v>
      </c>
      <c r="R1301" s="10"/>
      <c r="S1301" s="10"/>
      <c r="T1301" s="10"/>
      <c r="U1301" s="12">
        <f t="shared" si="421"/>
        <v>0</v>
      </c>
      <c r="W1301" s="10">
        <v>36</v>
      </c>
      <c r="X1301" s="32"/>
      <c r="Y1301" s="33"/>
      <c r="Z1301" s="51"/>
      <c r="AA1301" s="33"/>
      <c r="AB1301" s="34">
        <f t="shared" si="432"/>
        <v>0</v>
      </c>
      <c r="AC1301" s="10"/>
      <c r="AD1301" s="10"/>
      <c r="AE1301" s="10"/>
      <c r="AF1301" s="12">
        <f t="shared" si="423"/>
        <v>0</v>
      </c>
    </row>
    <row r="1302" spans="1:32" x14ac:dyDescent="0.25">
      <c r="A1302" s="10">
        <v>37</v>
      </c>
      <c r="B1302" s="32"/>
      <c r="C1302" s="33"/>
      <c r="D1302" s="51"/>
      <c r="E1302" s="33"/>
      <c r="F1302" s="34">
        <f t="shared" si="428"/>
        <v>0</v>
      </c>
      <c r="G1302" s="10"/>
      <c r="H1302" s="10"/>
      <c r="I1302" s="10"/>
      <c r="J1302" s="12">
        <f t="shared" si="419"/>
        <v>0</v>
      </c>
      <c r="L1302" s="10">
        <v>37</v>
      </c>
      <c r="M1302" s="32"/>
      <c r="O1302" s="51"/>
      <c r="P1302" s="33"/>
      <c r="Q1302" s="34">
        <f t="shared" si="429"/>
        <v>0</v>
      </c>
      <c r="R1302" s="10"/>
      <c r="S1302" s="10"/>
      <c r="T1302" s="10"/>
      <c r="U1302" s="12">
        <f t="shared" si="421"/>
        <v>0</v>
      </c>
      <c r="W1302" s="10">
        <v>37</v>
      </c>
      <c r="X1302" s="32"/>
      <c r="Y1302" s="33"/>
      <c r="Z1302" s="51"/>
      <c r="AA1302" s="33"/>
      <c r="AB1302" s="34">
        <f t="shared" si="432"/>
        <v>0</v>
      </c>
      <c r="AC1302" s="10"/>
      <c r="AD1302" s="10"/>
      <c r="AE1302" s="10"/>
      <c r="AF1302" s="12">
        <f t="shared" si="423"/>
        <v>0</v>
      </c>
    </row>
    <row r="1303" spans="1:32" x14ac:dyDescent="0.25">
      <c r="A1303" s="10">
        <v>38</v>
      </c>
      <c r="B1303" s="32"/>
      <c r="C1303" s="33"/>
      <c r="D1303" s="51"/>
      <c r="E1303" s="33"/>
      <c r="F1303" s="34">
        <f t="shared" si="428"/>
        <v>0</v>
      </c>
      <c r="G1303" s="10"/>
      <c r="H1303" s="10"/>
      <c r="I1303" s="10"/>
      <c r="J1303" s="12">
        <f t="shared" si="419"/>
        <v>0</v>
      </c>
      <c r="L1303" s="10">
        <v>38</v>
      </c>
      <c r="M1303" s="32"/>
      <c r="N1303" s="33"/>
      <c r="O1303" s="51"/>
      <c r="P1303" s="33"/>
      <c r="Q1303" s="34">
        <f t="shared" si="429"/>
        <v>0</v>
      </c>
      <c r="R1303" s="10"/>
      <c r="S1303" s="10"/>
      <c r="T1303" s="10"/>
      <c r="U1303" s="12">
        <f t="shared" si="421"/>
        <v>0</v>
      </c>
      <c r="W1303" s="10">
        <v>38</v>
      </c>
      <c r="X1303" s="32"/>
      <c r="Y1303" s="33"/>
      <c r="Z1303" s="51"/>
      <c r="AA1303" s="33"/>
      <c r="AB1303" s="34">
        <f t="shared" si="432"/>
        <v>0</v>
      </c>
      <c r="AC1303" s="10"/>
      <c r="AD1303" s="10"/>
      <c r="AE1303" s="10"/>
      <c r="AF1303" s="12">
        <f t="shared" si="423"/>
        <v>0</v>
      </c>
    </row>
    <row r="1304" spans="1:32" x14ac:dyDescent="0.25">
      <c r="A1304" s="10">
        <v>39</v>
      </c>
      <c r="B1304" s="32"/>
      <c r="C1304" s="33"/>
      <c r="D1304" s="51"/>
      <c r="E1304" s="33"/>
      <c r="F1304" s="34">
        <f t="shared" si="428"/>
        <v>0</v>
      </c>
      <c r="G1304" s="10"/>
      <c r="H1304" s="10"/>
      <c r="I1304" s="10"/>
      <c r="J1304" s="12">
        <f t="shared" si="419"/>
        <v>0</v>
      </c>
      <c r="L1304" s="10">
        <v>39</v>
      </c>
      <c r="M1304" s="32"/>
      <c r="N1304" s="33"/>
      <c r="O1304" s="51"/>
      <c r="P1304" s="33"/>
      <c r="Q1304" s="34">
        <f t="shared" si="429"/>
        <v>0</v>
      </c>
      <c r="R1304" s="10"/>
      <c r="S1304" s="10"/>
      <c r="T1304" s="10"/>
      <c r="U1304" s="12">
        <f t="shared" si="421"/>
        <v>0</v>
      </c>
      <c r="W1304" s="10">
        <v>39</v>
      </c>
      <c r="X1304" s="32"/>
      <c r="Y1304" s="33"/>
      <c r="Z1304" s="51"/>
      <c r="AA1304" s="33"/>
      <c r="AB1304" s="34">
        <f t="shared" si="432"/>
        <v>0</v>
      </c>
      <c r="AC1304" s="10"/>
      <c r="AD1304" s="10"/>
      <c r="AE1304" s="10"/>
      <c r="AF1304" s="12">
        <f t="shared" si="423"/>
        <v>0</v>
      </c>
    </row>
    <row r="1305" spans="1:32" x14ac:dyDescent="0.25">
      <c r="A1305" s="10"/>
      <c r="B1305" s="32"/>
      <c r="C1305"/>
      <c r="D1305" s="51"/>
      <c r="E1305" s="33"/>
      <c r="F1305" s="34"/>
      <c r="G1305" s="10"/>
      <c r="H1305" s="10"/>
      <c r="I1305" s="10"/>
      <c r="J1305" s="12">
        <f t="shared" si="419"/>
        <v>0</v>
      </c>
      <c r="L1305" s="10"/>
      <c r="M1305" s="32"/>
      <c r="O1305" s="51"/>
      <c r="P1305" s="33"/>
      <c r="Q1305" s="34"/>
      <c r="R1305" s="10"/>
      <c r="S1305" s="10"/>
      <c r="T1305" s="10"/>
      <c r="U1305" s="12">
        <f t="shared" si="421"/>
        <v>0</v>
      </c>
      <c r="W1305" s="10"/>
      <c r="X1305" s="32"/>
      <c r="Z1305" s="51"/>
      <c r="AA1305" s="33"/>
      <c r="AB1305" s="34"/>
      <c r="AC1305" s="10"/>
      <c r="AD1305" s="10"/>
      <c r="AE1305" s="10"/>
      <c r="AF1305" s="12">
        <f t="shared" si="423"/>
        <v>0</v>
      </c>
    </row>
    <row r="1306" spans="1:32" x14ac:dyDescent="0.25">
      <c r="A1306" s="10"/>
      <c r="B1306" s="32"/>
      <c r="C1306" s="33"/>
      <c r="D1306" s="51"/>
      <c r="E1306" s="33"/>
      <c r="F1306" s="34">
        <f t="shared" ref="F1306" si="433">SUM(D1306:E1306)</f>
        <v>0</v>
      </c>
      <c r="G1306" s="10"/>
      <c r="H1306" s="10"/>
      <c r="I1306" s="10"/>
      <c r="J1306" s="12">
        <f t="shared" si="419"/>
        <v>0</v>
      </c>
      <c r="L1306" s="10"/>
      <c r="M1306" s="32"/>
      <c r="N1306" s="33"/>
      <c r="O1306" s="51"/>
      <c r="P1306" s="33"/>
      <c r="Q1306" s="34">
        <f t="shared" ref="Q1306" si="434">SUM(O1306:P1306)</f>
        <v>0</v>
      </c>
      <c r="R1306" s="10"/>
      <c r="S1306" s="10"/>
      <c r="T1306" s="10"/>
      <c r="U1306" s="12">
        <f t="shared" si="421"/>
        <v>0</v>
      </c>
      <c r="W1306" s="10"/>
      <c r="X1306" s="32"/>
      <c r="Y1306" s="33"/>
      <c r="Z1306" s="51"/>
      <c r="AA1306" s="33"/>
      <c r="AB1306" s="34">
        <f t="shared" ref="AB1306" si="435">SUM(Z1306:AA1306)</f>
        <v>0</v>
      </c>
      <c r="AC1306" s="10"/>
      <c r="AD1306" s="10"/>
      <c r="AE1306" s="10"/>
      <c r="AF1306" s="12">
        <f t="shared" si="423"/>
        <v>0</v>
      </c>
    </row>
    <row r="1307" spans="1:32" x14ac:dyDescent="0.25">
      <c r="A1307" s="10"/>
      <c r="B1307" s="33"/>
      <c r="C1307" s="33"/>
      <c r="D1307" s="33"/>
      <c r="E1307" s="33"/>
      <c r="F1307" s="33"/>
      <c r="G1307" s="10"/>
      <c r="H1307" s="10"/>
      <c r="I1307" s="10"/>
      <c r="J1307" s="12">
        <f t="shared" si="419"/>
        <v>0</v>
      </c>
      <c r="L1307" s="10"/>
      <c r="M1307" s="33"/>
      <c r="N1307" s="33"/>
      <c r="O1307" s="33"/>
      <c r="P1307" s="33"/>
      <c r="Q1307" s="33"/>
      <c r="R1307" s="10"/>
      <c r="S1307" s="10"/>
      <c r="T1307" s="10"/>
      <c r="U1307" s="12">
        <f t="shared" si="421"/>
        <v>0</v>
      </c>
      <c r="W1307" s="10"/>
      <c r="X1307" s="33"/>
      <c r="Y1307" s="33"/>
      <c r="Z1307" s="33"/>
      <c r="AA1307" s="33"/>
      <c r="AB1307" s="33"/>
      <c r="AC1307" s="10"/>
      <c r="AD1307" s="10"/>
      <c r="AE1307" s="10"/>
      <c r="AF1307" s="12">
        <f t="shared" si="423"/>
        <v>0</v>
      </c>
    </row>
    <row r="1308" spans="1:32" x14ac:dyDescent="0.25">
      <c r="B1308" s="70"/>
      <c r="C1308" s="70"/>
      <c r="D1308" s="38"/>
      <c r="E1308" s="38"/>
      <c r="F1308" s="38"/>
      <c r="G1308" s="39"/>
      <c r="H1308" s="39"/>
      <c r="I1308" s="39"/>
      <c r="J1308" s="39"/>
      <c r="M1308" s="70"/>
      <c r="N1308" s="70"/>
      <c r="O1308" s="38"/>
      <c r="P1308" s="38"/>
      <c r="Q1308" s="38"/>
      <c r="R1308" s="39"/>
      <c r="S1308" s="39"/>
      <c r="T1308" s="39"/>
      <c r="U1308" s="39"/>
      <c r="X1308" s="70"/>
      <c r="Y1308" s="70"/>
      <c r="Z1308" s="38"/>
      <c r="AA1308" s="38"/>
      <c r="AB1308" s="38"/>
      <c r="AC1308" s="39"/>
      <c r="AD1308" s="39"/>
      <c r="AE1308" s="39"/>
      <c r="AF1308" s="39"/>
    </row>
    <row r="1309" spans="1:32" x14ac:dyDescent="0.25">
      <c r="B1309" s="70"/>
      <c r="C1309" s="70"/>
      <c r="D1309" s="40">
        <f>SUM(D1266:D1308)</f>
        <v>199531</v>
      </c>
      <c r="E1309" s="40">
        <f>SUM(E1266:E1290)</f>
        <v>-1872</v>
      </c>
      <c r="F1309" s="40">
        <f>SUM(F1266:F1308)</f>
        <v>197659</v>
      </c>
      <c r="G1309" s="4"/>
      <c r="H1309" s="43">
        <f>SUM(H1266:H1308)</f>
        <v>3412</v>
      </c>
      <c r="I1309" s="43">
        <f>SUM(I1266:I1290)</f>
        <v>-1665</v>
      </c>
      <c r="J1309" s="44">
        <f>SUM(J1266:J1308)</f>
        <v>199406</v>
      </c>
      <c r="M1309" s="70"/>
      <c r="N1309" s="70"/>
      <c r="O1309" s="40">
        <f>SUM(O1266:O1308)</f>
        <v>202659</v>
      </c>
      <c r="P1309" s="40">
        <f>SUM(P1266:P1290)</f>
        <v>-2016</v>
      </c>
      <c r="Q1309" s="40">
        <f>SUM(Q1266:Q1308)</f>
        <v>200643</v>
      </c>
      <c r="R1309" s="4"/>
      <c r="S1309" s="43">
        <f>SUM(S1266:S1308)</f>
        <v>0</v>
      </c>
      <c r="T1309" s="43">
        <f>SUM(T1266:T1290)</f>
        <v>-10329</v>
      </c>
      <c r="U1309" s="44">
        <f>SUM(U1266:U1308)</f>
        <v>190314</v>
      </c>
      <c r="X1309" s="70"/>
      <c r="Y1309" s="70"/>
      <c r="Z1309" s="40">
        <f>SUM(Z1266:Z1308)</f>
        <v>639023</v>
      </c>
      <c r="AA1309" s="40">
        <f>SUM(AA1266:AA1290)</f>
        <v>-3170</v>
      </c>
      <c r="AB1309" s="40">
        <f>SUM(AB1266:AB1308)</f>
        <v>635853</v>
      </c>
      <c r="AC1309" s="4"/>
      <c r="AD1309" s="43">
        <f>SUM(AD1266:AD1308)</f>
        <v>64707</v>
      </c>
      <c r="AE1309" s="43">
        <f>SUM(AE1266:AE1290)</f>
        <v>-45276</v>
      </c>
      <c r="AF1309" s="44">
        <f>SUM(AF1266:AF1308)</f>
        <v>655284</v>
      </c>
    </row>
    <row r="1310" spans="1:32" x14ac:dyDescent="0.25">
      <c r="B1310" s="70"/>
      <c r="C1310" s="70"/>
      <c r="D1310" s="45"/>
      <c r="E1310" s="70"/>
      <c r="F1310" s="70"/>
      <c r="M1310" s="70"/>
      <c r="N1310" s="70"/>
      <c r="O1310" s="45"/>
      <c r="P1310" s="70"/>
      <c r="Q1310" s="70"/>
      <c r="X1310" s="70"/>
      <c r="Y1310" s="70"/>
      <c r="Z1310" s="45"/>
      <c r="AA1310" s="70"/>
      <c r="AB1310" s="70"/>
    </row>
    <row r="1311" spans="1:32" x14ac:dyDescent="0.25">
      <c r="B1311" s="70"/>
      <c r="C1311" s="70"/>
      <c r="D1311" s="70"/>
      <c r="E1311" s="70"/>
      <c r="F1311" s="70"/>
      <c r="M1311" s="70"/>
      <c r="N1311" s="70"/>
      <c r="O1311" s="70"/>
      <c r="P1311" s="70"/>
      <c r="Q1311" s="70"/>
      <c r="X1311" s="70"/>
      <c r="Y1311" s="70"/>
      <c r="Z1311" s="70"/>
      <c r="AA1311" s="70"/>
      <c r="AB1311" s="70"/>
    </row>
    <row r="1312" spans="1:32" x14ac:dyDescent="0.25">
      <c r="A1312" s="18"/>
      <c r="B1312" s="18"/>
      <c r="C1312" s="18"/>
      <c r="D1312" s="18"/>
      <c r="E1312" s="18"/>
      <c r="F1312" s="18"/>
      <c r="G1312" s="18"/>
      <c r="H1312" s="18"/>
      <c r="I1312" s="18"/>
      <c r="J1312" s="18"/>
      <c r="L1312" s="18"/>
      <c r="M1312" s="18"/>
      <c r="N1312" s="18"/>
      <c r="O1312" s="18"/>
      <c r="P1312" s="18"/>
      <c r="Q1312" s="18"/>
      <c r="R1312" s="18"/>
      <c r="S1312" s="18"/>
      <c r="T1312" s="18"/>
      <c r="U1312" s="18"/>
      <c r="W1312" s="18"/>
      <c r="X1312" s="18"/>
      <c r="Y1312" s="18"/>
      <c r="Z1312" s="18"/>
      <c r="AA1312" s="18"/>
      <c r="AB1312" s="18"/>
      <c r="AC1312" s="18"/>
      <c r="AD1312" s="18"/>
      <c r="AE1312" s="18"/>
      <c r="AF1312" s="18"/>
    </row>
    <row r="1313" spans="1:32" x14ac:dyDescent="0.25">
      <c r="A1313" t="s">
        <v>0</v>
      </c>
      <c r="B1313" s="70"/>
      <c r="C1313" s="70"/>
      <c r="D1313" s="70"/>
      <c r="E1313" s="70"/>
      <c r="F1313" s="70"/>
      <c r="L1313" t="s">
        <v>0</v>
      </c>
      <c r="M1313" s="70"/>
      <c r="N1313" s="70"/>
      <c r="O1313" s="70"/>
      <c r="P1313" s="70"/>
      <c r="Q1313" s="70"/>
      <c r="W1313" t="s">
        <v>0</v>
      </c>
      <c r="X1313" s="70"/>
      <c r="Y1313" s="70"/>
      <c r="Z1313" s="70"/>
      <c r="AA1313" s="70"/>
      <c r="AB1313" s="70"/>
    </row>
    <row r="1314" spans="1:32" x14ac:dyDescent="0.25">
      <c r="A1314" t="s">
        <v>30</v>
      </c>
      <c r="B1314" s="70"/>
      <c r="C1314" s="70"/>
      <c r="D1314" s="70"/>
      <c r="E1314" s="70"/>
      <c r="F1314" s="70"/>
      <c r="L1314" t="s">
        <v>30</v>
      </c>
      <c r="M1314" s="70"/>
      <c r="N1314" s="70"/>
      <c r="O1314" s="70"/>
      <c r="P1314" s="70"/>
      <c r="Q1314" s="70"/>
      <c r="W1314" t="s">
        <v>30</v>
      </c>
      <c r="X1314" s="70"/>
      <c r="Y1314" s="70"/>
      <c r="Z1314" s="70"/>
      <c r="AA1314" s="70"/>
      <c r="AB1314" s="70"/>
    </row>
    <row r="1315" spans="1:32" x14ac:dyDescent="0.25">
      <c r="B1315" s="70"/>
      <c r="C1315" s="70"/>
      <c r="D1315" s="70"/>
      <c r="E1315" s="70"/>
      <c r="F1315" s="70"/>
      <c r="M1315" s="70"/>
      <c r="N1315" s="70"/>
      <c r="O1315" s="70"/>
      <c r="P1315" s="70"/>
      <c r="Q1315" s="70"/>
      <c r="X1315" s="70"/>
      <c r="Y1315" s="70"/>
      <c r="Z1315" s="70"/>
      <c r="AA1315" s="70"/>
      <c r="AB1315" s="70"/>
    </row>
    <row r="1316" spans="1:32" x14ac:dyDescent="0.25">
      <c r="A1316" s="4" t="s">
        <v>15</v>
      </c>
      <c r="B1316" s="70"/>
      <c r="C1316" s="70"/>
      <c r="D1316" s="70"/>
      <c r="E1316" s="70"/>
      <c r="F1316" s="70"/>
      <c r="L1316" s="4" t="s">
        <v>15</v>
      </c>
      <c r="M1316" s="70"/>
      <c r="N1316" s="70"/>
      <c r="O1316" s="70"/>
      <c r="P1316" s="70"/>
      <c r="Q1316" s="70"/>
      <c r="W1316" s="4" t="s">
        <v>15</v>
      </c>
      <c r="X1316" s="70"/>
      <c r="Y1316" s="70"/>
      <c r="Z1316" s="70"/>
      <c r="AA1316" s="70"/>
      <c r="AB1316" s="70"/>
    </row>
    <row r="1317" spans="1:32" x14ac:dyDescent="0.25">
      <c r="B1317" s="70"/>
      <c r="C1317" s="70"/>
      <c r="D1317" s="70"/>
      <c r="E1317" s="70"/>
      <c r="F1317" s="70"/>
      <c r="M1317" s="70"/>
      <c r="N1317" s="70"/>
      <c r="O1317" s="70"/>
      <c r="P1317" s="70"/>
      <c r="Q1317" s="70"/>
      <c r="X1317" s="70"/>
      <c r="Y1317" s="70"/>
      <c r="Z1317" s="70"/>
      <c r="AA1317" s="70"/>
      <c r="AB1317" s="70"/>
    </row>
    <row r="1318" spans="1:32" ht="15.75" x14ac:dyDescent="0.25">
      <c r="A1318" t="s">
        <v>36</v>
      </c>
      <c r="B1318" s="70"/>
      <c r="C1318" s="70"/>
      <c r="D1318" s="70"/>
      <c r="E1318" s="70"/>
      <c r="F1318" s="70"/>
      <c r="H1318" s="70" t="s">
        <v>16</v>
      </c>
      <c r="I1318" s="19">
        <v>1</v>
      </c>
      <c r="L1318" t="s">
        <v>36</v>
      </c>
      <c r="M1318" s="70"/>
      <c r="N1318" s="70"/>
      <c r="O1318" s="70"/>
      <c r="P1318" s="70"/>
      <c r="Q1318" s="70"/>
      <c r="S1318" s="70" t="s">
        <v>16</v>
      </c>
      <c r="T1318" s="19">
        <v>2</v>
      </c>
      <c r="W1318" t="s">
        <v>36</v>
      </c>
      <c r="X1318" s="70"/>
      <c r="Y1318" s="70"/>
      <c r="Z1318" s="70"/>
      <c r="AA1318" s="70"/>
      <c r="AB1318" s="70"/>
      <c r="AD1318" s="70" t="s">
        <v>16</v>
      </c>
      <c r="AE1318" s="20">
        <v>3</v>
      </c>
    </row>
    <row r="1319" spans="1:32" x14ac:dyDescent="0.25">
      <c r="A1319" s="21" t="s">
        <v>95</v>
      </c>
      <c r="B1319" s="20"/>
      <c r="C1319" s="70"/>
      <c r="D1319" s="70"/>
      <c r="E1319" s="70"/>
      <c r="F1319" s="70"/>
      <c r="H1319" s="22" t="s">
        <v>17</v>
      </c>
      <c r="I1319" s="23" t="s">
        <v>46</v>
      </c>
      <c r="J1319" s="24"/>
      <c r="L1319" s="21" t="s">
        <v>95</v>
      </c>
      <c r="M1319" s="20"/>
      <c r="N1319" s="70"/>
      <c r="O1319" s="70"/>
      <c r="P1319" s="70"/>
      <c r="Q1319" s="70"/>
      <c r="S1319" s="22" t="s">
        <v>17</v>
      </c>
      <c r="T1319" s="23" t="s">
        <v>34</v>
      </c>
      <c r="U1319" s="24"/>
      <c r="W1319" s="21" t="s">
        <v>95</v>
      </c>
      <c r="X1319" s="20"/>
      <c r="Y1319" s="70"/>
      <c r="Z1319" s="70"/>
      <c r="AA1319" s="70"/>
      <c r="AB1319" s="70"/>
      <c r="AD1319" s="22" t="s">
        <v>17</v>
      </c>
      <c r="AE1319" s="23" t="s">
        <v>91</v>
      </c>
      <c r="AF1319" s="24"/>
    </row>
    <row r="1320" spans="1:32" x14ac:dyDescent="0.25">
      <c r="B1320" s="70"/>
      <c r="C1320" s="70"/>
      <c r="D1320" s="70"/>
      <c r="E1320" s="70"/>
      <c r="F1320" s="70"/>
      <c r="M1320" s="70"/>
      <c r="N1320" s="70"/>
      <c r="O1320" s="70"/>
      <c r="P1320" s="70"/>
      <c r="Q1320" s="70"/>
      <c r="X1320" s="70"/>
      <c r="Y1320" s="70"/>
      <c r="Z1320" s="70"/>
      <c r="AA1320" s="70"/>
      <c r="AB1320" s="70"/>
    </row>
    <row r="1321" spans="1:32" x14ac:dyDescent="0.25">
      <c r="B1321" s="25"/>
      <c r="C1321" s="26"/>
      <c r="D1321" s="79" t="s">
        <v>18</v>
      </c>
      <c r="E1321" s="79"/>
      <c r="F1321" s="27"/>
      <c r="H1321" s="77" t="s">
        <v>19</v>
      </c>
      <c r="I1321" s="78"/>
      <c r="J1321" s="75" t="s">
        <v>20</v>
      </c>
      <c r="M1321" s="25"/>
      <c r="N1321" s="26"/>
      <c r="O1321" s="79" t="s">
        <v>18</v>
      </c>
      <c r="P1321" s="79"/>
      <c r="Q1321" s="27"/>
      <c r="S1321" s="77" t="s">
        <v>19</v>
      </c>
      <c r="T1321" s="78"/>
      <c r="U1321" s="75" t="s">
        <v>20</v>
      </c>
      <c r="X1321" s="25"/>
      <c r="Y1321" s="26"/>
      <c r="Z1321" s="79" t="s">
        <v>18</v>
      </c>
      <c r="AA1321" s="79"/>
      <c r="AB1321" s="27"/>
      <c r="AD1321" s="77" t="s">
        <v>19</v>
      </c>
      <c r="AE1321" s="78"/>
      <c r="AF1321" s="75" t="s">
        <v>20</v>
      </c>
    </row>
    <row r="1322" spans="1:32" ht="30" x14ac:dyDescent="0.25">
      <c r="B1322" s="28" t="s">
        <v>21</v>
      </c>
      <c r="C1322" s="28" t="s">
        <v>22</v>
      </c>
      <c r="D1322" s="29" t="s">
        <v>23</v>
      </c>
      <c r="E1322" s="30" t="s">
        <v>24</v>
      </c>
      <c r="F1322" s="30" t="s">
        <v>25</v>
      </c>
      <c r="H1322" s="31" t="s">
        <v>26</v>
      </c>
      <c r="I1322" s="31" t="s">
        <v>27</v>
      </c>
      <c r="J1322" s="76"/>
      <c r="M1322" s="28" t="s">
        <v>21</v>
      </c>
      <c r="N1322" s="28" t="s">
        <v>22</v>
      </c>
      <c r="O1322" s="29" t="s">
        <v>23</v>
      </c>
      <c r="P1322" s="30" t="s">
        <v>24</v>
      </c>
      <c r="Q1322" s="30" t="s">
        <v>25</v>
      </c>
      <c r="S1322" s="31" t="s">
        <v>26</v>
      </c>
      <c r="T1322" s="31" t="s">
        <v>27</v>
      </c>
      <c r="U1322" s="76"/>
      <c r="X1322" s="28" t="s">
        <v>21</v>
      </c>
      <c r="Y1322" s="28" t="s">
        <v>22</v>
      </c>
      <c r="Z1322" s="29" t="s">
        <v>23</v>
      </c>
      <c r="AA1322" s="30" t="s">
        <v>24</v>
      </c>
      <c r="AB1322" s="30" t="s">
        <v>25</v>
      </c>
      <c r="AD1322" s="31" t="s">
        <v>26</v>
      </c>
      <c r="AE1322" s="31" t="s">
        <v>27</v>
      </c>
      <c r="AF1322" s="76"/>
    </row>
    <row r="1323" spans="1:32" x14ac:dyDescent="0.25">
      <c r="A1323" s="10">
        <v>1</v>
      </c>
      <c r="B1323" s="32">
        <v>45686</v>
      </c>
      <c r="C1323" s="33">
        <v>7857</v>
      </c>
      <c r="D1323" s="34">
        <f>5634+614+1192+852+94</f>
        <v>8386</v>
      </c>
      <c r="E1323" s="34"/>
      <c r="F1323" s="34">
        <f>SUM(D1323:E1323)</f>
        <v>8386</v>
      </c>
      <c r="G1323" s="12"/>
      <c r="H1323" s="12"/>
      <c r="I1323" s="12"/>
      <c r="J1323" s="12">
        <f>SUM(F1323:I1323)</f>
        <v>8386</v>
      </c>
      <c r="L1323" s="10">
        <v>1</v>
      </c>
      <c r="M1323" s="32">
        <v>45686</v>
      </c>
      <c r="N1323" s="33">
        <v>9575</v>
      </c>
      <c r="O1323" s="34">
        <f>626*432+205*18</f>
        <v>274122</v>
      </c>
      <c r="P1323" s="34">
        <v>-4050</v>
      </c>
      <c r="Q1323" s="34">
        <f>SUM(O1323:P1323)</f>
        <v>270072</v>
      </c>
      <c r="R1323" s="12"/>
      <c r="S1323" s="12">
        <f>9102+504</f>
        <v>9606</v>
      </c>
      <c r="T1323" s="12"/>
      <c r="U1323" s="12">
        <f>SUM(Q1323:T1323)</f>
        <v>279678</v>
      </c>
      <c r="W1323" s="10">
        <v>1</v>
      </c>
      <c r="X1323" s="32">
        <v>45686</v>
      </c>
      <c r="Y1323" s="33">
        <v>7698</v>
      </c>
      <c r="Z1323" s="34">
        <f>626*9+614+76.5+674*5</f>
        <v>9694.5</v>
      </c>
      <c r="AA1323" s="34"/>
      <c r="AB1323" s="34">
        <f>SUM(Z1323:AA1323)</f>
        <v>9694.5</v>
      </c>
      <c r="AC1323" s="12"/>
      <c r="AD1323" s="12"/>
      <c r="AE1323" s="12"/>
      <c r="AF1323" s="12">
        <f>SUM(AB1323:AE1323)</f>
        <v>9694.5</v>
      </c>
    </row>
    <row r="1324" spans="1:32" x14ac:dyDescent="0.25">
      <c r="A1324" s="10">
        <v>2</v>
      </c>
      <c r="B1324" s="32">
        <v>45686</v>
      </c>
      <c r="C1324" s="33">
        <f>C1323+1</f>
        <v>7858</v>
      </c>
      <c r="D1324">
        <f>4382+596+68</f>
        <v>5046</v>
      </c>
      <c r="E1324" s="34"/>
      <c r="F1324" s="34">
        <f t="shared" ref="F1324:F1327" si="436">SUM(D1324:E1324)</f>
        <v>5046</v>
      </c>
      <c r="G1324" s="12"/>
      <c r="H1324" s="12"/>
      <c r="I1324" s="12"/>
      <c r="J1324" s="12">
        <f t="shared" ref="J1324:J1364" si="437">SUM(F1324:I1324)</f>
        <v>5046</v>
      </c>
      <c r="L1324" s="10">
        <v>2</v>
      </c>
      <c r="M1324" s="32">
        <v>45686</v>
      </c>
      <c r="N1324" s="33">
        <f>N1323+1</f>
        <v>9576</v>
      </c>
      <c r="O1324">
        <f>626*6+59.5</f>
        <v>3815.5</v>
      </c>
      <c r="P1324" s="34"/>
      <c r="Q1324" s="34">
        <f t="shared" ref="Q1324:Q1327" si="438">SUM(O1324:P1324)</f>
        <v>3815.5</v>
      </c>
      <c r="R1324" s="12"/>
      <c r="S1324" s="12"/>
      <c r="T1324" s="12"/>
      <c r="U1324" s="12">
        <f t="shared" ref="U1324:U1364" si="439">SUM(Q1324:T1324)</f>
        <v>3815.5</v>
      </c>
      <c r="W1324" s="10">
        <v>2</v>
      </c>
      <c r="X1324" s="32">
        <v>45686</v>
      </c>
      <c r="Y1324" s="33">
        <f>Y1323+1</f>
        <v>7699</v>
      </c>
      <c r="Z1324" s="34">
        <f>6260+3370+1788</f>
        <v>11418</v>
      </c>
      <c r="AA1324" s="34"/>
      <c r="AB1324" s="34">
        <f t="shared" ref="AB1324:AB1326" si="440">SUM(Z1324:AA1324)</f>
        <v>11418</v>
      </c>
      <c r="AC1324" s="12"/>
      <c r="AD1324" s="12"/>
      <c r="AE1324" s="12"/>
      <c r="AF1324" s="12">
        <f t="shared" ref="AF1324:AF1364" si="441">SUM(AB1324:AE1324)</f>
        <v>11418</v>
      </c>
    </row>
    <row r="1325" spans="1:32" x14ac:dyDescent="0.25">
      <c r="A1325" s="10">
        <v>3</v>
      </c>
      <c r="B1325" s="32">
        <v>45686</v>
      </c>
      <c r="C1325" s="33">
        <f t="shared" ref="C1325:C1340" si="442">C1324+1</f>
        <v>7859</v>
      </c>
      <c r="D1325" s="34">
        <f>626+9</f>
        <v>635</v>
      </c>
      <c r="E1325" s="34"/>
      <c r="F1325" s="34">
        <f t="shared" si="436"/>
        <v>635</v>
      </c>
      <c r="G1325" s="12"/>
      <c r="H1325" s="12"/>
      <c r="I1325" s="12"/>
      <c r="J1325" s="12">
        <f t="shared" si="437"/>
        <v>635</v>
      </c>
      <c r="L1325" s="10">
        <v>3</v>
      </c>
      <c r="M1325" s="32">
        <v>45686</v>
      </c>
      <c r="N1325" s="33">
        <f t="shared" ref="N1325:N1328" si="443">N1324+1</f>
        <v>9577</v>
      </c>
      <c r="O1325" s="34">
        <f>1878+1842+596+832+34+674</f>
        <v>5856</v>
      </c>
      <c r="P1325" s="34"/>
      <c r="Q1325" s="34">
        <f t="shared" si="438"/>
        <v>5856</v>
      </c>
      <c r="R1325" s="12"/>
      <c r="S1325" s="12"/>
      <c r="T1325" s="12">
        <f>-240+-666</f>
        <v>-906</v>
      </c>
      <c r="U1325" s="12">
        <f t="shared" si="439"/>
        <v>4950</v>
      </c>
      <c r="W1325" s="10">
        <v>3</v>
      </c>
      <c r="X1325" s="32">
        <v>45686</v>
      </c>
      <c r="Y1325" s="33">
        <f t="shared" ref="Y1325:Y1336" si="444">Y1324+1</f>
        <v>7700</v>
      </c>
      <c r="Z1325" s="34">
        <f>12520+5960+255</f>
        <v>18735</v>
      </c>
      <c r="AA1325" s="34"/>
      <c r="AB1325" s="34">
        <f t="shared" si="440"/>
        <v>18735</v>
      </c>
      <c r="AC1325" s="12"/>
      <c r="AD1325" s="12"/>
      <c r="AE1325" s="12"/>
      <c r="AF1325" s="12">
        <f t="shared" si="441"/>
        <v>18735</v>
      </c>
    </row>
    <row r="1326" spans="1:32" x14ac:dyDescent="0.25">
      <c r="A1326" s="10">
        <v>4</v>
      </c>
      <c r="B1326" s="32">
        <v>45686</v>
      </c>
      <c r="C1326" s="33">
        <f t="shared" si="442"/>
        <v>7860</v>
      </c>
      <c r="D1326" s="34">
        <f>1252+17</f>
        <v>1269</v>
      </c>
      <c r="E1326" s="34"/>
      <c r="F1326" s="34">
        <f t="shared" si="436"/>
        <v>1269</v>
      </c>
      <c r="G1326" s="12"/>
      <c r="H1326" s="12"/>
      <c r="I1326" s="12"/>
      <c r="J1326" s="12">
        <f t="shared" si="437"/>
        <v>1269</v>
      </c>
      <c r="L1326" s="10">
        <v>4</v>
      </c>
      <c r="M1326" s="32">
        <v>45686</v>
      </c>
      <c r="N1326" s="33">
        <f t="shared" si="443"/>
        <v>9578</v>
      </c>
      <c r="O1326" s="34">
        <f>1252+17</f>
        <v>1269</v>
      </c>
      <c r="P1326" s="34"/>
      <c r="Q1326" s="34">
        <f t="shared" si="438"/>
        <v>1269</v>
      </c>
      <c r="R1326" s="12"/>
      <c r="S1326" s="12"/>
      <c r="T1326" s="12"/>
      <c r="U1326" s="12">
        <f t="shared" si="439"/>
        <v>1269</v>
      </c>
      <c r="W1326" s="10">
        <v>4</v>
      </c>
      <c r="X1326" s="32">
        <v>45686</v>
      </c>
      <c r="Y1326" s="33">
        <v>7819</v>
      </c>
      <c r="Z1326" s="34">
        <f>3130+42.5</f>
        <v>3172.5</v>
      </c>
      <c r="AA1326" s="34"/>
      <c r="AB1326" s="34">
        <f t="shared" si="440"/>
        <v>3172.5</v>
      </c>
      <c r="AC1326" s="12"/>
      <c r="AE1326" s="12"/>
      <c r="AF1326" s="12">
        <f t="shared" si="441"/>
        <v>3172.5</v>
      </c>
    </row>
    <row r="1327" spans="1:32" x14ac:dyDescent="0.25">
      <c r="A1327" s="10">
        <v>5</v>
      </c>
      <c r="B1327" s="32">
        <v>45686</v>
      </c>
      <c r="C1327" s="33">
        <f t="shared" si="442"/>
        <v>7861</v>
      </c>
      <c r="D1327" s="34">
        <f>626*24+205</f>
        <v>15229</v>
      </c>
      <c r="E1327" s="34"/>
      <c r="F1327" s="34">
        <f t="shared" si="436"/>
        <v>15229</v>
      </c>
      <c r="G1327" s="12"/>
      <c r="H1327" s="12">
        <v>9</v>
      </c>
      <c r="I1327" s="12"/>
      <c r="J1327" s="12">
        <f t="shared" si="437"/>
        <v>15238</v>
      </c>
      <c r="L1327" s="10">
        <v>5</v>
      </c>
      <c r="M1327" s="32">
        <v>45686</v>
      </c>
      <c r="N1327" s="33">
        <f t="shared" si="443"/>
        <v>9579</v>
      </c>
      <c r="O1327" s="34">
        <f>626*6+596*3+85+650+674</f>
        <v>6953</v>
      </c>
      <c r="P1327" s="34"/>
      <c r="Q1327" s="34">
        <f t="shared" si="438"/>
        <v>6953</v>
      </c>
      <c r="R1327" s="12"/>
      <c r="S1327" s="12"/>
      <c r="T1327" s="12">
        <v>-1110</v>
      </c>
      <c r="U1327" s="12">
        <f t="shared" si="439"/>
        <v>5843</v>
      </c>
      <c r="W1327" s="10">
        <v>5</v>
      </c>
      <c r="X1327" s="32">
        <v>45686</v>
      </c>
      <c r="Y1327" s="33">
        <f t="shared" si="444"/>
        <v>7820</v>
      </c>
      <c r="Z1327" s="34">
        <f>5008+614+4768+136</f>
        <v>10526</v>
      </c>
      <c r="AA1327" s="34"/>
      <c r="AB1327" s="34">
        <f t="shared" ref="AB1327:AB1332" si="445">SUM(Z1327:AA1327)</f>
        <v>10526</v>
      </c>
      <c r="AC1327" s="12"/>
      <c r="AD1327" s="12"/>
      <c r="AE1327" s="12"/>
      <c r="AF1327" s="12">
        <f t="shared" si="441"/>
        <v>10526</v>
      </c>
    </row>
    <row r="1328" spans="1:32" x14ac:dyDescent="0.25">
      <c r="A1328" s="10">
        <v>6</v>
      </c>
      <c r="B1328" s="32">
        <v>45686</v>
      </c>
      <c r="C1328" s="33">
        <f t="shared" si="442"/>
        <v>7862</v>
      </c>
      <c r="D1328" s="34">
        <f>626*20+614*5+170</f>
        <v>15760</v>
      </c>
      <c r="E1328" s="34"/>
      <c r="F1328" s="34">
        <f>SUM(D1328:E1328)</f>
        <v>15760</v>
      </c>
      <c r="G1328" s="12"/>
      <c r="H1328" s="12"/>
      <c r="I1328" s="10"/>
      <c r="J1328" s="12">
        <f t="shared" si="437"/>
        <v>15760</v>
      </c>
      <c r="L1328" s="10">
        <v>6</v>
      </c>
      <c r="M1328" s="32">
        <v>45686</v>
      </c>
      <c r="N1328" s="33">
        <f t="shared" si="443"/>
        <v>9580</v>
      </c>
      <c r="O1328" s="34">
        <f>1878+25.5</f>
        <v>1903.5</v>
      </c>
      <c r="P1328" s="34"/>
      <c r="Q1328" s="34">
        <f>SUM(O1328:P1328)</f>
        <v>1903.5</v>
      </c>
      <c r="R1328" s="12"/>
      <c r="S1328" s="12"/>
      <c r="T1328" s="10"/>
      <c r="U1328" s="12">
        <f t="shared" si="439"/>
        <v>1903.5</v>
      </c>
      <c r="W1328" s="10">
        <v>6</v>
      </c>
      <c r="X1328" s="32">
        <v>45686</v>
      </c>
      <c r="Y1328" s="33">
        <f t="shared" si="444"/>
        <v>7821</v>
      </c>
      <c r="Z1328" s="34">
        <f>6260+1192+102</f>
        <v>7554</v>
      </c>
      <c r="AA1328" s="34"/>
      <c r="AB1328" s="34">
        <f t="shared" si="445"/>
        <v>7554</v>
      </c>
      <c r="AC1328" s="12"/>
      <c r="AD1328" s="12"/>
      <c r="AE1328" s="10"/>
      <c r="AF1328" s="12">
        <f t="shared" si="441"/>
        <v>7554</v>
      </c>
    </row>
    <row r="1329" spans="1:32" x14ac:dyDescent="0.25">
      <c r="A1329" s="10">
        <v>7</v>
      </c>
      <c r="B1329" s="32">
        <v>45686</v>
      </c>
      <c r="C1329" s="33">
        <f t="shared" si="442"/>
        <v>7863</v>
      </c>
      <c r="D1329" s="34">
        <f>626*11+596+102</f>
        <v>7584</v>
      </c>
      <c r="E1329" s="34"/>
      <c r="F1329" s="34">
        <f t="shared" ref="F1329:F1361" si="446">SUM(D1329:E1329)</f>
        <v>7584</v>
      </c>
      <c r="G1329" s="12"/>
      <c r="H1329" s="12">
        <v>25</v>
      </c>
      <c r="I1329" s="12"/>
      <c r="J1329" s="12">
        <f t="shared" si="437"/>
        <v>7609</v>
      </c>
      <c r="L1329" s="10">
        <v>7</v>
      </c>
      <c r="M1329" s="32"/>
      <c r="N1329" s="11" t="s">
        <v>28</v>
      </c>
      <c r="O1329" s="34"/>
      <c r="P1329" s="34"/>
      <c r="Q1329" s="34">
        <f t="shared" ref="Q1329:Q1361" si="447">SUM(O1329:P1329)</f>
        <v>0</v>
      </c>
      <c r="R1329" s="12"/>
      <c r="S1329" s="12"/>
      <c r="T1329" s="12"/>
      <c r="U1329" s="12">
        <f t="shared" si="439"/>
        <v>0</v>
      </c>
      <c r="W1329" s="10">
        <v>7</v>
      </c>
      <c r="X1329" s="32">
        <v>45686</v>
      </c>
      <c r="Y1329" s="33">
        <f t="shared" si="444"/>
        <v>7822</v>
      </c>
      <c r="Z1329" s="34">
        <f>3756+1192+68</f>
        <v>5016</v>
      </c>
      <c r="AA1329" s="34"/>
      <c r="AB1329" s="34">
        <f t="shared" si="445"/>
        <v>5016</v>
      </c>
      <c r="AC1329" s="12"/>
      <c r="AD1329" s="66"/>
      <c r="AE1329" s="12"/>
      <c r="AF1329" s="12">
        <f t="shared" si="441"/>
        <v>5016</v>
      </c>
    </row>
    <row r="1330" spans="1:32" x14ac:dyDescent="0.25">
      <c r="A1330" s="10">
        <v>8</v>
      </c>
      <c r="B1330" s="32">
        <v>45686</v>
      </c>
      <c r="C1330" s="33">
        <f t="shared" si="442"/>
        <v>7864</v>
      </c>
      <c r="D1330" s="34">
        <f>3756+52</f>
        <v>3808</v>
      </c>
      <c r="E1330" s="34"/>
      <c r="F1330" s="34">
        <f t="shared" si="446"/>
        <v>3808</v>
      </c>
      <c r="G1330" s="12"/>
      <c r="H1330" s="12"/>
      <c r="I1330" s="12"/>
      <c r="J1330" s="12">
        <f t="shared" si="437"/>
        <v>3808</v>
      </c>
      <c r="L1330" s="10">
        <v>8</v>
      </c>
      <c r="M1330" s="32"/>
      <c r="N1330" s="33"/>
      <c r="O1330" s="34"/>
      <c r="P1330" s="34"/>
      <c r="Q1330" s="34">
        <f t="shared" si="447"/>
        <v>0</v>
      </c>
      <c r="R1330" s="12"/>
      <c r="S1330" s="12"/>
      <c r="T1330" s="12"/>
      <c r="U1330" s="12">
        <f t="shared" si="439"/>
        <v>0</v>
      </c>
      <c r="W1330" s="10">
        <v>8</v>
      </c>
      <c r="X1330" s="32">
        <v>45686</v>
      </c>
      <c r="Y1330" s="33">
        <f t="shared" si="444"/>
        <v>7823</v>
      </c>
      <c r="Z1330" s="34">
        <f>626*204+1640</f>
        <v>129344</v>
      </c>
      <c r="AA1330" s="37">
        <v>-1908</v>
      </c>
      <c r="AB1330" s="34">
        <f t="shared" si="445"/>
        <v>127436</v>
      </c>
      <c r="AC1330" s="12"/>
      <c r="AD1330" s="12"/>
      <c r="AE1330" s="12"/>
      <c r="AF1330" s="12">
        <f t="shared" si="441"/>
        <v>127436</v>
      </c>
    </row>
    <row r="1331" spans="1:32" x14ac:dyDescent="0.25">
      <c r="A1331" s="10">
        <v>9</v>
      </c>
      <c r="B1331" s="32">
        <v>45686</v>
      </c>
      <c r="C1331" s="33">
        <f t="shared" si="442"/>
        <v>7865</v>
      </c>
      <c r="D1331" s="34">
        <f>614+5634+2980+119</f>
        <v>9347</v>
      </c>
      <c r="E1331" s="34"/>
      <c r="F1331" s="34">
        <f t="shared" si="446"/>
        <v>9347</v>
      </c>
      <c r="G1331" s="12"/>
      <c r="H1331" s="12"/>
      <c r="I1331" s="12"/>
      <c r="J1331" s="12">
        <f t="shared" si="437"/>
        <v>9347</v>
      </c>
      <c r="L1331" s="10">
        <v>9</v>
      </c>
      <c r="M1331" s="32"/>
      <c r="N1331" s="33"/>
      <c r="O1331" s="34"/>
      <c r="P1331" s="34"/>
      <c r="Q1331" s="34">
        <f t="shared" si="447"/>
        <v>0</v>
      </c>
      <c r="R1331" s="12"/>
      <c r="S1331" s="12"/>
      <c r="T1331" s="12"/>
      <c r="U1331" s="12">
        <f t="shared" si="439"/>
        <v>0</v>
      </c>
      <c r="W1331" s="10">
        <v>9</v>
      </c>
      <c r="X1331" s="32">
        <v>45686</v>
      </c>
      <c r="Y1331" s="33">
        <f t="shared" si="444"/>
        <v>7824</v>
      </c>
      <c r="Z1331">
        <f>626*8+614*2+596*2+85</f>
        <v>7513</v>
      </c>
      <c r="AA1331" s="34"/>
      <c r="AB1331" s="34">
        <f t="shared" si="445"/>
        <v>7513</v>
      </c>
      <c r="AC1331" s="12"/>
      <c r="AD1331" s="66"/>
      <c r="AE1331" s="12"/>
      <c r="AF1331" s="12">
        <f t="shared" si="441"/>
        <v>7513</v>
      </c>
    </row>
    <row r="1332" spans="1:32" x14ac:dyDescent="0.25">
      <c r="A1332" s="10">
        <v>10</v>
      </c>
      <c r="B1332" s="32">
        <v>45686</v>
      </c>
      <c r="C1332" s="33">
        <f t="shared" si="442"/>
        <v>7866</v>
      </c>
      <c r="D1332" s="34">
        <f>15650+3576+832+410</f>
        <v>20468</v>
      </c>
      <c r="E1332" s="34"/>
      <c r="F1332" s="34">
        <f t="shared" si="446"/>
        <v>20468</v>
      </c>
      <c r="G1332" s="12"/>
      <c r="H1332" s="12"/>
      <c r="I1332" s="12"/>
      <c r="J1332" s="12">
        <f t="shared" si="437"/>
        <v>20468</v>
      </c>
      <c r="L1332" s="10">
        <v>10</v>
      </c>
      <c r="M1332" s="32"/>
      <c r="N1332" s="33"/>
      <c r="O1332" s="34"/>
      <c r="P1332" s="34"/>
      <c r="Q1332" s="34">
        <f t="shared" si="447"/>
        <v>0</v>
      </c>
      <c r="R1332" s="12"/>
      <c r="S1332" s="12"/>
      <c r="T1332" s="12"/>
      <c r="U1332" s="12">
        <f t="shared" si="439"/>
        <v>0</v>
      </c>
      <c r="W1332" s="10">
        <v>10</v>
      </c>
      <c r="X1332" s="32">
        <v>45686</v>
      </c>
      <c r="Y1332" s="33">
        <f t="shared" si="444"/>
        <v>7825</v>
      </c>
      <c r="Z1332" s="34">
        <f>626*4+596*3+59.5</f>
        <v>4351.5</v>
      </c>
      <c r="AA1332" s="34"/>
      <c r="AB1332" s="34">
        <f t="shared" si="445"/>
        <v>4351.5</v>
      </c>
      <c r="AC1332" s="12"/>
      <c r="AD1332" s="12"/>
      <c r="AE1332" s="12"/>
      <c r="AF1332" s="12">
        <f t="shared" si="441"/>
        <v>4351.5</v>
      </c>
    </row>
    <row r="1333" spans="1:32" x14ac:dyDescent="0.25">
      <c r="A1333" s="10">
        <v>11</v>
      </c>
      <c r="B1333" s="32">
        <v>45686</v>
      </c>
      <c r="C1333" s="33">
        <f t="shared" si="442"/>
        <v>7867</v>
      </c>
      <c r="D1333" s="34">
        <f>1252+17</f>
        <v>1269</v>
      </c>
      <c r="E1333" s="34"/>
      <c r="F1333" s="34">
        <f t="shared" si="446"/>
        <v>1269</v>
      </c>
      <c r="G1333" s="12"/>
      <c r="H1333" s="12"/>
      <c r="I1333" s="12"/>
      <c r="J1333" s="12">
        <f t="shared" si="437"/>
        <v>1269</v>
      </c>
      <c r="L1333" s="10">
        <v>11</v>
      </c>
      <c r="M1333" s="32"/>
      <c r="N1333" s="33"/>
      <c r="O1333" s="34"/>
      <c r="P1333" s="34"/>
      <c r="Q1333" s="34">
        <f t="shared" si="447"/>
        <v>0</v>
      </c>
      <c r="R1333" s="12"/>
      <c r="S1333" s="12"/>
      <c r="T1333" s="12"/>
      <c r="U1333" s="12">
        <f t="shared" si="439"/>
        <v>0</v>
      </c>
      <c r="W1333" s="10">
        <v>11</v>
      </c>
      <c r="X1333" s="32">
        <v>45686</v>
      </c>
      <c r="Y1333" s="33">
        <f t="shared" si="444"/>
        <v>7826</v>
      </c>
      <c r="Z1333" s="34">
        <f>626*6+614+596+59.5</f>
        <v>5025.5</v>
      </c>
      <c r="AA1333" s="34"/>
      <c r="AB1333" s="34">
        <f t="shared" ref="AB1333:AB1355" si="448">SUM(Z1333:AA1333)</f>
        <v>5025.5</v>
      </c>
      <c r="AC1333" s="12"/>
      <c r="AD1333" s="12"/>
      <c r="AE1333" s="12"/>
      <c r="AF1333" s="12">
        <f t="shared" si="441"/>
        <v>5025.5</v>
      </c>
    </row>
    <row r="1334" spans="1:32" x14ac:dyDescent="0.25">
      <c r="A1334" s="10">
        <v>12</v>
      </c>
      <c r="B1334" s="32">
        <v>45686</v>
      </c>
      <c r="C1334" s="33">
        <f t="shared" si="442"/>
        <v>7868</v>
      </c>
      <c r="D1334" s="34">
        <f>4382+60</f>
        <v>4442</v>
      </c>
      <c r="E1334" s="34"/>
      <c r="F1334" s="34">
        <f t="shared" si="446"/>
        <v>4442</v>
      </c>
      <c r="G1334" s="12"/>
      <c r="H1334" s="12">
        <v>9</v>
      </c>
      <c r="I1334" s="12"/>
      <c r="J1334" s="12">
        <f t="shared" si="437"/>
        <v>4451</v>
      </c>
      <c r="L1334" s="10">
        <v>12</v>
      </c>
      <c r="M1334" s="32"/>
      <c r="N1334" s="33"/>
      <c r="O1334" s="34"/>
      <c r="P1334" s="34"/>
      <c r="Q1334" s="34">
        <f t="shared" si="447"/>
        <v>0</v>
      </c>
      <c r="R1334" s="12"/>
      <c r="S1334" s="12"/>
      <c r="T1334" s="12"/>
      <c r="U1334" s="12">
        <f t="shared" si="439"/>
        <v>0</v>
      </c>
      <c r="W1334" s="10">
        <v>12</v>
      </c>
      <c r="X1334" s="32">
        <v>45686</v>
      </c>
      <c r="Y1334" s="33">
        <f t="shared" si="444"/>
        <v>7827</v>
      </c>
      <c r="Z1334" s="34">
        <f>3130+1228+1192+59.5</f>
        <v>5609.5</v>
      </c>
      <c r="AA1334" s="34"/>
      <c r="AB1334" s="34">
        <f t="shared" si="448"/>
        <v>5609.5</v>
      </c>
      <c r="AC1334" s="12"/>
      <c r="AD1334" s="12"/>
      <c r="AE1334" s="12"/>
      <c r="AF1334" s="12">
        <f t="shared" si="441"/>
        <v>5609.5</v>
      </c>
    </row>
    <row r="1335" spans="1:32" x14ac:dyDescent="0.25">
      <c r="A1335" s="10">
        <v>13</v>
      </c>
      <c r="B1335" s="32">
        <v>45686</v>
      </c>
      <c r="C1335" s="33">
        <f t="shared" si="442"/>
        <v>7869</v>
      </c>
      <c r="D1335" s="34">
        <f>626*10+596*3+111</f>
        <v>8159</v>
      </c>
      <c r="E1335" s="34"/>
      <c r="F1335" s="34">
        <f t="shared" si="446"/>
        <v>8159</v>
      </c>
      <c r="G1335" s="12"/>
      <c r="H1335" s="12"/>
      <c r="I1335" s="12"/>
      <c r="J1335" s="12">
        <f t="shared" si="437"/>
        <v>8159</v>
      </c>
      <c r="L1335" s="10">
        <v>13</v>
      </c>
      <c r="M1335" s="32"/>
      <c r="N1335" s="33"/>
      <c r="O1335" s="34"/>
      <c r="P1335" s="34"/>
      <c r="Q1335" s="34">
        <f t="shared" si="447"/>
        <v>0</v>
      </c>
      <c r="R1335" s="12"/>
      <c r="S1335" s="12"/>
      <c r="T1335" s="12"/>
      <c r="U1335" s="12">
        <f t="shared" si="439"/>
        <v>0</v>
      </c>
      <c r="W1335" s="10">
        <v>13</v>
      </c>
      <c r="X1335" s="32">
        <v>45686</v>
      </c>
      <c r="Y1335" s="33">
        <f t="shared" si="444"/>
        <v>7828</v>
      </c>
      <c r="Z1335" s="34">
        <f>626*35+614+596*15+205*2</f>
        <v>31874</v>
      </c>
      <c r="AA1335" s="34"/>
      <c r="AB1335" s="34">
        <f t="shared" si="448"/>
        <v>31874</v>
      </c>
      <c r="AC1335" s="12"/>
      <c r="AD1335" s="12"/>
      <c r="AE1335" s="12">
        <v>-777</v>
      </c>
      <c r="AF1335" s="12">
        <f t="shared" si="441"/>
        <v>31097</v>
      </c>
    </row>
    <row r="1336" spans="1:32" x14ac:dyDescent="0.25">
      <c r="A1336" s="10">
        <v>14</v>
      </c>
      <c r="B1336" s="32">
        <v>45686</v>
      </c>
      <c r="C1336" s="33">
        <f t="shared" si="442"/>
        <v>7870</v>
      </c>
      <c r="D1336" s="34">
        <f>626*20+596*3+196</f>
        <v>14504</v>
      </c>
      <c r="E1336" s="34"/>
      <c r="F1336" s="34">
        <f t="shared" si="446"/>
        <v>14504</v>
      </c>
      <c r="G1336" s="12"/>
      <c r="H1336" s="12"/>
      <c r="I1336" s="12"/>
      <c r="J1336" s="12">
        <f t="shared" si="437"/>
        <v>14504</v>
      </c>
      <c r="L1336" s="10">
        <v>14</v>
      </c>
      <c r="M1336" s="32"/>
      <c r="N1336" s="33"/>
      <c r="O1336" s="34"/>
      <c r="P1336" s="34"/>
      <c r="Q1336" s="34">
        <f t="shared" si="447"/>
        <v>0</v>
      </c>
      <c r="R1336" s="12"/>
      <c r="S1336" s="12"/>
      <c r="T1336" s="12"/>
      <c r="U1336" s="12">
        <f t="shared" si="439"/>
        <v>0</v>
      </c>
      <c r="W1336" s="10">
        <v>14</v>
      </c>
      <c r="X1336" s="32">
        <v>45686</v>
      </c>
      <c r="Y1336" s="33">
        <f t="shared" si="444"/>
        <v>7829</v>
      </c>
      <c r="Z1336">
        <f>674</f>
        <v>674</v>
      </c>
      <c r="AA1336" s="34"/>
      <c r="AB1336" s="34">
        <f t="shared" si="448"/>
        <v>674</v>
      </c>
      <c r="AC1336" s="12"/>
      <c r="AD1336" s="12"/>
      <c r="AE1336" s="12"/>
      <c r="AF1336" s="12">
        <f t="shared" si="441"/>
        <v>674</v>
      </c>
    </row>
    <row r="1337" spans="1:32" x14ac:dyDescent="0.25">
      <c r="A1337" s="10">
        <v>15</v>
      </c>
      <c r="B1337" s="32">
        <v>45686</v>
      </c>
      <c r="C1337" s="33">
        <f t="shared" si="442"/>
        <v>7871</v>
      </c>
      <c r="D1337" s="34">
        <f>1252+34</f>
        <v>1286</v>
      </c>
      <c r="E1337" s="34"/>
      <c r="F1337" s="34">
        <f t="shared" si="446"/>
        <v>1286</v>
      </c>
      <c r="G1337" s="12"/>
      <c r="H1337" s="12"/>
      <c r="I1337" s="12">
        <v>-111</v>
      </c>
      <c r="J1337" s="12">
        <f t="shared" si="437"/>
        <v>1175</v>
      </c>
      <c r="L1337" s="10">
        <v>15</v>
      </c>
      <c r="M1337" s="32"/>
      <c r="N1337" s="33"/>
      <c r="O1337" s="34"/>
      <c r="P1337" s="34"/>
      <c r="Q1337" s="34">
        <f t="shared" si="447"/>
        <v>0</v>
      </c>
      <c r="R1337" s="12"/>
      <c r="S1337" s="12"/>
      <c r="T1337" s="12"/>
      <c r="U1337" s="12">
        <f t="shared" si="439"/>
        <v>0</v>
      </c>
      <c r="W1337" s="10">
        <v>15</v>
      </c>
      <c r="X1337" s="32"/>
      <c r="Y1337" s="11" t="s">
        <v>28</v>
      </c>
      <c r="Z1337" s="34"/>
      <c r="AA1337" s="34"/>
      <c r="AB1337" s="34">
        <f t="shared" si="448"/>
        <v>0</v>
      </c>
      <c r="AC1337" s="12"/>
      <c r="AD1337" s="12"/>
      <c r="AE1337" s="12"/>
      <c r="AF1337" s="12">
        <f t="shared" si="441"/>
        <v>0</v>
      </c>
    </row>
    <row r="1338" spans="1:32" x14ac:dyDescent="0.25">
      <c r="A1338" s="10">
        <v>16</v>
      </c>
      <c r="B1338" s="32">
        <v>45686</v>
      </c>
      <c r="C1338" s="33">
        <f t="shared" si="442"/>
        <v>7872</v>
      </c>
      <c r="D1338" s="34">
        <f>1252+17</f>
        <v>1269</v>
      </c>
      <c r="E1338" s="34"/>
      <c r="F1338" s="34">
        <f t="shared" si="446"/>
        <v>1269</v>
      </c>
      <c r="G1338" s="12"/>
      <c r="H1338" s="12">
        <v>2</v>
      </c>
      <c r="I1338" s="12"/>
      <c r="J1338" s="12">
        <f t="shared" si="437"/>
        <v>1271</v>
      </c>
      <c r="L1338" s="10">
        <v>16</v>
      </c>
      <c r="M1338" s="32"/>
      <c r="N1338" s="33"/>
      <c r="O1338" s="34"/>
      <c r="P1338" s="34"/>
      <c r="Q1338" s="34">
        <f t="shared" si="447"/>
        <v>0</v>
      </c>
      <c r="R1338" s="12"/>
      <c r="S1338" s="12"/>
      <c r="T1338" s="12"/>
      <c r="U1338" s="12">
        <f t="shared" si="439"/>
        <v>0</v>
      </c>
      <c r="W1338" s="10">
        <v>16</v>
      </c>
      <c r="X1338" s="32"/>
      <c r="Y1338" s="33"/>
      <c r="Z1338" s="34"/>
      <c r="AA1338" s="34"/>
      <c r="AB1338" s="34">
        <f t="shared" si="448"/>
        <v>0</v>
      </c>
      <c r="AC1338" s="12"/>
      <c r="AD1338" s="12"/>
      <c r="AE1338" s="12"/>
      <c r="AF1338" s="12">
        <f t="shared" si="441"/>
        <v>0</v>
      </c>
    </row>
    <row r="1339" spans="1:32" x14ac:dyDescent="0.25">
      <c r="A1339" s="10">
        <v>17</v>
      </c>
      <c r="B1339" s="32">
        <v>45686</v>
      </c>
      <c r="C1339" s="33">
        <v>7851</v>
      </c>
      <c r="D1339" s="37">
        <f>1878+26</f>
        <v>1904</v>
      </c>
      <c r="E1339" s="34"/>
      <c r="F1339" s="34">
        <f t="shared" si="446"/>
        <v>1904</v>
      </c>
      <c r="G1339" s="12"/>
      <c r="H1339" s="12"/>
      <c r="I1339" s="12"/>
      <c r="J1339" s="12">
        <f t="shared" si="437"/>
        <v>1904</v>
      </c>
      <c r="L1339" s="10">
        <v>17</v>
      </c>
      <c r="M1339" s="32"/>
      <c r="N1339" s="33"/>
      <c r="O1339" s="37"/>
      <c r="P1339" s="34"/>
      <c r="Q1339" s="34">
        <f t="shared" si="447"/>
        <v>0</v>
      </c>
      <c r="R1339" s="12"/>
      <c r="S1339" s="12"/>
      <c r="T1339" s="12"/>
      <c r="U1339" s="12">
        <f t="shared" si="439"/>
        <v>0</v>
      </c>
      <c r="W1339" s="10">
        <v>17</v>
      </c>
      <c r="X1339" s="32"/>
      <c r="Y1339" s="33"/>
      <c r="Z1339" s="37"/>
      <c r="AA1339" s="34"/>
      <c r="AB1339" s="34">
        <f t="shared" si="448"/>
        <v>0</v>
      </c>
      <c r="AC1339" s="12"/>
      <c r="AD1339" s="12"/>
      <c r="AE1339" s="12"/>
      <c r="AF1339" s="12">
        <f t="shared" si="441"/>
        <v>0</v>
      </c>
    </row>
    <row r="1340" spans="1:32" x14ac:dyDescent="0.25">
      <c r="A1340" s="10">
        <v>18</v>
      </c>
      <c r="B1340" s="32">
        <v>45686</v>
      </c>
      <c r="C1340" s="33">
        <f t="shared" si="442"/>
        <v>7852</v>
      </c>
      <c r="D1340" s="34">
        <f>626*148+614+596*40+852*10+832+205*8</f>
        <v>128094</v>
      </c>
      <c r="E1340" s="34">
        <v>-1872</v>
      </c>
      <c r="F1340" s="34">
        <f t="shared" si="446"/>
        <v>126222</v>
      </c>
      <c r="G1340" s="12"/>
      <c r="H1340" s="12">
        <f>480+2886+390</f>
        <v>3756</v>
      </c>
      <c r="I1340" s="12">
        <f>-168+-504+-18+-13.5+-28.5</f>
        <v>-732</v>
      </c>
      <c r="J1340" s="12">
        <f t="shared" si="437"/>
        <v>129246</v>
      </c>
      <c r="L1340" s="10">
        <v>18</v>
      </c>
      <c r="M1340" s="32"/>
      <c r="N1340" s="33"/>
      <c r="O1340" s="34"/>
      <c r="P1340" s="34"/>
      <c r="Q1340" s="34">
        <f t="shared" si="447"/>
        <v>0</v>
      </c>
      <c r="R1340" s="12"/>
      <c r="S1340" s="12"/>
      <c r="T1340" s="12"/>
      <c r="U1340" s="12">
        <f t="shared" si="439"/>
        <v>0</v>
      </c>
      <c r="W1340" s="10">
        <v>18</v>
      </c>
      <c r="X1340" s="32"/>
      <c r="Y1340" s="33"/>
      <c r="Z1340" s="34"/>
      <c r="AA1340" s="34"/>
      <c r="AB1340" s="34">
        <f t="shared" si="448"/>
        <v>0</v>
      </c>
      <c r="AC1340" s="12"/>
      <c r="AD1340" s="12"/>
      <c r="AE1340" s="12"/>
      <c r="AF1340" s="12">
        <f t="shared" si="441"/>
        <v>0</v>
      </c>
    </row>
    <row r="1341" spans="1:32" x14ac:dyDescent="0.25">
      <c r="A1341" s="10">
        <v>19</v>
      </c>
      <c r="B1341" s="32"/>
      <c r="C1341" s="11" t="s">
        <v>28</v>
      </c>
      <c r="D1341" s="34"/>
      <c r="E1341" s="34"/>
      <c r="F1341" s="34">
        <f t="shared" si="446"/>
        <v>0</v>
      </c>
      <c r="G1341" s="12"/>
      <c r="H1341" s="12"/>
      <c r="I1341" s="12"/>
      <c r="J1341" s="12">
        <f t="shared" si="437"/>
        <v>0</v>
      </c>
      <c r="L1341" s="10">
        <v>19</v>
      </c>
      <c r="M1341" s="32"/>
      <c r="N1341" s="33"/>
      <c r="O1341" s="34"/>
      <c r="P1341" s="34"/>
      <c r="Q1341" s="34">
        <f t="shared" si="447"/>
        <v>0</v>
      </c>
      <c r="R1341" s="12"/>
      <c r="S1341" s="12"/>
      <c r="T1341" s="12"/>
      <c r="U1341" s="12">
        <f t="shared" si="439"/>
        <v>0</v>
      </c>
      <c r="W1341" s="10">
        <v>19</v>
      </c>
      <c r="X1341" s="32"/>
      <c r="Y1341" s="33"/>
      <c r="Z1341" s="34"/>
      <c r="AA1341" s="34"/>
      <c r="AB1341" s="34">
        <f t="shared" si="448"/>
        <v>0</v>
      </c>
      <c r="AC1341" s="12"/>
      <c r="AD1341" s="12"/>
      <c r="AE1341" s="12"/>
      <c r="AF1341" s="12">
        <f t="shared" si="441"/>
        <v>0</v>
      </c>
    </row>
    <row r="1342" spans="1:32" x14ac:dyDescent="0.25">
      <c r="A1342" s="10">
        <v>20</v>
      </c>
      <c r="B1342" s="32"/>
      <c r="C1342" s="33"/>
      <c r="D1342" s="34"/>
      <c r="E1342" s="34"/>
      <c r="F1342" s="34">
        <f t="shared" si="446"/>
        <v>0</v>
      </c>
      <c r="G1342" s="12"/>
      <c r="H1342" s="12"/>
      <c r="I1342" s="12"/>
      <c r="J1342" s="12">
        <f t="shared" si="437"/>
        <v>0</v>
      </c>
      <c r="L1342" s="10">
        <v>20</v>
      </c>
      <c r="M1342" s="32"/>
      <c r="N1342" s="33"/>
      <c r="O1342" s="34"/>
      <c r="P1342" s="34"/>
      <c r="Q1342" s="34">
        <f t="shared" si="447"/>
        <v>0</v>
      </c>
      <c r="R1342" s="12"/>
      <c r="S1342" s="12"/>
      <c r="T1342" s="12"/>
      <c r="U1342" s="12">
        <f t="shared" si="439"/>
        <v>0</v>
      </c>
      <c r="W1342" s="10">
        <v>20</v>
      </c>
      <c r="X1342" s="32"/>
      <c r="Z1342" s="34"/>
      <c r="AA1342" s="34"/>
      <c r="AB1342" s="34">
        <f t="shared" si="448"/>
        <v>0</v>
      </c>
      <c r="AC1342" s="12"/>
      <c r="AD1342" s="12"/>
      <c r="AE1342" s="12"/>
      <c r="AF1342" s="12">
        <f t="shared" si="441"/>
        <v>0</v>
      </c>
    </row>
    <row r="1343" spans="1:32" x14ac:dyDescent="0.25">
      <c r="A1343" s="10">
        <v>21</v>
      </c>
      <c r="B1343" s="32"/>
      <c r="C1343" s="33"/>
      <c r="D1343" s="50"/>
      <c r="E1343" s="33"/>
      <c r="F1343" s="34">
        <f t="shared" si="446"/>
        <v>0</v>
      </c>
      <c r="G1343" s="10"/>
      <c r="H1343" s="10"/>
      <c r="I1343" s="10"/>
      <c r="J1343" s="12">
        <f t="shared" si="437"/>
        <v>0</v>
      </c>
      <c r="L1343" s="10">
        <v>21</v>
      </c>
      <c r="M1343" s="32"/>
      <c r="N1343" s="33"/>
      <c r="O1343" s="50"/>
      <c r="P1343" s="33"/>
      <c r="Q1343" s="34">
        <f t="shared" si="447"/>
        <v>0</v>
      </c>
      <c r="R1343" s="10"/>
      <c r="S1343" s="10"/>
      <c r="T1343" s="10"/>
      <c r="U1343" s="12">
        <f t="shared" si="439"/>
        <v>0</v>
      </c>
      <c r="W1343" s="10">
        <v>21</v>
      </c>
      <c r="X1343" s="32"/>
      <c r="Y1343" s="33"/>
      <c r="Z1343" s="50"/>
      <c r="AA1343" s="33"/>
      <c r="AB1343" s="34">
        <f t="shared" si="448"/>
        <v>0</v>
      </c>
      <c r="AC1343" s="10"/>
      <c r="AD1343" s="10"/>
      <c r="AE1343" s="10"/>
      <c r="AF1343" s="12">
        <f t="shared" si="441"/>
        <v>0</v>
      </c>
    </row>
    <row r="1344" spans="1:32" x14ac:dyDescent="0.25">
      <c r="A1344" s="10">
        <v>22</v>
      </c>
      <c r="B1344" s="32"/>
      <c r="C1344" s="33"/>
      <c r="D1344" s="49"/>
      <c r="E1344" s="33"/>
      <c r="F1344" s="34">
        <f t="shared" si="446"/>
        <v>0</v>
      </c>
      <c r="G1344" s="10"/>
      <c r="H1344" s="10"/>
      <c r="I1344" s="10"/>
      <c r="J1344" s="12">
        <f t="shared" si="437"/>
        <v>0</v>
      </c>
      <c r="L1344" s="10">
        <v>22</v>
      </c>
      <c r="M1344" s="32"/>
      <c r="N1344" s="33"/>
      <c r="O1344" s="49"/>
      <c r="P1344" s="33"/>
      <c r="Q1344" s="34">
        <f t="shared" si="447"/>
        <v>0</v>
      </c>
      <c r="R1344" s="10"/>
      <c r="S1344" s="10"/>
      <c r="T1344" s="10"/>
      <c r="U1344" s="12">
        <f t="shared" si="439"/>
        <v>0</v>
      </c>
      <c r="W1344" s="10">
        <v>22</v>
      </c>
      <c r="X1344" s="32"/>
      <c r="Z1344" s="49"/>
      <c r="AA1344" s="33"/>
      <c r="AB1344" s="34">
        <f t="shared" si="448"/>
        <v>0</v>
      </c>
      <c r="AC1344" s="10"/>
      <c r="AD1344" s="10"/>
      <c r="AE1344" s="10"/>
      <c r="AF1344" s="12">
        <f t="shared" si="441"/>
        <v>0</v>
      </c>
    </row>
    <row r="1345" spans="1:32" x14ac:dyDescent="0.25">
      <c r="A1345" s="10">
        <v>23</v>
      </c>
      <c r="B1345" s="32"/>
      <c r="D1345" s="51"/>
      <c r="E1345"/>
      <c r="F1345" s="34">
        <f t="shared" si="446"/>
        <v>0</v>
      </c>
      <c r="G1345" s="10"/>
      <c r="H1345" s="10"/>
      <c r="I1345" s="10"/>
      <c r="J1345" s="12">
        <f t="shared" si="437"/>
        <v>0</v>
      </c>
      <c r="L1345" s="10">
        <v>23</v>
      </c>
      <c r="M1345" s="32"/>
      <c r="N1345" s="33"/>
      <c r="O1345" s="51"/>
      <c r="Q1345" s="34">
        <f t="shared" si="447"/>
        <v>0</v>
      </c>
      <c r="R1345" s="10"/>
      <c r="S1345" s="10"/>
      <c r="T1345" s="10"/>
      <c r="U1345" s="12">
        <f t="shared" si="439"/>
        <v>0</v>
      </c>
      <c r="W1345" s="10">
        <v>23</v>
      </c>
      <c r="X1345" s="32"/>
      <c r="Y1345" s="33"/>
      <c r="Z1345" s="51"/>
      <c r="AB1345" s="34">
        <f t="shared" si="448"/>
        <v>0</v>
      </c>
      <c r="AC1345" s="10"/>
      <c r="AD1345" s="10"/>
      <c r="AE1345" s="10"/>
      <c r="AF1345" s="12">
        <f t="shared" si="441"/>
        <v>0</v>
      </c>
    </row>
    <row r="1346" spans="1:32" x14ac:dyDescent="0.25">
      <c r="A1346" s="10">
        <v>24</v>
      </c>
      <c r="B1346" s="32"/>
      <c r="C1346" s="33"/>
      <c r="D1346" s="51"/>
      <c r="E1346" s="33"/>
      <c r="F1346" s="34">
        <f t="shared" si="446"/>
        <v>0</v>
      </c>
      <c r="G1346" s="10"/>
      <c r="H1346" s="10"/>
      <c r="I1346" s="10"/>
      <c r="J1346" s="12">
        <f t="shared" si="437"/>
        <v>0</v>
      </c>
      <c r="L1346" s="10">
        <v>24</v>
      </c>
      <c r="M1346" s="32"/>
      <c r="N1346" s="33"/>
      <c r="O1346" s="51"/>
      <c r="P1346" s="33"/>
      <c r="Q1346" s="34">
        <f t="shared" si="447"/>
        <v>0</v>
      </c>
      <c r="R1346" s="10"/>
      <c r="S1346" s="10"/>
      <c r="T1346" s="10"/>
      <c r="U1346" s="12">
        <f t="shared" si="439"/>
        <v>0</v>
      </c>
      <c r="W1346" s="10">
        <v>24</v>
      </c>
      <c r="X1346" s="32"/>
      <c r="Y1346" s="33"/>
      <c r="Z1346" s="51"/>
      <c r="AA1346" s="33"/>
      <c r="AB1346" s="34">
        <f t="shared" si="448"/>
        <v>0</v>
      </c>
      <c r="AC1346" s="10"/>
      <c r="AD1346" s="10"/>
      <c r="AE1346" s="10"/>
      <c r="AF1346" s="12">
        <f t="shared" si="441"/>
        <v>0</v>
      </c>
    </row>
    <row r="1347" spans="1:32" x14ac:dyDescent="0.25">
      <c r="A1347" s="10">
        <v>25</v>
      </c>
      <c r="B1347" s="32"/>
      <c r="C1347" s="33"/>
      <c r="D1347" s="51"/>
      <c r="E1347" s="33"/>
      <c r="F1347" s="34">
        <f t="shared" si="446"/>
        <v>0</v>
      </c>
      <c r="G1347" s="10"/>
      <c r="H1347" s="10"/>
      <c r="I1347" s="10"/>
      <c r="J1347" s="12">
        <f t="shared" si="437"/>
        <v>0</v>
      </c>
      <c r="L1347" s="10">
        <v>25</v>
      </c>
      <c r="M1347" s="32"/>
      <c r="O1347" s="51"/>
      <c r="P1347" s="33"/>
      <c r="Q1347" s="34">
        <f t="shared" si="447"/>
        <v>0</v>
      </c>
      <c r="R1347" s="10"/>
      <c r="S1347" s="10"/>
      <c r="T1347" s="10"/>
      <c r="U1347" s="12">
        <f t="shared" si="439"/>
        <v>0</v>
      </c>
      <c r="W1347" s="10">
        <v>25</v>
      </c>
      <c r="X1347" s="32"/>
      <c r="Z1347" s="51"/>
      <c r="AA1347" s="33"/>
      <c r="AB1347" s="34">
        <f t="shared" si="448"/>
        <v>0</v>
      </c>
      <c r="AC1347" s="10"/>
      <c r="AD1347" s="10"/>
      <c r="AE1347" s="10"/>
      <c r="AF1347" s="12">
        <f t="shared" si="441"/>
        <v>0</v>
      </c>
    </row>
    <row r="1348" spans="1:32" x14ac:dyDescent="0.25">
      <c r="A1348" s="10">
        <v>26</v>
      </c>
      <c r="B1348" s="32"/>
      <c r="C1348" s="33"/>
      <c r="D1348" s="51"/>
      <c r="E1348" s="33"/>
      <c r="F1348" s="34">
        <f t="shared" si="446"/>
        <v>0</v>
      </c>
      <c r="G1348" s="10"/>
      <c r="H1348" s="10"/>
      <c r="I1348" s="10"/>
      <c r="J1348" s="12">
        <f t="shared" si="437"/>
        <v>0</v>
      </c>
      <c r="L1348" s="10">
        <v>26</v>
      </c>
      <c r="M1348" s="32"/>
      <c r="N1348" s="33"/>
      <c r="O1348" s="51"/>
      <c r="P1348" s="33"/>
      <c r="Q1348" s="34">
        <f t="shared" si="447"/>
        <v>0</v>
      </c>
      <c r="R1348" s="10"/>
      <c r="S1348" s="10"/>
      <c r="T1348" s="10"/>
      <c r="U1348" s="12">
        <f t="shared" si="439"/>
        <v>0</v>
      </c>
      <c r="W1348" s="10">
        <v>26</v>
      </c>
      <c r="X1348" s="32"/>
      <c r="Z1348" s="51"/>
      <c r="AA1348" s="33"/>
      <c r="AB1348" s="34">
        <f t="shared" si="448"/>
        <v>0</v>
      </c>
      <c r="AC1348" s="10"/>
      <c r="AD1348" s="10"/>
      <c r="AE1348" s="10"/>
      <c r="AF1348" s="12">
        <f t="shared" si="441"/>
        <v>0</v>
      </c>
    </row>
    <row r="1349" spans="1:32" x14ac:dyDescent="0.25">
      <c r="A1349" s="10">
        <v>27</v>
      </c>
      <c r="B1349" s="32"/>
      <c r="C1349" s="33"/>
      <c r="D1349" s="51"/>
      <c r="E1349" s="33"/>
      <c r="F1349" s="34">
        <f t="shared" si="446"/>
        <v>0</v>
      </c>
      <c r="G1349" s="10"/>
      <c r="H1349" s="10"/>
      <c r="I1349" s="10"/>
      <c r="J1349" s="12">
        <f t="shared" si="437"/>
        <v>0</v>
      </c>
      <c r="L1349" s="10">
        <v>27</v>
      </c>
      <c r="M1349" s="32"/>
      <c r="N1349" s="33"/>
      <c r="O1349" s="51"/>
      <c r="P1349" s="33"/>
      <c r="Q1349" s="34">
        <f t="shared" si="447"/>
        <v>0</v>
      </c>
      <c r="R1349" s="10"/>
      <c r="S1349" s="10"/>
      <c r="T1349" s="10"/>
      <c r="U1349" s="12">
        <f t="shared" si="439"/>
        <v>0</v>
      </c>
      <c r="W1349" s="10">
        <v>27</v>
      </c>
      <c r="X1349" s="32"/>
      <c r="Y1349" s="33"/>
      <c r="Z1349" s="51"/>
      <c r="AA1349" s="33"/>
      <c r="AB1349" s="34">
        <f t="shared" si="448"/>
        <v>0</v>
      </c>
      <c r="AC1349" s="10"/>
      <c r="AD1349" s="10"/>
      <c r="AE1349" s="10"/>
      <c r="AF1349" s="12">
        <f t="shared" si="441"/>
        <v>0</v>
      </c>
    </row>
    <row r="1350" spans="1:32" x14ac:dyDescent="0.25">
      <c r="A1350" s="10">
        <v>28</v>
      </c>
      <c r="B1350" s="32"/>
      <c r="C1350" s="33"/>
      <c r="D1350" s="51"/>
      <c r="E1350" s="33"/>
      <c r="F1350" s="34">
        <f t="shared" si="446"/>
        <v>0</v>
      </c>
      <c r="G1350" s="10"/>
      <c r="H1350" s="10"/>
      <c r="I1350" s="10"/>
      <c r="J1350" s="12">
        <f t="shared" si="437"/>
        <v>0</v>
      </c>
      <c r="L1350" s="10">
        <v>28</v>
      </c>
      <c r="M1350" s="32"/>
      <c r="N1350" s="33"/>
      <c r="O1350" s="51"/>
      <c r="P1350" s="33"/>
      <c r="Q1350" s="34">
        <f t="shared" si="447"/>
        <v>0</v>
      </c>
      <c r="R1350" s="10"/>
      <c r="S1350" s="10"/>
      <c r="T1350" s="10"/>
      <c r="U1350" s="12">
        <f t="shared" si="439"/>
        <v>0</v>
      </c>
      <c r="W1350" s="10">
        <v>28</v>
      </c>
      <c r="X1350" s="32"/>
      <c r="Z1350" s="51"/>
      <c r="AA1350" s="33"/>
      <c r="AB1350" s="34">
        <f t="shared" si="448"/>
        <v>0</v>
      </c>
      <c r="AC1350" s="10"/>
      <c r="AD1350" s="10"/>
      <c r="AE1350" s="10"/>
      <c r="AF1350" s="12">
        <f t="shared" si="441"/>
        <v>0</v>
      </c>
    </row>
    <row r="1351" spans="1:32" x14ac:dyDescent="0.25">
      <c r="A1351" s="10">
        <v>29</v>
      </c>
      <c r="B1351" s="32"/>
      <c r="C1351" s="33"/>
      <c r="D1351" s="51"/>
      <c r="E1351" s="33"/>
      <c r="F1351" s="34">
        <f t="shared" si="446"/>
        <v>0</v>
      </c>
      <c r="G1351" s="10"/>
      <c r="H1351" s="10"/>
      <c r="I1351" s="10"/>
      <c r="J1351" s="12">
        <f t="shared" si="437"/>
        <v>0</v>
      </c>
      <c r="L1351" s="10">
        <v>29</v>
      </c>
      <c r="M1351" s="32"/>
      <c r="N1351" s="33"/>
      <c r="O1351" s="51"/>
      <c r="P1351" s="33"/>
      <c r="Q1351" s="34">
        <f t="shared" si="447"/>
        <v>0</v>
      </c>
      <c r="R1351" s="10"/>
      <c r="S1351" s="10"/>
      <c r="T1351" s="10"/>
      <c r="U1351" s="12">
        <f t="shared" si="439"/>
        <v>0</v>
      </c>
      <c r="W1351" s="10">
        <v>29</v>
      </c>
      <c r="X1351" s="32"/>
      <c r="Z1351" s="51"/>
      <c r="AA1351" s="33"/>
      <c r="AB1351" s="34">
        <f t="shared" si="448"/>
        <v>0</v>
      </c>
      <c r="AC1351" s="10"/>
      <c r="AD1351" s="10"/>
      <c r="AE1351" s="10"/>
      <c r="AF1351" s="12">
        <f t="shared" si="441"/>
        <v>0</v>
      </c>
    </row>
    <row r="1352" spans="1:32" x14ac:dyDescent="0.25">
      <c r="A1352" s="10">
        <v>30</v>
      </c>
      <c r="B1352" s="32"/>
      <c r="C1352" s="70"/>
      <c r="D1352" s="51"/>
      <c r="E1352" s="33"/>
      <c r="F1352" s="34">
        <f t="shared" si="446"/>
        <v>0</v>
      </c>
      <c r="G1352" s="10"/>
      <c r="H1352" s="10"/>
      <c r="I1352" s="10"/>
      <c r="J1352" s="12">
        <f t="shared" si="437"/>
        <v>0</v>
      </c>
      <c r="L1352" s="10">
        <v>30</v>
      </c>
      <c r="M1352" s="32"/>
      <c r="N1352" s="33"/>
      <c r="O1352" s="51"/>
      <c r="P1352" s="33"/>
      <c r="Q1352" s="34">
        <f t="shared" si="447"/>
        <v>0</v>
      </c>
      <c r="R1352" s="10"/>
      <c r="S1352" s="10"/>
      <c r="T1352" s="10"/>
      <c r="U1352" s="12">
        <f t="shared" si="439"/>
        <v>0</v>
      </c>
      <c r="W1352" s="10">
        <v>30</v>
      </c>
      <c r="X1352" s="32"/>
      <c r="Y1352" s="33"/>
      <c r="Z1352" s="51"/>
      <c r="AA1352" s="33"/>
      <c r="AB1352" s="34">
        <f t="shared" si="448"/>
        <v>0</v>
      </c>
      <c r="AC1352" s="10"/>
      <c r="AD1352" s="10"/>
      <c r="AE1352" s="10"/>
      <c r="AF1352" s="12">
        <f t="shared" si="441"/>
        <v>0</v>
      </c>
    </row>
    <row r="1353" spans="1:32" x14ac:dyDescent="0.25">
      <c r="A1353" s="10">
        <v>31</v>
      </c>
      <c r="B1353" s="32"/>
      <c r="C1353" s="33"/>
      <c r="D1353" s="51"/>
      <c r="E1353" s="33"/>
      <c r="F1353" s="34">
        <f t="shared" si="446"/>
        <v>0</v>
      </c>
      <c r="G1353" s="10"/>
      <c r="H1353" s="10"/>
      <c r="I1353" s="10"/>
      <c r="J1353" s="12">
        <f t="shared" si="437"/>
        <v>0</v>
      </c>
      <c r="L1353" s="10">
        <v>31</v>
      </c>
      <c r="M1353" s="32"/>
      <c r="O1353" s="51"/>
      <c r="P1353" s="33"/>
      <c r="Q1353" s="34">
        <f t="shared" si="447"/>
        <v>0</v>
      </c>
      <c r="R1353" s="10"/>
      <c r="S1353" s="10"/>
      <c r="T1353" s="10"/>
      <c r="U1353" s="12">
        <f t="shared" si="439"/>
        <v>0</v>
      </c>
      <c r="W1353" s="10">
        <v>31</v>
      </c>
      <c r="X1353" s="32"/>
      <c r="Z1353" s="51"/>
      <c r="AA1353" s="33"/>
      <c r="AB1353" s="34">
        <f t="shared" si="448"/>
        <v>0</v>
      </c>
      <c r="AC1353" s="10"/>
      <c r="AD1353" s="10"/>
      <c r="AE1353" s="10"/>
      <c r="AF1353" s="12">
        <f t="shared" si="441"/>
        <v>0</v>
      </c>
    </row>
    <row r="1354" spans="1:32" x14ac:dyDescent="0.25">
      <c r="A1354" s="10">
        <v>32</v>
      </c>
      <c r="B1354" s="32"/>
      <c r="C1354" s="70"/>
      <c r="D1354" s="51"/>
      <c r="E1354" s="33"/>
      <c r="F1354" s="34">
        <f t="shared" si="446"/>
        <v>0</v>
      </c>
      <c r="G1354" s="10"/>
      <c r="H1354" s="10"/>
      <c r="I1354" s="10"/>
      <c r="J1354" s="12">
        <f t="shared" si="437"/>
        <v>0</v>
      </c>
      <c r="L1354" s="10">
        <v>32</v>
      </c>
      <c r="M1354" s="32"/>
      <c r="N1354" s="33"/>
      <c r="O1354" s="51"/>
      <c r="P1354" s="33"/>
      <c r="Q1354" s="34">
        <f t="shared" si="447"/>
        <v>0</v>
      </c>
      <c r="R1354" s="10"/>
      <c r="S1354" s="10"/>
      <c r="T1354" s="10"/>
      <c r="U1354" s="12">
        <f t="shared" si="439"/>
        <v>0</v>
      </c>
      <c r="W1354" s="10">
        <v>32</v>
      </c>
      <c r="X1354" s="32"/>
      <c r="Y1354" s="33"/>
      <c r="Z1354" s="51"/>
      <c r="AA1354" s="33"/>
      <c r="AB1354" s="34">
        <f t="shared" si="448"/>
        <v>0</v>
      </c>
      <c r="AC1354" s="10"/>
      <c r="AD1354" s="10"/>
      <c r="AE1354" s="10"/>
      <c r="AF1354" s="12">
        <f t="shared" si="441"/>
        <v>0</v>
      </c>
    </row>
    <row r="1355" spans="1:32" x14ac:dyDescent="0.25">
      <c r="A1355" s="10">
        <v>33</v>
      </c>
      <c r="B1355" s="32"/>
      <c r="C1355" s="33"/>
      <c r="D1355" s="51"/>
      <c r="E1355" s="33"/>
      <c r="F1355" s="34">
        <f t="shared" si="446"/>
        <v>0</v>
      </c>
      <c r="G1355" s="10"/>
      <c r="H1355" s="10"/>
      <c r="I1355" s="10"/>
      <c r="J1355" s="12">
        <f t="shared" si="437"/>
        <v>0</v>
      </c>
      <c r="L1355" s="10">
        <v>33</v>
      </c>
      <c r="M1355" s="32"/>
      <c r="N1355" s="33"/>
      <c r="O1355" s="51"/>
      <c r="P1355" s="33"/>
      <c r="Q1355" s="34">
        <f t="shared" si="447"/>
        <v>0</v>
      </c>
      <c r="R1355" s="10"/>
      <c r="S1355" s="10"/>
      <c r="T1355" s="10"/>
      <c r="U1355" s="12">
        <f t="shared" si="439"/>
        <v>0</v>
      </c>
      <c r="W1355" s="10">
        <v>33</v>
      </c>
      <c r="X1355" s="32"/>
      <c r="Y1355" s="33"/>
      <c r="Z1355" s="51"/>
      <c r="AA1355" s="33"/>
      <c r="AB1355" s="34">
        <f t="shared" si="448"/>
        <v>0</v>
      </c>
      <c r="AC1355" s="10"/>
      <c r="AD1355" s="10"/>
      <c r="AE1355" s="10"/>
      <c r="AF1355" s="12">
        <f t="shared" si="441"/>
        <v>0</v>
      </c>
    </row>
    <row r="1356" spans="1:32" x14ac:dyDescent="0.25">
      <c r="A1356" s="10">
        <v>34</v>
      </c>
      <c r="B1356" s="32"/>
      <c r="C1356" s="33"/>
      <c r="D1356" s="51"/>
      <c r="E1356" s="33"/>
      <c r="F1356" s="34">
        <f t="shared" si="446"/>
        <v>0</v>
      </c>
      <c r="G1356" s="10"/>
      <c r="H1356" s="10"/>
      <c r="I1356" s="10"/>
      <c r="J1356" s="12">
        <f t="shared" si="437"/>
        <v>0</v>
      </c>
      <c r="L1356" s="10">
        <v>34</v>
      </c>
      <c r="M1356" s="32"/>
      <c r="N1356" s="33"/>
      <c r="O1356" s="51"/>
      <c r="P1356" s="33"/>
      <c r="Q1356" s="34">
        <f t="shared" si="447"/>
        <v>0</v>
      </c>
      <c r="R1356" s="10"/>
      <c r="S1356" s="10"/>
      <c r="T1356" s="10"/>
      <c r="U1356" s="12">
        <f t="shared" si="439"/>
        <v>0</v>
      </c>
      <c r="W1356" s="10">
        <v>34</v>
      </c>
      <c r="X1356" s="32"/>
      <c r="Y1356" s="33"/>
      <c r="Z1356" s="51"/>
      <c r="AA1356" s="33"/>
      <c r="AB1356" s="34">
        <f t="shared" ref="AB1356:AB1361" si="449">SUM(Z1356:AA1356)</f>
        <v>0</v>
      </c>
      <c r="AC1356" s="10"/>
      <c r="AD1356" s="10"/>
      <c r="AE1356" s="10"/>
      <c r="AF1356" s="12">
        <f t="shared" si="441"/>
        <v>0</v>
      </c>
    </row>
    <row r="1357" spans="1:32" x14ac:dyDescent="0.25">
      <c r="A1357" s="10">
        <v>35</v>
      </c>
      <c r="B1357" s="32"/>
      <c r="C1357" s="33"/>
      <c r="D1357" s="51"/>
      <c r="E1357" s="33"/>
      <c r="F1357" s="34">
        <f t="shared" si="446"/>
        <v>0</v>
      </c>
      <c r="G1357" s="10"/>
      <c r="H1357" s="10"/>
      <c r="I1357" s="10"/>
      <c r="J1357" s="12">
        <f t="shared" si="437"/>
        <v>0</v>
      </c>
      <c r="L1357" s="10">
        <v>35</v>
      </c>
      <c r="M1357" s="32"/>
      <c r="N1357" s="33"/>
      <c r="O1357" s="51"/>
      <c r="P1357" s="33"/>
      <c r="Q1357" s="34">
        <f t="shared" si="447"/>
        <v>0</v>
      </c>
      <c r="R1357" s="10"/>
      <c r="S1357" s="10"/>
      <c r="T1357" s="10"/>
      <c r="U1357" s="12">
        <f t="shared" si="439"/>
        <v>0</v>
      </c>
      <c r="W1357" s="10">
        <v>35</v>
      </c>
      <c r="X1357" s="32"/>
      <c r="Y1357" s="33"/>
      <c r="Z1357" s="51"/>
      <c r="AA1357" s="33"/>
      <c r="AB1357" s="34">
        <f t="shared" si="449"/>
        <v>0</v>
      </c>
      <c r="AC1357" s="10"/>
      <c r="AD1357" s="10"/>
      <c r="AE1357" s="10"/>
      <c r="AF1357" s="12">
        <f t="shared" si="441"/>
        <v>0</v>
      </c>
    </row>
    <row r="1358" spans="1:32" x14ac:dyDescent="0.25">
      <c r="A1358" s="10">
        <v>36</v>
      </c>
      <c r="B1358" s="32"/>
      <c r="C1358" s="33"/>
      <c r="D1358" s="51"/>
      <c r="E1358" s="33"/>
      <c r="F1358" s="34">
        <f t="shared" si="446"/>
        <v>0</v>
      </c>
      <c r="G1358" s="10"/>
      <c r="H1358" s="10"/>
      <c r="I1358" s="10"/>
      <c r="J1358" s="12">
        <f t="shared" si="437"/>
        <v>0</v>
      </c>
      <c r="L1358" s="10">
        <v>36</v>
      </c>
      <c r="M1358" s="32"/>
      <c r="N1358" s="33"/>
      <c r="O1358" s="51"/>
      <c r="P1358" s="33"/>
      <c r="Q1358" s="34">
        <f t="shared" si="447"/>
        <v>0</v>
      </c>
      <c r="R1358" s="10"/>
      <c r="S1358" s="10"/>
      <c r="T1358" s="10"/>
      <c r="U1358" s="12">
        <f t="shared" si="439"/>
        <v>0</v>
      </c>
      <c r="W1358" s="10">
        <v>36</v>
      </c>
      <c r="X1358" s="32"/>
      <c r="Y1358" s="33"/>
      <c r="Z1358" s="51"/>
      <c r="AA1358" s="33"/>
      <c r="AB1358" s="34">
        <f t="shared" si="449"/>
        <v>0</v>
      </c>
      <c r="AC1358" s="10"/>
      <c r="AD1358" s="10"/>
      <c r="AE1358" s="10"/>
      <c r="AF1358" s="12">
        <f t="shared" si="441"/>
        <v>0</v>
      </c>
    </row>
    <row r="1359" spans="1:32" x14ac:dyDescent="0.25">
      <c r="A1359" s="10">
        <v>37</v>
      </c>
      <c r="B1359" s="32"/>
      <c r="C1359" s="33"/>
      <c r="D1359" s="51"/>
      <c r="E1359" s="33"/>
      <c r="F1359" s="34">
        <f t="shared" si="446"/>
        <v>0</v>
      </c>
      <c r="G1359" s="10"/>
      <c r="H1359" s="10"/>
      <c r="I1359" s="10"/>
      <c r="J1359" s="12">
        <f t="shared" si="437"/>
        <v>0</v>
      </c>
      <c r="L1359" s="10">
        <v>37</v>
      </c>
      <c r="M1359" s="32"/>
      <c r="O1359" s="51"/>
      <c r="P1359" s="33"/>
      <c r="Q1359" s="34">
        <f t="shared" si="447"/>
        <v>0</v>
      </c>
      <c r="R1359" s="10"/>
      <c r="S1359" s="10"/>
      <c r="T1359" s="10"/>
      <c r="U1359" s="12">
        <f t="shared" si="439"/>
        <v>0</v>
      </c>
      <c r="W1359" s="10">
        <v>37</v>
      </c>
      <c r="X1359" s="32"/>
      <c r="Y1359" s="33"/>
      <c r="Z1359" s="51"/>
      <c r="AA1359" s="33"/>
      <c r="AB1359" s="34">
        <f t="shared" si="449"/>
        <v>0</v>
      </c>
      <c r="AC1359" s="10"/>
      <c r="AD1359" s="10"/>
      <c r="AE1359" s="10"/>
      <c r="AF1359" s="12">
        <f t="shared" si="441"/>
        <v>0</v>
      </c>
    </row>
    <row r="1360" spans="1:32" x14ac:dyDescent="0.25">
      <c r="A1360" s="10">
        <v>38</v>
      </c>
      <c r="B1360" s="32"/>
      <c r="C1360" s="33"/>
      <c r="D1360" s="51"/>
      <c r="E1360" s="33"/>
      <c r="F1360" s="34">
        <f t="shared" si="446"/>
        <v>0</v>
      </c>
      <c r="G1360" s="10"/>
      <c r="H1360" s="10"/>
      <c r="I1360" s="10"/>
      <c r="J1360" s="12">
        <f t="shared" si="437"/>
        <v>0</v>
      </c>
      <c r="L1360" s="10">
        <v>38</v>
      </c>
      <c r="M1360" s="32"/>
      <c r="N1360" s="33"/>
      <c r="O1360" s="51"/>
      <c r="P1360" s="33"/>
      <c r="Q1360" s="34">
        <f t="shared" si="447"/>
        <v>0</v>
      </c>
      <c r="R1360" s="10"/>
      <c r="S1360" s="10"/>
      <c r="T1360" s="10"/>
      <c r="U1360" s="12">
        <f t="shared" si="439"/>
        <v>0</v>
      </c>
      <c r="W1360" s="10">
        <v>38</v>
      </c>
      <c r="X1360" s="32"/>
      <c r="Y1360" s="33"/>
      <c r="Z1360" s="51"/>
      <c r="AA1360" s="33"/>
      <c r="AB1360" s="34">
        <f t="shared" si="449"/>
        <v>0</v>
      </c>
      <c r="AC1360" s="10"/>
      <c r="AD1360" s="10"/>
      <c r="AE1360" s="10"/>
      <c r="AF1360" s="12">
        <f t="shared" si="441"/>
        <v>0</v>
      </c>
    </row>
    <row r="1361" spans="1:32" x14ac:dyDescent="0.25">
      <c r="A1361" s="10">
        <v>39</v>
      </c>
      <c r="B1361" s="32"/>
      <c r="C1361" s="33"/>
      <c r="D1361" s="51"/>
      <c r="E1361" s="33"/>
      <c r="F1361" s="34">
        <f t="shared" si="446"/>
        <v>0</v>
      </c>
      <c r="G1361" s="10"/>
      <c r="H1361" s="10"/>
      <c r="I1361" s="10"/>
      <c r="J1361" s="12">
        <f t="shared" si="437"/>
        <v>0</v>
      </c>
      <c r="L1361" s="10">
        <v>39</v>
      </c>
      <c r="M1361" s="32"/>
      <c r="N1361" s="33"/>
      <c r="O1361" s="51"/>
      <c r="P1361" s="33"/>
      <c r="Q1361" s="34">
        <f t="shared" si="447"/>
        <v>0</v>
      </c>
      <c r="R1361" s="10"/>
      <c r="S1361" s="10"/>
      <c r="T1361" s="10"/>
      <c r="U1361" s="12">
        <f t="shared" si="439"/>
        <v>0</v>
      </c>
      <c r="W1361" s="10">
        <v>39</v>
      </c>
      <c r="X1361" s="32"/>
      <c r="Y1361" s="33"/>
      <c r="Z1361" s="51"/>
      <c r="AA1361" s="33"/>
      <c r="AB1361" s="34">
        <f t="shared" si="449"/>
        <v>0</v>
      </c>
      <c r="AC1361" s="10"/>
      <c r="AD1361" s="10"/>
      <c r="AE1361" s="10"/>
      <c r="AF1361" s="12">
        <f t="shared" si="441"/>
        <v>0</v>
      </c>
    </row>
    <row r="1362" spans="1:32" x14ac:dyDescent="0.25">
      <c r="A1362" s="10"/>
      <c r="B1362" s="32"/>
      <c r="C1362"/>
      <c r="D1362" s="51"/>
      <c r="E1362" s="33"/>
      <c r="F1362" s="34"/>
      <c r="G1362" s="10"/>
      <c r="H1362" s="10"/>
      <c r="I1362" s="10"/>
      <c r="J1362" s="12">
        <f t="shared" si="437"/>
        <v>0</v>
      </c>
      <c r="L1362" s="10"/>
      <c r="M1362" s="32"/>
      <c r="O1362" s="51"/>
      <c r="P1362" s="33"/>
      <c r="Q1362" s="34"/>
      <c r="R1362" s="10"/>
      <c r="S1362" s="10"/>
      <c r="T1362" s="10"/>
      <c r="U1362" s="12">
        <f t="shared" si="439"/>
        <v>0</v>
      </c>
      <c r="W1362" s="10"/>
      <c r="X1362" s="32"/>
      <c r="Z1362" s="51"/>
      <c r="AA1362" s="33"/>
      <c r="AB1362" s="34"/>
      <c r="AC1362" s="10"/>
      <c r="AD1362" s="10"/>
      <c r="AE1362" s="10"/>
      <c r="AF1362" s="12">
        <f t="shared" si="441"/>
        <v>0</v>
      </c>
    </row>
    <row r="1363" spans="1:32" x14ac:dyDescent="0.25">
      <c r="A1363" s="10"/>
      <c r="B1363" s="32"/>
      <c r="C1363" s="33"/>
      <c r="D1363" s="51"/>
      <c r="E1363" s="33"/>
      <c r="F1363" s="34">
        <f t="shared" ref="F1363" si="450">SUM(D1363:E1363)</f>
        <v>0</v>
      </c>
      <c r="G1363" s="10"/>
      <c r="H1363" s="10"/>
      <c r="I1363" s="10"/>
      <c r="J1363" s="12">
        <f t="shared" si="437"/>
        <v>0</v>
      </c>
      <c r="L1363" s="10"/>
      <c r="M1363" s="32"/>
      <c r="N1363" s="33"/>
      <c r="O1363" s="51"/>
      <c r="P1363" s="33"/>
      <c r="Q1363" s="34">
        <f t="shared" ref="Q1363" si="451">SUM(O1363:P1363)</f>
        <v>0</v>
      </c>
      <c r="R1363" s="10"/>
      <c r="S1363" s="10"/>
      <c r="T1363" s="10"/>
      <c r="U1363" s="12">
        <f t="shared" si="439"/>
        <v>0</v>
      </c>
      <c r="W1363" s="10"/>
      <c r="X1363" s="32"/>
      <c r="Y1363" s="33"/>
      <c r="Z1363" s="51"/>
      <c r="AA1363" s="33"/>
      <c r="AB1363" s="34">
        <f t="shared" ref="AB1363" si="452">SUM(Z1363:AA1363)</f>
        <v>0</v>
      </c>
      <c r="AC1363" s="10"/>
      <c r="AD1363" s="10"/>
      <c r="AE1363" s="10"/>
      <c r="AF1363" s="12">
        <f t="shared" si="441"/>
        <v>0</v>
      </c>
    </row>
    <row r="1364" spans="1:32" x14ac:dyDescent="0.25">
      <c r="A1364" s="10"/>
      <c r="B1364" s="33"/>
      <c r="C1364" s="33"/>
      <c r="D1364" s="33"/>
      <c r="E1364" s="33"/>
      <c r="F1364" s="33"/>
      <c r="G1364" s="10"/>
      <c r="H1364" s="10"/>
      <c r="I1364" s="10"/>
      <c r="J1364" s="12">
        <f t="shared" si="437"/>
        <v>0</v>
      </c>
      <c r="L1364" s="10"/>
      <c r="M1364" s="33"/>
      <c r="N1364" s="33"/>
      <c r="O1364" s="33"/>
      <c r="P1364" s="33"/>
      <c r="Q1364" s="33"/>
      <c r="R1364" s="10"/>
      <c r="S1364" s="10"/>
      <c r="T1364" s="10"/>
      <c r="U1364" s="12">
        <f t="shared" si="439"/>
        <v>0</v>
      </c>
      <c r="W1364" s="10"/>
      <c r="X1364" s="33"/>
      <c r="Y1364" s="33"/>
      <c r="Z1364" s="33"/>
      <c r="AA1364" s="33"/>
      <c r="AB1364" s="33"/>
      <c r="AC1364" s="10"/>
      <c r="AD1364" s="10"/>
      <c r="AE1364" s="10"/>
      <c r="AF1364" s="12">
        <f t="shared" si="441"/>
        <v>0</v>
      </c>
    </row>
    <row r="1365" spans="1:32" x14ac:dyDescent="0.25">
      <c r="B1365" s="70"/>
      <c r="C1365" s="70"/>
      <c r="D1365" s="38"/>
      <c r="E1365" s="38"/>
      <c r="F1365" s="38"/>
      <c r="G1365" s="39"/>
      <c r="H1365" s="39"/>
      <c r="I1365" s="39"/>
      <c r="J1365" s="39"/>
      <c r="M1365" s="70"/>
      <c r="N1365" s="70"/>
      <c r="O1365" s="38"/>
      <c r="P1365" s="38"/>
      <c r="Q1365" s="38"/>
      <c r="R1365" s="39"/>
      <c r="S1365" s="39"/>
      <c r="T1365" s="39"/>
      <c r="U1365" s="39"/>
      <c r="X1365" s="70"/>
      <c r="Y1365" s="70"/>
      <c r="Z1365" s="38"/>
      <c r="AA1365" s="38"/>
      <c r="AB1365" s="38"/>
      <c r="AC1365" s="39"/>
      <c r="AD1365" s="39"/>
      <c r="AE1365" s="39"/>
      <c r="AF1365" s="39"/>
    </row>
    <row r="1366" spans="1:32" x14ac:dyDescent="0.25">
      <c r="B1366" s="70"/>
      <c r="C1366" s="70"/>
      <c r="D1366" s="40">
        <f>SUM(D1323:D1365)</f>
        <v>248459</v>
      </c>
      <c r="E1366" s="40">
        <f>SUM(E1323:E1347)</f>
        <v>-1872</v>
      </c>
      <c r="F1366" s="40">
        <f>SUM(F1323:F1365)</f>
        <v>246587</v>
      </c>
      <c r="G1366" s="4"/>
      <c r="H1366" s="43">
        <f>SUM(H1323:H1365)</f>
        <v>3801</v>
      </c>
      <c r="I1366" s="43">
        <f>SUM(I1323:I1347)</f>
        <v>-843</v>
      </c>
      <c r="J1366" s="44">
        <f>SUM(J1323:J1365)</f>
        <v>249545</v>
      </c>
      <c r="M1366" s="70"/>
      <c r="N1366" s="70"/>
      <c r="O1366" s="40">
        <f>SUM(O1323:O1365)</f>
        <v>293919</v>
      </c>
      <c r="P1366" s="40">
        <f>SUM(P1323:P1347)</f>
        <v>-4050</v>
      </c>
      <c r="Q1366" s="40">
        <f>SUM(Q1323:Q1365)</f>
        <v>289869</v>
      </c>
      <c r="R1366" s="4"/>
      <c r="S1366" s="43">
        <f>SUM(S1323:S1365)</f>
        <v>9606</v>
      </c>
      <c r="T1366" s="43">
        <f>SUM(T1323:T1347)</f>
        <v>-2016</v>
      </c>
      <c r="U1366" s="44">
        <f>SUM(U1323:U1365)</f>
        <v>297459</v>
      </c>
      <c r="X1366" s="70"/>
      <c r="Y1366" s="70"/>
      <c r="Z1366" s="40">
        <f>SUM(Z1323:Z1365)</f>
        <v>250507.5</v>
      </c>
      <c r="AA1366" s="40">
        <f>SUM(AA1323:AA1347)</f>
        <v>-1908</v>
      </c>
      <c r="AB1366" s="40">
        <f>SUM(AB1323:AB1365)</f>
        <v>248599.5</v>
      </c>
      <c r="AC1366" s="4"/>
      <c r="AD1366" s="43">
        <f>SUM(AD1323:AD1365)</f>
        <v>0</v>
      </c>
      <c r="AE1366" s="43">
        <f>SUM(AE1323:AE1347)</f>
        <v>-777</v>
      </c>
      <c r="AF1366" s="44">
        <f>SUM(AF1323:AF1365)</f>
        <v>247822.5</v>
      </c>
    </row>
    <row r="1367" spans="1:32" x14ac:dyDescent="0.25">
      <c r="B1367" s="70"/>
      <c r="C1367" s="70"/>
      <c r="D1367" s="45"/>
      <c r="E1367" s="70"/>
      <c r="F1367" s="70"/>
      <c r="M1367" s="70"/>
      <c r="N1367" s="70"/>
      <c r="O1367" s="45"/>
      <c r="P1367" s="70"/>
      <c r="Q1367" s="70"/>
      <c r="X1367" s="70"/>
      <c r="Y1367" s="70"/>
      <c r="Z1367" s="45"/>
      <c r="AA1367" s="70"/>
      <c r="AB1367" s="70"/>
    </row>
    <row r="1368" spans="1:32" x14ac:dyDescent="0.25">
      <c r="B1368" s="70"/>
      <c r="C1368" s="70"/>
      <c r="D1368" s="70"/>
      <c r="E1368" s="70"/>
      <c r="F1368" s="70"/>
      <c r="M1368" s="70"/>
      <c r="N1368" s="70"/>
      <c r="O1368" s="70"/>
      <c r="P1368" s="70"/>
      <c r="Q1368" s="70"/>
      <c r="X1368" s="70"/>
      <c r="Y1368" s="70"/>
      <c r="Z1368" s="70"/>
      <c r="AA1368" s="70"/>
      <c r="AB1368" s="70"/>
    </row>
    <row r="1369" spans="1:32" x14ac:dyDescent="0.25">
      <c r="A1369" s="18"/>
      <c r="B1369" s="18"/>
      <c r="C1369" s="18"/>
      <c r="D1369" s="18"/>
      <c r="E1369" s="18"/>
      <c r="F1369" s="18"/>
      <c r="G1369" s="18"/>
      <c r="H1369" s="18"/>
      <c r="I1369" s="18"/>
      <c r="J1369" s="18"/>
      <c r="L1369" s="18"/>
      <c r="M1369" s="18"/>
      <c r="N1369" s="18"/>
      <c r="O1369" s="18"/>
      <c r="P1369" s="18"/>
      <c r="Q1369" s="18"/>
      <c r="R1369" s="18"/>
      <c r="S1369" s="18"/>
      <c r="T1369" s="18"/>
      <c r="U1369" s="18"/>
      <c r="W1369" s="18"/>
      <c r="X1369" s="18"/>
      <c r="Y1369" s="18"/>
      <c r="Z1369" s="18"/>
      <c r="AA1369" s="18"/>
      <c r="AB1369" s="18"/>
      <c r="AC1369" s="18"/>
      <c r="AD1369" s="18"/>
      <c r="AE1369" s="18"/>
      <c r="AF1369" s="18"/>
    </row>
    <row r="1370" spans="1:32" x14ac:dyDescent="0.25">
      <c r="A1370" t="s">
        <v>0</v>
      </c>
      <c r="B1370" s="70"/>
      <c r="C1370" s="70"/>
      <c r="D1370" s="70"/>
      <c r="E1370" s="70"/>
      <c r="F1370" s="70"/>
      <c r="L1370" t="s">
        <v>0</v>
      </c>
      <c r="M1370" s="70"/>
      <c r="N1370" s="70"/>
      <c r="O1370" s="70"/>
      <c r="P1370" s="70"/>
      <c r="Q1370" s="70"/>
      <c r="W1370" t="s">
        <v>0</v>
      </c>
      <c r="X1370" s="70"/>
      <c r="Y1370" s="70"/>
      <c r="Z1370" s="70"/>
      <c r="AA1370" s="70"/>
      <c r="AB1370" s="70"/>
    </row>
    <row r="1371" spans="1:32" x14ac:dyDescent="0.25">
      <c r="A1371" t="s">
        <v>30</v>
      </c>
      <c r="B1371" s="70"/>
      <c r="C1371" s="70"/>
      <c r="D1371" s="70"/>
      <c r="E1371" s="70"/>
      <c r="F1371" s="70"/>
      <c r="L1371" t="s">
        <v>30</v>
      </c>
      <c r="M1371" s="70"/>
      <c r="N1371" s="70"/>
      <c r="O1371" s="70"/>
      <c r="P1371" s="70"/>
      <c r="Q1371" s="70"/>
      <c r="W1371" t="s">
        <v>30</v>
      </c>
      <c r="X1371" s="70"/>
      <c r="Y1371" s="70"/>
      <c r="Z1371" s="70"/>
      <c r="AA1371" s="70"/>
      <c r="AB1371" s="70"/>
    </row>
    <row r="1372" spans="1:32" x14ac:dyDescent="0.25">
      <c r="B1372" s="70"/>
      <c r="C1372" s="70"/>
      <c r="D1372" s="70"/>
      <c r="E1372" s="70"/>
      <c r="F1372" s="70"/>
      <c r="M1372" s="70"/>
      <c r="N1372" s="70"/>
      <c r="O1372" s="70"/>
      <c r="P1372" s="70"/>
      <c r="Q1372" s="70"/>
      <c r="X1372" s="70"/>
      <c r="Y1372" s="70"/>
      <c r="Z1372" s="70"/>
      <c r="AA1372" s="70"/>
      <c r="AB1372" s="70"/>
    </row>
    <row r="1373" spans="1:32" x14ac:dyDescent="0.25">
      <c r="A1373" s="4" t="s">
        <v>15</v>
      </c>
      <c r="B1373" s="70"/>
      <c r="C1373" s="70"/>
      <c r="D1373" s="70"/>
      <c r="E1373" s="70"/>
      <c r="F1373" s="70"/>
      <c r="L1373" s="4" t="s">
        <v>15</v>
      </c>
      <c r="M1373" s="70"/>
      <c r="N1373" s="70"/>
      <c r="O1373" s="70"/>
      <c r="P1373" s="70"/>
      <c r="Q1373" s="70"/>
      <c r="W1373" s="4" t="s">
        <v>15</v>
      </c>
      <c r="X1373" s="70"/>
      <c r="Y1373" s="70"/>
      <c r="Z1373" s="70"/>
      <c r="AA1373" s="70"/>
      <c r="AB1373" s="70"/>
    </row>
    <row r="1374" spans="1:32" x14ac:dyDescent="0.25">
      <c r="B1374" s="70"/>
      <c r="C1374" s="70"/>
      <c r="D1374" s="70"/>
      <c r="E1374" s="70"/>
      <c r="F1374" s="70"/>
      <c r="M1374" s="70"/>
      <c r="N1374" s="70"/>
      <c r="O1374" s="70"/>
      <c r="P1374" s="70"/>
      <c r="Q1374" s="70"/>
      <c r="X1374" s="70"/>
      <c r="Y1374" s="70"/>
      <c r="Z1374" s="70"/>
      <c r="AA1374" s="70"/>
      <c r="AB1374" s="70"/>
    </row>
    <row r="1375" spans="1:32" ht="15.75" x14ac:dyDescent="0.25">
      <c r="A1375" t="s">
        <v>37</v>
      </c>
      <c r="B1375" s="70"/>
      <c r="C1375" s="70"/>
      <c r="D1375" s="70"/>
      <c r="E1375" s="70"/>
      <c r="F1375" s="70"/>
      <c r="H1375" s="70" t="s">
        <v>16</v>
      </c>
      <c r="I1375" s="19">
        <v>1</v>
      </c>
      <c r="L1375" t="s">
        <v>37</v>
      </c>
      <c r="M1375" s="70"/>
      <c r="N1375" s="70"/>
      <c r="O1375" s="70"/>
      <c r="P1375" s="70"/>
      <c r="Q1375" s="70"/>
      <c r="S1375" s="70" t="s">
        <v>16</v>
      </c>
      <c r="T1375" s="19">
        <v>2</v>
      </c>
      <c r="W1375" t="s">
        <v>37</v>
      </c>
      <c r="X1375" s="70"/>
      <c r="Y1375" s="70"/>
      <c r="Z1375" s="70"/>
      <c r="AA1375" s="70"/>
      <c r="AB1375" s="70"/>
      <c r="AD1375" s="70" t="s">
        <v>16</v>
      </c>
      <c r="AE1375" s="20">
        <v>3</v>
      </c>
    </row>
    <row r="1376" spans="1:32" x14ac:dyDescent="0.25">
      <c r="A1376" s="21" t="s">
        <v>97</v>
      </c>
      <c r="B1376" s="20"/>
      <c r="C1376" s="70"/>
      <c r="D1376" s="70"/>
      <c r="E1376" s="70"/>
      <c r="F1376" s="70"/>
      <c r="H1376" s="22" t="s">
        <v>17</v>
      </c>
      <c r="I1376" s="23" t="s">
        <v>46</v>
      </c>
      <c r="J1376" s="24"/>
      <c r="L1376" s="21" t="s">
        <v>97</v>
      </c>
      <c r="M1376" s="20"/>
      <c r="N1376" s="70"/>
      <c r="O1376" s="70"/>
      <c r="P1376" s="70"/>
      <c r="Q1376" s="70"/>
      <c r="S1376" s="22" t="s">
        <v>17</v>
      </c>
      <c r="T1376" s="23" t="s">
        <v>34</v>
      </c>
      <c r="U1376" s="24"/>
      <c r="W1376" s="21" t="s">
        <v>97</v>
      </c>
      <c r="X1376" s="20"/>
      <c r="Y1376" s="70"/>
      <c r="Z1376" s="70"/>
      <c r="AA1376" s="70"/>
      <c r="AB1376" s="70"/>
      <c r="AD1376" s="22" t="s">
        <v>17</v>
      </c>
      <c r="AE1376" s="23" t="s">
        <v>91</v>
      </c>
      <c r="AF1376" s="24"/>
    </row>
    <row r="1377" spans="1:32" x14ac:dyDescent="0.25">
      <c r="B1377" s="70"/>
      <c r="C1377" s="70"/>
      <c r="D1377" s="70"/>
      <c r="E1377" s="70"/>
      <c r="F1377" s="70"/>
      <c r="M1377" s="70"/>
      <c r="N1377" s="70"/>
      <c r="O1377" s="70"/>
      <c r="P1377" s="70"/>
      <c r="Q1377" s="70"/>
      <c r="X1377" s="70"/>
      <c r="Y1377" s="70"/>
      <c r="Z1377" s="70"/>
      <c r="AA1377" s="70"/>
      <c r="AB1377" s="70"/>
    </row>
    <row r="1378" spans="1:32" x14ac:dyDescent="0.25">
      <c r="B1378" s="25"/>
      <c r="C1378" s="26"/>
      <c r="D1378" s="79" t="s">
        <v>18</v>
      </c>
      <c r="E1378" s="79"/>
      <c r="F1378" s="27"/>
      <c r="H1378" s="77" t="s">
        <v>19</v>
      </c>
      <c r="I1378" s="78"/>
      <c r="J1378" s="75" t="s">
        <v>20</v>
      </c>
      <c r="M1378" s="25"/>
      <c r="N1378" s="26"/>
      <c r="O1378" s="79" t="s">
        <v>18</v>
      </c>
      <c r="P1378" s="79"/>
      <c r="Q1378" s="27"/>
      <c r="S1378" s="77" t="s">
        <v>19</v>
      </c>
      <c r="T1378" s="78"/>
      <c r="U1378" s="75" t="s">
        <v>20</v>
      </c>
      <c r="X1378" s="25"/>
      <c r="Y1378" s="26"/>
      <c r="Z1378" s="79" t="s">
        <v>18</v>
      </c>
      <c r="AA1378" s="79"/>
      <c r="AB1378" s="27"/>
      <c r="AD1378" s="77" t="s">
        <v>19</v>
      </c>
      <c r="AE1378" s="78"/>
      <c r="AF1378" s="75" t="s">
        <v>20</v>
      </c>
    </row>
    <row r="1379" spans="1:32" ht="30" x14ac:dyDescent="0.25">
      <c r="B1379" s="28" t="s">
        <v>21</v>
      </c>
      <c r="C1379" s="28" t="s">
        <v>22</v>
      </c>
      <c r="D1379" s="29" t="s">
        <v>23</v>
      </c>
      <c r="E1379" s="30" t="s">
        <v>24</v>
      </c>
      <c r="F1379" s="30" t="s">
        <v>25</v>
      </c>
      <c r="H1379" s="31" t="s">
        <v>26</v>
      </c>
      <c r="I1379" s="31" t="s">
        <v>27</v>
      </c>
      <c r="J1379" s="76"/>
      <c r="M1379" s="28" t="s">
        <v>21</v>
      </c>
      <c r="N1379" s="28" t="s">
        <v>22</v>
      </c>
      <c r="O1379" s="29" t="s">
        <v>23</v>
      </c>
      <c r="P1379" s="30" t="s">
        <v>24</v>
      </c>
      <c r="Q1379" s="30" t="s">
        <v>25</v>
      </c>
      <c r="S1379" s="31" t="s">
        <v>26</v>
      </c>
      <c r="T1379" s="31" t="s">
        <v>27</v>
      </c>
      <c r="U1379" s="76"/>
      <c r="X1379" s="28" t="s">
        <v>21</v>
      </c>
      <c r="Y1379" s="28" t="s">
        <v>22</v>
      </c>
      <c r="Z1379" s="29" t="s">
        <v>23</v>
      </c>
      <c r="AA1379" s="30" t="s">
        <v>24</v>
      </c>
      <c r="AB1379" s="30" t="s">
        <v>25</v>
      </c>
      <c r="AD1379" s="31" t="s">
        <v>26</v>
      </c>
      <c r="AE1379" s="31" t="s">
        <v>27</v>
      </c>
      <c r="AF1379" s="76"/>
    </row>
    <row r="1380" spans="1:32" x14ac:dyDescent="0.25">
      <c r="A1380" s="10">
        <v>1</v>
      </c>
      <c r="B1380" s="32">
        <v>45687</v>
      </c>
      <c r="C1380" s="33">
        <v>7734</v>
      </c>
      <c r="D1380" s="34">
        <f>626*12+614+596*2+119</f>
        <v>9437</v>
      </c>
      <c r="E1380" s="34"/>
      <c r="F1380" s="34">
        <f>SUM(D1380:E1380)</f>
        <v>9437</v>
      </c>
      <c r="G1380" s="12"/>
      <c r="H1380" s="12">
        <v>444</v>
      </c>
      <c r="I1380" s="12"/>
      <c r="J1380" s="12">
        <f>SUM(F1380:I1380)</f>
        <v>9881</v>
      </c>
      <c r="L1380" s="10">
        <v>1</v>
      </c>
      <c r="M1380" s="32">
        <v>45687</v>
      </c>
      <c r="N1380" s="33">
        <v>9581</v>
      </c>
      <c r="O1380" s="34">
        <f>626+1228+8.5</f>
        <v>1862.5</v>
      </c>
      <c r="P1380" s="34"/>
      <c r="Q1380" s="34">
        <f>SUM(O1380:P1380)</f>
        <v>1862.5</v>
      </c>
      <c r="R1380" s="12"/>
      <c r="S1380" s="12"/>
      <c r="T1380" s="12"/>
      <c r="U1380" s="12">
        <f>SUM(Q1380:T1380)</f>
        <v>1862.5</v>
      </c>
      <c r="W1380" s="10">
        <v>1</v>
      </c>
      <c r="X1380" s="32">
        <v>45687</v>
      </c>
      <c r="Y1380" s="33">
        <v>7830</v>
      </c>
      <c r="Z1380" s="34">
        <f>6260+85</f>
        <v>6345</v>
      </c>
      <c r="AA1380" s="34"/>
      <c r="AB1380" s="34">
        <f>SUM(Z1380:AA1380)</f>
        <v>6345</v>
      </c>
      <c r="AC1380" s="12"/>
      <c r="AD1380" s="12">
        <v>63</v>
      </c>
      <c r="AE1380" s="12"/>
      <c r="AF1380" s="12">
        <f>SUM(AB1380:AE1380)</f>
        <v>6408</v>
      </c>
    </row>
    <row r="1381" spans="1:32" x14ac:dyDescent="0.25">
      <c r="A1381" s="10">
        <v>2</v>
      </c>
      <c r="B1381" s="32">
        <v>45687</v>
      </c>
      <c r="C1381" s="33">
        <f>C1380+1</f>
        <v>7735</v>
      </c>
      <c r="D1381">
        <f>1252+17</f>
        <v>1269</v>
      </c>
      <c r="E1381" s="34"/>
      <c r="F1381" s="34">
        <f t="shared" ref="F1381:F1384" si="453">SUM(D1381:E1381)</f>
        <v>1269</v>
      </c>
      <c r="G1381" s="12"/>
      <c r="H1381" s="12"/>
      <c r="I1381" s="12"/>
      <c r="J1381" s="12">
        <f t="shared" ref="J1381:J1421" si="454">SUM(F1381:I1381)</f>
        <v>1269</v>
      </c>
      <c r="L1381" s="10">
        <v>2</v>
      </c>
      <c r="M1381" s="32">
        <v>45687</v>
      </c>
      <c r="N1381" s="33">
        <f>N1380+1</f>
        <v>9582</v>
      </c>
      <c r="O1381">
        <f>1252+17</f>
        <v>1269</v>
      </c>
      <c r="P1381" s="34"/>
      <c r="Q1381" s="34">
        <f t="shared" ref="Q1381:Q1384" si="455">SUM(O1381:P1381)</f>
        <v>1269</v>
      </c>
      <c r="R1381" s="12"/>
      <c r="S1381" s="12"/>
      <c r="T1381" s="12"/>
      <c r="U1381" s="12">
        <f t="shared" ref="U1381:U1421" si="456">SUM(Q1381:T1381)</f>
        <v>1269</v>
      </c>
      <c r="W1381" s="10">
        <v>2</v>
      </c>
      <c r="X1381" s="32">
        <v>45687</v>
      </c>
      <c r="Y1381" s="33">
        <f>Y1380+1</f>
        <v>7831</v>
      </c>
      <c r="Z1381" s="34">
        <f>626*5+42.5</f>
        <v>3172.5</v>
      </c>
      <c r="AA1381" s="34"/>
      <c r="AB1381" s="34">
        <f t="shared" ref="AB1381:AB1383" si="457">SUM(Z1381:AA1381)</f>
        <v>3172.5</v>
      </c>
      <c r="AC1381" s="12"/>
      <c r="AD1381" s="12"/>
      <c r="AE1381" s="12"/>
      <c r="AF1381" s="12">
        <f t="shared" ref="AF1381:AF1421" si="458">SUM(AB1381:AE1381)</f>
        <v>3172.5</v>
      </c>
    </row>
    <row r="1382" spans="1:32" x14ac:dyDescent="0.25">
      <c r="A1382" s="10">
        <v>3</v>
      </c>
      <c r="B1382" s="32">
        <v>45687</v>
      </c>
      <c r="C1382" s="33">
        <f t="shared" ref="C1382:C1392" si="459">C1381+1</f>
        <v>7736</v>
      </c>
      <c r="D1382" s="34">
        <f>1878+596+34</f>
        <v>2508</v>
      </c>
      <c r="E1382" s="34"/>
      <c r="F1382" s="34">
        <f t="shared" si="453"/>
        <v>2508</v>
      </c>
      <c r="G1382" s="12"/>
      <c r="H1382" s="12"/>
      <c r="I1382" s="12">
        <v>-50</v>
      </c>
      <c r="J1382" s="12">
        <f t="shared" si="454"/>
        <v>2458</v>
      </c>
      <c r="L1382" s="10">
        <v>3</v>
      </c>
      <c r="M1382" s="32">
        <v>45687</v>
      </c>
      <c r="N1382" s="33">
        <f t="shared" ref="N1382:N1403" si="460">N1381+1</f>
        <v>9583</v>
      </c>
      <c r="O1382" s="34">
        <f>1878+913+502.5+410+500</f>
        <v>4203.5</v>
      </c>
      <c r="P1382" s="34"/>
      <c r="Q1382" s="34">
        <f t="shared" si="455"/>
        <v>4203.5</v>
      </c>
      <c r="R1382" s="12"/>
      <c r="S1382" s="12">
        <v>246</v>
      </c>
      <c r="T1382" s="12"/>
      <c r="U1382" s="12">
        <f t="shared" si="456"/>
        <v>4449.5</v>
      </c>
      <c r="W1382" s="10">
        <v>3</v>
      </c>
      <c r="X1382" s="32">
        <v>45687</v>
      </c>
      <c r="Y1382" s="33">
        <f t="shared" ref="Y1382:Y1391" si="461">Y1381+1</f>
        <v>7832</v>
      </c>
      <c r="Z1382" s="34">
        <f>626*12+614*3+205</f>
        <v>9559</v>
      </c>
      <c r="AA1382" s="34"/>
      <c r="AB1382" s="34">
        <f t="shared" si="457"/>
        <v>9559</v>
      </c>
      <c r="AC1382" s="12"/>
      <c r="AD1382" s="12"/>
      <c r="AE1382" s="12"/>
      <c r="AF1382" s="12">
        <f t="shared" si="458"/>
        <v>9559</v>
      </c>
    </row>
    <row r="1383" spans="1:32" x14ac:dyDescent="0.25">
      <c r="A1383" s="10">
        <v>4</v>
      </c>
      <c r="B1383" s="32">
        <v>45687</v>
      </c>
      <c r="C1383" s="33">
        <f t="shared" si="459"/>
        <v>7737</v>
      </c>
      <c r="D1383" s="34">
        <f>135216+1845</f>
        <v>137061</v>
      </c>
      <c r="E1383" s="34">
        <v>-1944</v>
      </c>
      <c r="F1383" s="34">
        <f t="shared" si="453"/>
        <v>135117</v>
      </c>
      <c r="G1383" s="12"/>
      <c r="H1383" s="12">
        <v>702</v>
      </c>
      <c r="I1383" s="12">
        <f>-240+-3108+-588</f>
        <v>-3936</v>
      </c>
      <c r="J1383" s="12">
        <f t="shared" si="454"/>
        <v>131883</v>
      </c>
      <c r="L1383" s="10">
        <v>4</v>
      </c>
      <c r="M1383" s="32">
        <v>45687</v>
      </c>
      <c r="N1383" s="33">
        <f t="shared" si="460"/>
        <v>9584</v>
      </c>
      <c r="O1383" s="34">
        <f>2504+34</f>
        <v>2538</v>
      </c>
      <c r="P1383" s="34"/>
      <c r="Q1383" s="34">
        <f t="shared" si="455"/>
        <v>2538</v>
      </c>
      <c r="R1383" s="12"/>
      <c r="S1383" s="12"/>
      <c r="T1383" s="12"/>
      <c r="U1383" s="12">
        <f t="shared" si="456"/>
        <v>2538</v>
      </c>
      <c r="W1383" s="10">
        <v>4</v>
      </c>
      <c r="X1383" s="32">
        <v>45687</v>
      </c>
      <c r="Y1383" s="33">
        <v>7819</v>
      </c>
      <c r="Z1383" s="34">
        <f>626*14+614*2+205</f>
        <v>10197</v>
      </c>
      <c r="AA1383" s="34"/>
      <c r="AB1383" s="34">
        <f t="shared" si="457"/>
        <v>10197</v>
      </c>
      <c r="AC1383" s="12"/>
      <c r="AE1383" s="12"/>
      <c r="AF1383" s="12">
        <f t="shared" si="458"/>
        <v>10197</v>
      </c>
    </row>
    <row r="1384" spans="1:32" x14ac:dyDescent="0.25">
      <c r="A1384" s="10">
        <v>5</v>
      </c>
      <c r="B1384" s="32">
        <v>45687</v>
      </c>
      <c r="C1384" s="33">
        <f t="shared" si="459"/>
        <v>7738</v>
      </c>
      <c r="D1384" s="34">
        <f>626*4+34</f>
        <v>2538</v>
      </c>
      <c r="E1384" s="34"/>
      <c r="F1384" s="34">
        <f t="shared" si="453"/>
        <v>2538</v>
      </c>
      <c r="G1384" s="12"/>
      <c r="H1384" s="12"/>
      <c r="I1384" s="12"/>
      <c r="J1384" s="12">
        <f t="shared" si="454"/>
        <v>2538</v>
      </c>
      <c r="L1384" s="10">
        <v>5</v>
      </c>
      <c r="M1384" s="32">
        <v>45687</v>
      </c>
      <c r="N1384" s="33">
        <f t="shared" si="460"/>
        <v>9585</v>
      </c>
      <c r="O1384" s="34">
        <f>6260+1192+102</f>
        <v>7554</v>
      </c>
      <c r="P1384" s="34"/>
      <c r="Q1384" s="34">
        <f t="shared" si="455"/>
        <v>7554</v>
      </c>
      <c r="R1384" s="12"/>
      <c r="S1384" s="12"/>
      <c r="T1384" s="12"/>
      <c r="U1384" s="12">
        <f t="shared" si="456"/>
        <v>7554</v>
      </c>
      <c r="W1384" s="10">
        <v>5</v>
      </c>
      <c r="X1384" s="32">
        <v>45687</v>
      </c>
      <c r="Y1384" s="33">
        <f t="shared" si="461"/>
        <v>7820</v>
      </c>
      <c r="Z1384" s="34">
        <f>626*25+1348+2980+205</f>
        <v>20183</v>
      </c>
      <c r="AA1384" s="34"/>
      <c r="AB1384" s="34">
        <f t="shared" ref="AB1384:AB1389" si="462">SUM(Z1384:AA1384)</f>
        <v>20183</v>
      </c>
      <c r="AC1384" s="12"/>
      <c r="AD1384" s="12"/>
      <c r="AE1384" s="12"/>
      <c r="AF1384" s="12">
        <f t="shared" si="458"/>
        <v>20183</v>
      </c>
    </row>
    <row r="1385" spans="1:32" x14ac:dyDescent="0.25">
      <c r="A1385" s="10">
        <v>6</v>
      </c>
      <c r="B1385" s="32">
        <v>45687</v>
      </c>
      <c r="C1385" s="33">
        <f t="shared" si="459"/>
        <v>7739</v>
      </c>
      <c r="D1385" s="34">
        <f>1878+26</f>
        <v>1904</v>
      </c>
      <c r="E1385" s="34"/>
      <c r="F1385" s="34">
        <f>SUM(D1385:E1385)</f>
        <v>1904</v>
      </c>
      <c r="G1385" s="12"/>
      <c r="H1385" s="12"/>
      <c r="I1385" s="10"/>
      <c r="J1385" s="12">
        <f t="shared" si="454"/>
        <v>1904</v>
      </c>
      <c r="L1385" s="10">
        <v>6</v>
      </c>
      <c r="M1385" s="32">
        <v>45687</v>
      </c>
      <c r="N1385" s="33">
        <f t="shared" si="460"/>
        <v>9586</v>
      </c>
      <c r="O1385" s="34">
        <f>1252+596+25.5</f>
        <v>1873.5</v>
      </c>
      <c r="P1385" s="34"/>
      <c r="Q1385" s="34">
        <f>SUM(O1385:P1385)</f>
        <v>1873.5</v>
      </c>
      <c r="R1385" s="12"/>
      <c r="S1385" s="12">
        <v>111</v>
      </c>
      <c r="T1385" s="10"/>
      <c r="U1385" s="12">
        <f t="shared" si="456"/>
        <v>1984.5</v>
      </c>
      <c r="W1385" s="10">
        <v>6</v>
      </c>
      <c r="X1385" s="32">
        <v>45687</v>
      </c>
      <c r="Y1385" s="33">
        <f t="shared" si="461"/>
        <v>7821</v>
      </c>
      <c r="Z1385" s="34">
        <f>3756+3070+1192+852+205</f>
        <v>9075</v>
      </c>
      <c r="AA1385" s="34"/>
      <c r="AB1385" s="34">
        <f t="shared" si="462"/>
        <v>9075</v>
      </c>
      <c r="AC1385" s="12"/>
      <c r="AD1385" s="12"/>
      <c r="AE1385" s="10"/>
      <c r="AF1385" s="12">
        <f t="shared" si="458"/>
        <v>9075</v>
      </c>
    </row>
    <row r="1386" spans="1:32" x14ac:dyDescent="0.25">
      <c r="A1386" s="10">
        <v>7</v>
      </c>
      <c r="B1386" s="32">
        <v>45687</v>
      </c>
      <c r="C1386" s="33">
        <f t="shared" si="459"/>
        <v>7740</v>
      </c>
      <c r="D1386" s="34">
        <f>626*6+51</f>
        <v>3807</v>
      </c>
      <c r="E1386" s="34"/>
      <c r="F1386" s="34">
        <f t="shared" ref="F1386:F1418" si="463">SUM(D1386:E1386)</f>
        <v>3807</v>
      </c>
      <c r="G1386" s="12"/>
      <c r="H1386" s="12"/>
      <c r="I1386" s="12"/>
      <c r="J1386" s="12">
        <f t="shared" si="454"/>
        <v>3807</v>
      </c>
      <c r="L1386" s="10">
        <v>7</v>
      </c>
      <c r="M1386" s="32">
        <v>45687</v>
      </c>
      <c r="N1386" s="33">
        <f t="shared" si="460"/>
        <v>9587</v>
      </c>
      <c r="O1386" s="34">
        <f>1252+17</f>
        <v>1269</v>
      </c>
      <c r="P1386" s="34"/>
      <c r="Q1386" s="34">
        <f t="shared" ref="Q1386:Q1418" si="464">SUM(O1386:P1386)</f>
        <v>1269</v>
      </c>
      <c r="R1386" s="12"/>
      <c r="S1386" s="12"/>
      <c r="T1386" s="12"/>
      <c r="U1386" s="12">
        <f t="shared" si="456"/>
        <v>1269</v>
      </c>
      <c r="W1386" s="10">
        <v>7</v>
      </c>
      <c r="X1386" s="32">
        <v>45687</v>
      </c>
      <c r="Y1386" s="33">
        <f t="shared" si="461"/>
        <v>7822</v>
      </c>
      <c r="Z1386" s="34">
        <f>2504+2384+68+2022</f>
        <v>6978</v>
      </c>
      <c r="AA1386" s="34"/>
      <c r="AB1386" s="34">
        <f t="shared" si="462"/>
        <v>6978</v>
      </c>
      <c r="AC1386" s="12"/>
      <c r="AD1386" s="66"/>
      <c r="AE1386" s="12"/>
      <c r="AF1386" s="12">
        <f t="shared" si="458"/>
        <v>6978</v>
      </c>
    </row>
    <row r="1387" spans="1:32" x14ac:dyDescent="0.25">
      <c r="A1387" s="10">
        <v>8</v>
      </c>
      <c r="B1387" s="32">
        <v>45687</v>
      </c>
      <c r="C1387" s="33">
        <f t="shared" si="459"/>
        <v>7741</v>
      </c>
      <c r="D1387" s="34">
        <f>626*8+614+68+674</f>
        <v>6364</v>
      </c>
      <c r="E1387" s="34"/>
      <c r="F1387" s="34">
        <f t="shared" si="463"/>
        <v>6364</v>
      </c>
      <c r="G1387" s="12"/>
      <c r="H1387" s="12">
        <v>54</v>
      </c>
      <c r="I1387" s="12"/>
      <c r="J1387" s="12">
        <f t="shared" si="454"/>
        <v>6418</v>
      </c>
      <c r="L1387" s="10">
        <v>8</v>
      </c>
      <c r="M1387" s="32">
        <v>45687</v>
      </c>
      <c r="N1387" s="33">
        <f t="shared" si="460"/>
        <v>9588</v>
      </c>
      <c r="O1387" s="34">
        <f>2504+596+34</f>
        <v>3134</v>
      </c>
      <c r="P1387" s="34"/>
      <c r="Q1387" s="34">
        <f t="shared" si="464"/>
        <v>3134</v>
      </c>
      <c r="R1387" s="12"/>
      <c r="S1387" s="12"/>
      <c r="T1387" s="12"/>
      <c r="U1387" s="12">
        <f t="shared" si="456"/>
        <v>3134</v>
      </c>
      <c r="W1387" s="10">
        <v>8</v>
      </c>
      <c r="X1387" s="32">
        <v>45687</v>
      </c>
      <c r="Y1387" s="33">
        <f t="shared" si="461"/>
        <v>7823</v>
      </c>
      <c r="Z1387" s="34">
        <f>40690+3070+5960+615</f>
        <v>50335</v>
      </c>
      <c r="AA1387" s="37">
        <v>-640</v>
      </c>
      <c r="AB1387" s="34">
        <f t="shared" si="462"/>
        <v>49695</v>
      </c>
      <c r="AC1387" s="12"/>
      <c r="AD1387" s="12"/>
      <c r="AE1387" s="12"/>
      <c r="AF1387" s="12">
        <f t="shared" si="458"/>
        <v>49695</v>
      </c>
    </row>
    <row r="1388" spans="1:32" x14ac:dyDescent="0.25">
      <c r="A1388" s="10">
        <v>9</v>
      </c>
      <c r="B1388" s="32">
        <v>45687</v>
      </c>
      <c r="C1388" s="33">
        <f t="shared" si="459"/>
        <v>7742</v>
      </c>
      <c r="D1388" s="34">
        <f>1252+17</f>
        <v>1269</v>
      </c>
      <c r="E1388" s="34"/>
      <c r="F1388" s="34">
        <f t="shared" si="463"/>
        <v>1269</v>
      </c>
      <c r="G1388" s="12"/>
      <c r="H1388" s="12"/>
      <c r="I1388" s="12"/>
      <c r="J1388" s="12">
        <f t="shared" si="454"/>
        <v>1269</v>
      </c>
      <c r="L1388" s="10">
        <v>9</v>
      </c>
      <c r="M1388" s="32">
        <v>45687</v>
      </c>
      <c r="N1388" s="33">
        <f t="shared" si="460"/>
        <v>9589</v>
      </c>
      <c r="O1388" s="34">
        <f>5364</f>
        <v>5364</v>
      </c>
      <c r="P1388" s="34"/>
      <c r="Q1388" s="34">
        <f t="shared" si="464"/>
        <v>5364</v>
      </c>
      <c r="R1388" s="12"/>
      <c r="S1388" s="12"/>
      <c r="T1388" s="12"/>
      <c r="U1388" s="12">
        <f t="shared" si="456"/>
        <v>5364</v>
      </c>
      <c r="W1388" s="10">
        <v>9</v>
      </c>
      <c r="X1388" s="32">
        <v>45687</v>
      </c>
      <c r="Y1388" s="33">
        <f t="shared" si="461"/>
        <v>7824</v>
      </c>
      <c r="Z1388">
        <f>36308+410</f>
        <v>36718</v>
      </c>
      <c r="AA1388" s="34">
        <v>-540</v>
      </c>
      <c r="AB1388" s="34">
        <f t="shared" si="462"/>
        <v>36178</v>
      </c>
      <c r="AC1388" s="12"/>
      <c r="AD1388" s="66"/>
      <c r="AE1388" s="12"/>
      <c r="AF1388" s="12">
        <f t="shared" si="458"/>
        <v>36178</v>
      </c>
    </row>
    <row r="1389" spans="1:32" x14ac:dyDescent="0.25">
      <c r="A1389" s="10">
        <v>10</v>
      </c>
      <c r="B1389" s="32">
        <v>45687</v>
      </c>
      <c r="C1389" s="33">
        <f t="shared" si="459"/>
        <v>7743</v>
      </c>
      <c r="D1389" s="34">
        <f>626*8+596+77+674</f>
        <v>6355</v>
      </c>
      <c r="E1389" s="34"/>
      <c r="F1389" s="34">
        <f t="shared" si="463"/>
        <v>6355</v>
      </c>
      <c r="G1389" s="12"/>
      <c r="H1389" s="12"/>
      <c r="I1389" s="12"/>
      <c r="J1389" s="12">
        <f t="shared" si="454"/>
        <v>6355</v>
      </c>
      <c r="L1389" s="10">
        <v>10</v>
      </c>
      <c r="M1389" s="32">
        <v>45687</v>
      </c>
      <c r="N1389" s="33">
        <f t="shared" si="460"/>
        <v>9590</v>
      </c>
      <c r="O1389" s="34">
        <f>626+1192+205</f>
        <v>2023</v>
      </c>
      <c r="P1389" s="34"/>
      <c r="Q1389" s="34">
        <f t="shared" si="464"/>
        <v>2023</v>
      </c>
      <c r="R1389" s="12"/>
      <c r="S1389" s="12">
        <v>91.5</v>
      </c>
      <c r="T1389" s="12"/>
      <c r="U1389" s="12">
        <f t="shared" si="456"/>
        <v>2114.5</v>
      </c>
      <c r="W1389" s="10">
        <v>10</v>
      </c>
      <c r="X1389" s="32">
        <v>45687</v>
      </c>
      <c r="Y1389" s="33">
        <f t="shared" si="461"/>
        <v>7825</v>
      </c>
      <c r="Z1389" s="34">
        <f>16902+674+1788+205</f>
        <v>19569</v>
      </c>
      <c r="AA1389" s="34"/>
      <c r="AB1389" s="34">
        <f t="shared" si="462"/>
        <v>19569</v>
      </c>
      <c r="AC1389" s="12"/>
      <c r="AD1389" s="12">
        <v>85.5</v>
      </c>
      <c r="AE1389" s="12"/>
      <c r="AF1389" s="12">
        <f t="shared" si="458"/>
        <v>19654.5</v>
      </c>
    </row>
    <row r="1390" spans="1:32" x14ac:dyDescent="0.25">
      <c r="A1390" s="10">
        <v>11</v>
      </c>
      <c r="B1390" s="32">
        <v>45687</v>
      </c>
      <c r="C1390" s="33">
        <f t="shared" si="459"/>
        <v>7744</v>
      </c>
      <c r="D1390" s="34">
        <f>1878+26</f>
        <v>1904</v>
      </c>
      <c r="E1390" s="34"/>
      <c r="F1390" s="34">
        <f t="shared" si="463"/>
        <v>1904</v>
      </c>
      <c r="G1390" s="12"/>
      <c r="H1390" s="12"/>
      <c r="I1390" s="12"/>
      <c r="J1390" s="12">
        <f t="shared" si="454"/>
        <v>1904</v>
      </c>
      <c r="L1390" s="10">
        <v>11</v>
      </c>
      <c r="M1390" s="32">
        <v>45687</v>
      </c>
      <c r="N1390" s="33">
        <f t="shared" si="460"/>
        <v>9591</v>
      </c>
      <c r="O1390" s="34">
        <f>1252+17</f>
        <v>1269</v>
      </c>
      <c r="P1390" s="34"/>
      <c r="Q1390" s="34">
        <f t="shared" si="464"/>
        <v>1269</v>
      </c>
      <c r="R1390" s="12"/>
      <c r="S1390" s="12"/>
      <c r="T1390" s="12"/>
      <c r="U1390" s="12">
        <f t="shared" si="456"/>
        <v>1269</v>
      </c>
      <c r="W1390" s="10">
        <v>11</v>
      </c>
      <c r="X1390" s="32">
        <v>45687</v>
      </c>
      <c r="Y1390" s="33">
        <f t="shared" si="461"/>
        <v>7826</v>
      </c>
      <c r="Z1390" s="34">
        <f>6260+3070+2980+205</f>
        <v>12515</v>
      </c>
      <c r="AA1390" s="34"/>
      <c r="AB1390" s="34">
        <f t="shared" ref="AB1390:AB1412" si="465">SUM(Z1390:AA1390)</f>
        <v>12515</v>
      </c>
      <c r="AC1390" s="12"/>
      <c r="AD1390" s="12"/>
      <c r="AE1390" s="12"/>
      <c r="AF1390" s="12">
        <f t="shared" si="458"/>
        <v>12515</v>
      </c>
    </row>
    <row r="1391" spans="1:32" x14ac:dyDescent="0.25">
      <c r="A1391" s="10">
        <v>12</v>
      </c>
      <c r="B1391" s="32">
        <v>45687</v>
      </c>
      <c r="C1391" s="33">
        <f t="shared" si="459"/>
        <v>7745</v>
      </c>
      <c r="D1391" s="34">
        <f>250</f>
        <v>250</v>
      </c>
      <c r="E1391" s="34"/>
      <c r="F1391" s="34">
        <f t="shared" si="463"/>
        <v>250</v>
      </c>
      <c r="G1391" s="12"/>
      <c r="H1391" s="12"/>
      <c r="I1391" s="12"/>
      <c r="J1391" s="12">
        <f t="shared" si="454"/>
        <v>250</v>
      </c>
      <c r="L1391" s="10">
        <v>12</v>
      </c>
      <c r="M1391" s="32">
        <v>45687</v>
      </c>
      <c r="N1391" s="33">
        <f t="shared" si="460"/>
        <v>9592</v>
      </c>
      <c r="O1391" s="34">
        <f>2504+34</f>
        <v>2538</v>
      </c>
      <c r="P1391" s="34"/>
      <c r="Q1391" s="34">
        <f t="shared" si="464"/>
        <v>2538</v>
      </c>
      <c r="R1391" s="12"/>
      <c r="S1391" s="12"/>
      <c r="T1391" s="12"/>
      <c r="U1391" s="12">
        <f t="shared" si="456"/>
        <v>2538</v>
      </c>
      <c r="W1391" s="10">
        <v>12</v>
      </c>
      <c r="X1391" s="32">
        <v>45687</v>
      </c>
      <c r="Y1391" s="33">
        <f t="shared" si="461"/>
        <v>7827</v>
      </c>
      <c r="Z1391" s="34">
        <f>6886+205</f>
        <v>7091</v>
      </c>
      <c r="AA1391" s="34"/>
      <c r="AB1391" s="34">
        <f t="shared" si="465"/>
        <v>7091</v>
      </c>
      <c r="AC1391" s="12"/>
      <c r="AD1391" s="12">
        <v>555</v>
      </c>
      <c r="AE1391" s="12"/>
      <c r="AF1391" s="12">
        <f t="shared" si="458"/>
        <v>7646</v>
      </c>
    </row>
    <row r="1392" spans="1:32" x14ac:dyDescent="0.25">
      <c r="A1392" s="10">
        <v>13</v>
      </c>
      <c r="B1392" s="32">
        <v>45687</v>
      </c>
      <c r="C1392" s="33">
        <f t="shared" si="459"/>
        <v>7746</v>
      </c>
      <c r="D1392" s="34">
        <f>626*6+614+51</f>
        <v>4421</v>
      </c>
      <c r="E1392" s="34"/>
      <c r="F1392" s="34">
        <f t="shared" si="463"/>
        <v>4421</v>
      </c>
      <c r="G1392" s="12"/>
      <c r="H1392" s="12"/>
      <c r="I1392" s="12">
        <v>-84</v>
      </c>
      <c r="J1392" s="12">
        <f t="shared" si="454"/>
        <v>4337</v>
      </c>
      <c r="L1392" s="10">
        <v>13</v>
      </c>
      <c r="M1392" s="32">
        <v>45687</v>
      </c>
      <c r="N1392" s="33">
        <f t="shared" si="460"/>
        <v>9593</v>
      </c>
      <c r="O1392" s="34">
        <f>626*80+614*5+596*2+205</f>
        <v>54547</v>
      </c>
      <c r="P1392" s="34">
        <v>-704</v>
      </c>
      <c r="Q1392" s="34">
        <f t="shared" si="464"/>
        <v>53843</v>
      </c>
      <c r="R1392" s="12"/>
      <c r="S1392" s="12"/>
      <c r="T1392" s="12"/>
      <c r="U1392" s="12">
        <f t="shared" si="456"/>
        <v>53843</v>
      </c>
      <c r="W1392" s="10">
        <v>13</v>
      </c>
      <c r="X1392" s="32"/>
      <c r="Y1392" s="11" t="s">
        <v>28</v>
      </c>
      <c r="Z1392" s="34"/>
      <c r="AA1392" s="34"/>
      <c r="AB1392" s="34">
        <f t="shared" si="465"/>
        <v>0</v>
      </c>
      <c r="AC1392" s="12"/>
      <c r="AD1392" s="12"/>
      <c r="AE1392" s="12"/>
      <c r="AF1392" s="12">
        <f t="shared" si="458"/>
        <v>0</v>
      </c>
    </row>
    <row r="1393" spans="1:32" x14ac:dyDescent="0.25">
      <c r="A1393" s="10">
        <v>14</v>
      </c>
      <c r="B1393" s="32"/>
      <c r="C1393" s="11" t="s">
        <v>28</v>
      </c>
      <c r="D1393" s="34"/>
      <c r="E1393" s="34"/>
      <c r="F1393" s="34">
        <f t="shared" si="463"/>
        <v>0</v>
      </c>
      <c r="G1393" s="12"/>
      <c r="H1393" s="12"/>
      <c r="I1393" s="12"/>
      <c r="J1393" s="12">
        <f t="shared" si="454"/>
        <v>0</v>
      </c>
      <c r="L1393" s="10">
        <v>14</v>
      </c>
      <c r="M1393" s="32">
        <v>45687</v>
      </c>
      <c r="N1393" s="33">
        <f t="shared" si="460"/>
        <v>9594</v>
      </c>
      <c r="O1393" s="34">
        <f>1252+205</f>
        <v>1457</v>
      </c>
      <c r="P1393" s="34"/>
      <c r="Q1393" s="34">
        <f t="shared" si="464"/>
        <v>1457</v>
      </c>
      <c r="R1393" s="12"/>
      <c r="S1393" s="12"/>
      <c r="T1393" s="12"/>
      <c r="U1393" s="12">
        <f t="shared" si="456"/>
        <v>1457</v>
      </c>
      <c r="W1393" s="10">
        <v>14</v>
      </c>
      <c r="X1393" s="32"/>
      <c r="Y1393" s="33"/>
      <c r="AA1393" s="34"/>
      <c r="AB1393" s="34">
        <f t="shared" si="465"/>
        <v>0</v>
      </c>
      <c r="AC1393" s="12"/>
      <c r="AD1393" s="12"/>
      <c r="AE1393" s="12"/>
      <c r="AF1393" s="12">
        <f t="shared" si="458"/>
        <v>0</v>
      </c>
    </row>
    <row r="1394" spans="1:32" x14ac:dyDescent="0.25">
      <c r="A1394" s="10">
        <v>15</v>
      </c>
      <c r="B1394" s="32"/>
      <c r="C1394" s="33"/>
      <c r="D1394" s="34"/>
      <c r="E1394" s="34"/>
      <c r="F1394" s="34">
        <f t="shared" si="463"/>
        <v>0</v>
      </c>
      <c r="G1394" s="12"/>
      <c r="H1394" s="12"/>
      <c r="I1394" s="12"/>
      <c r="J1394" s="12">
        <f t="shared" si="454"/>
        <v>0</v>
      </c>
      <c r="L1394" s="10">
        <v>15</v>
      </c>
      <c r="M1394" s="32">
        <v>45687</v>
      </c>
      <c r="N1394" s="33">
        <f t="shared" si="460"/>
        <v>9595</v>
      </c>
      <c r="O1394" s="34">
        <f>626+8.5</f>
        <v>634.5</v>
      </c>
      <c r="P1394" s="34"/>
      <c r="Q1394" s="34">
        <f t="shared" si="464"/>
        <v>634.5</v>
      </c>
      <c r="R1394" s="12"/>
      <c r="S1394" s="12"/>
      <c r="T1394" s="12"/>
      <c r="U1394" s="12">
        <f t="shared" si="456"/>
        <v>634.5</v>
      </c>
      <c r="W1394" s="10">
        <v>15</v>
      </c>
      <c r="X1394" s="32"/>
      <c r="Z1394" s="34"/>
      <c r="AA1394" s="34"/>
      <c r="AB1394" s="34">
        <f t="shared" si="465"/>
        <v>0</v>
      </c>
      <c r="AC1394" s="12"/>
      <c r="AD1394" s="12"/>
      <c r="AE1394" s="12"/>
      <c r="AF1394" s="12">
        <f t="shared" si="458"/>
        <v>0</v>
      </c>
    </row>
    <row r="1395" spans="1:32" x14ac:dyDescent="0.25">
      <c r="A1395" s="10">
        <v>16</v>
      </c>
      <c r="B1395" s="32"/>
      <c r="C1395" s="33"/>
      <c r="D1395" s="34"/>
      <c r="E1395" s="34"/>
      <c r="F1395" s="34">
        <f t="shared" si="463"/>
        <v>0</v>
      </c>
      <c r="G1395" s="12"/>
      <c r="H1395" s="12"/>
      <c r="I1395" s="12"/>
      <c r="J1395" s="12">
        <f t="shared" si="454"/>
        <v>0</v>
      </c>
      <c r="L1395" s="10">
        <v>16</v>
      </c>
      <c r="M1395" s="32">
        <v>45687</v>
      </c>
      <c r="N1395" s="33">
        <f t="shared" si="460"/>
        <v>9596</v>
      </c>
      <c r="O1395" s="34">
        <f>626*4+614*2+34</f>
        <v>3766</v>
      </c>
      <c r="P1395" s="34"/>
      <c r="Q1395" s="34">
        <f t="shared" si="464"/>
        <v>3766</v>
      </c>
      <c r="R1395" s="12"/>
      <c r="S1395" s="12"/>
      <c r="T1395" s="12"/>
      <c r="U1395" s="12">
        <f t="shared" si="456"/>
        <v>3766</v>
      </c>
      <c r="W1395" s="10">
        <v>16</v>
      </c>
      <c r="X1395" s="32"/>
      <c r="Y1395" s="33"/>
      <c r="Z1395" s="34"/>
      <c r="AA1395" s="34"/>
      <c r="AB1395" s="34">
        <f t="shared" si="465"/>
        <v>0</v>
      </c>
      <c r="AC1395" s="12"/>
      <c r="AD1395" s="12"/>
      <c r="AE1395" s="12"/>
      <c r="AF1395" s="12">
        <f t="shared" si="458"/>
        <v>0</v>
      </c>
    </row>
    <row r="1396" spans="1:32" x14ac:dyDescent="0.25">
      <c r="A1396" s="10">
        <v>17</v>
      </c>
      <c r="B1396" s="32"/>
      <c r="C1396" s="33"/>
      <c r="D1396" s="37"/>
      <c r="E1396" s="34"/>
      <c r="F1396" s="34">
        <f t="shared" si="463"/>
        <v>0</v>
      </c>
      <c r="G1396" s="12"/>
      <c r="H1396" s="12"/>
      <c r="I1396" s="12"/>
      <c r="J1396" s="12">
        <f t="shared" si="454"/>
        <v>0</v>
      </c>
      <c r="L1396" s="10">
        <v>17</v>
      </c>
      <c r="M1396" s="32">
        <v>45687</v>
      </c>
      <c r="N1396" s="33">
        <f t="shared" si="460"/>
        <v>9597</v>
      </c>
      <c r="O1396" s="37">
        <f>1252+614+17</f>
        <v>1883</v>
      </c>
      <c r="P1396" s="34"/>
      <c r="Q1396" s="34">
        <f t="shared" si="464"/>
        <v>1883</v>
      </c>
      <c r="R1396" s="12"/>
      <c r="S1396" s="12"/>
      <c r="T1396" s="12"/>
      <c r="U1396" s="12">
        <f t="shared" si="456"/>
        <v>1883</v>
      </c>
      <c r="W1396" s="10">
        <v>17</v>
      </c>
      <c r="X1396" s="32"/>
      <c r="Y1396" s="33"/>
      <c r="Z1396" s="37"/>
      <c r="AA1396" s="34"/>
      <c r="AB1396" s="34">
        <f t="shared" si="465"/>
        <v>0</v>
      </c>
      <c r="AC1396" s="12"/>
      <c r="AD1396" s="12"/>
      <c r="AE1396" s="12"/>
      <c r="AF1396" s="12">
        <f t="shared" si="458"/>
        <v>0</v>
      </c>
    </row>
    <row r="1397" spans="1:32" x14ac:dyDescent="0.25">
      <c r="A1397" s="10">
        <v>18</v>
      </c>
      <c r="B1397" s="32"/>
      <c r="C1397" s="33"/>
      <c r="D1397" s="34"/>
      <c r="E1397" s="34"/>
      <c r="F1397" s="34">
        <f t="shared" si="463"/>
        <v>0</v>
      </c>
      <c r="G1397" s="12"/>
      <c r="H1397" s="12"/>
      <c r="I1397" s="12"/>
      <c r="J1397" s="12">
        <f t="shared" si="454"/>
        <v>0</v>
      </c>
      <c r="L1397" s="10">
        <v>18</v>
      </c>
      <c r="M1397" s="32">
        <v>45687</v>
      </c>
      <c r="N1397" s="33">
        <f t="shared" si="460"/>
        <v>9598</v>
      </c>
      <c r="O1397" s="34">
        <f>3130+614+42.5</f>
        <v>3786.5</v>
      </c>
      <c r="P1397" s="34"/>
      <c r="Q1397" s="34">
        <f t="shared" si="464"/>
        <v>3786.5</v>
      </c>
      <c r="R1397" s="12"/>
      <c r="S1397" s="12"/>
      <c r="T1397" s="12"/>
      <c r="U1397" s="12">
        <f t="shared" si="456"/>
        <v>3786.5</v>
      </c>
      <c r="W1397" s="10">
        <v>18</v>
      </c>
      <c r="X1397" s="32"/>
      <c r="Y1397" s="33"/>
      <c r="Z1397" s="34"/>
      <c r="AA1397" s="34"/>
      <c r="AB1397" s="34">
        <f t="shared" si="465"/>
        <v>0</v>
      </c>
      <c r="AC1397" s="12"/>
      <c r="AD1397" s="12"/>
      <c r="AE1397" s="12"/>
      <c r="AF1397" s="12">
        <f t="shared" si="458"/>
        <v>0</v>
      </c>
    </row>
    <row r="1398" spans="1:32" x14ac:dyDescent="0.25">
      <c r="A1398" s="10">
        <v>19</v>
      </c>
      <c r="B1398" s="32"/>
      <c r="D1398" s="34"/>
      <c r="E1398" s="34"/>
      <c r="F1398" s="34">
        <f t="shared" si="463"/>
        <v>0</v>
      </c>
      <c r="G1398" s="12"/>
      <c r="H1398" s="12"/>
      <c r="I1398" s="12"/>
      <c r="J1398" s="12">
        <f t="shared" si="454"/>
        <v>0</v>
      </c>
      <c r="L1398" s="10">
        <v>19</v>
      </c>
      <c r="M1398" s="32">
        <v>45687</v>
      </c>
      <c r="N1398" s="33">
        <f t="shared" si="460"/>
        <v>9599</v>
      </c>
      <c r="O1398" s="34">
        <f>1252+17</f>
        <v>1269</v>
      </c>
      <c r="P1398" s="34"/>
      <c r="Q1398" s="34">
        <f t="shared" si="464"/>
        <v>1269</v>
      </c>
      <c r="R1398" s="12"/>
      <c r="S1398" s="12"/>
      <c r="T1398" s="12"/>
      <c r="U1398" s="12">
        <f t="shared" si="456"/>
        <v>1269</v>
      </c>
      <c r="W1398" s="10">
        <v>19</v>
      </c>
      <c r="X1398" s="32"/>
      <c r="Y1398" s="33"/>
      <c r="Z1398" s="34"/>
      <c r="AA1398" s="34"/>
      <c r="AB1398" s="34">
        <f t="shared" si="465"/>
        <v>0</v>
      </c>
      <c r="AC1398" s="12"/>
      <c r="AD1398" s="12"/>
      <c r="AE1398" s="12"/>
      <c r="AF1398" s="12">
        <f t="shared" si="458"/>
        <v>0</v>
      </c>
    </row>
    <row r="1399" spans="1:32" x14ac:dyDescent="0.25">
      <c r="A1399" s="10">
        <v>20</v>
      </c>
      <c r="B1399" s="32"/>
      <c r="C1399" s="33"/>
      <c r="D1399" s="34"/>
      <c r="E1399" s="34"/>
      <c r="F1399" s="34">
        <f t="shared" si="463"/>
        <v>0</v>
      </c>
      <c r="G1399" s="12"/>
      <c r="H1399" s="12"/>
      <c r="I1399" s="12"/>
      <c r="J1399" s="12">
        <f t="shared" si="454"/>
        <v>0</v>
      </c>
      <c r="L1399" s="10">
        <v>20</v>
      </c>
      <c r="M1399" s="32">
        <v>45687</v>
      </c>
      <c r="N1399" s="33">
        <f t="shared" si="460"/>
        <v>9600</v>
      </c>
      <c r="O1399" s="34">
        <f>1252+17</f>
        <v>1269</v>
      </c>
      <c r="P1399" s="34"/>
      <c r="Q1399" s="34">
        <f t="shared" si="464"/>
        <v>1269</v>
      </c>
      <c r="R1399" s="12"/>
      <c r="S1399" s="12"/>
      <c r="T1399" s="12"/>
      <c r="U1399" s="12">
        <f t="shared" si="456"/>
        <v>1269</v>
      </c>
      <c r="W1399" s="10">
        <v>20</v>
      </c>
      <c r="X1399" s="32"/>
      <c r="Z1399" s="34"/>
      <c r="AA1399" s="34"/>
      <c r="AB1399" s="34">
        <f t="shared" si="465"/>
        <v>0</v>
      </c>
      <c r="AC1399" s="12"/>
      <c r="AD1399" s="12"/>
      <c r="AE1399" s="12"/>
      <c r="AF1399" s="12">
        <f t="shared" si="458"/>
        <v>0</v>
      </c>
    </row>
    <row r="1400" spans="1:32" x14ac:dyDescent="0.25">
      <c r="A1400" s="10">
        <v>21</v>
      </c>
      <c r="B1400" s="32"/>
      <c r="C1400" s="33"/>
      <c r="D1400" s="50"/>
      <c r="E1400" s="33"/>
      <c r="F1400" s="34">
        <f t="shared" si="463"/>
        <v>0</v>
      </c>
      <c r="G1400" s="10"/>
      <c r="H1400" s="10"/>
      <c r="I1400" s="10"/>
      <c r="J1400" s="12">
        <f t="shared" si="454"/>
        <v>0</v>
      </c>
      <c r="L1400" s="10">
        <v>21</v>
      </c>
      <c r="M1400" s="32">
        <v>45687</v>
      </c>
      <c r="N1400" s="33">
        <v>9651</v>
      </c>
      <c r="O1400" s="50">
        <f>614</f>
        <v>614</v>
      </c>
      <c r="P1400" s="33"/>
      <c r="Q1400" s="34">
        <f t="shared" si="464"/>
        <v>614</v>
      </c>
      <c r="R1400" s="10"/>
      <c r="S1400" s="10"/>
      <c r="T1400" s="10"/>
      <c r="U1400" s="12">
        <f t="shared" si="456"/>
        <v>614</v>
      </c>
      <c r="W1400" s="10">
        <v>21</v>
      </c>
      <c r="X1400" s="32"/>
      <c r="Y1400" s="33"/>
      <c r="Z1400" s="50"/>
      <c r="AA1400" s="33"/>
      <c r="AB1400" s="34">
        <f t="shared" si="465"/>
        <v>0</v>
      </c>
      <c r="AC1400" s="10"/>
      <c r="AD1400" s="10"/>
      <c r="AE1400" s="10"/>
      <c r="AF1400" s="12">
        <f t="shared" si="458"/>
        <v>0</v>
      </c>
    </row>
    <row r="1401" spans="1:32" x14ac:dyDescent="0.25">
      <c r="A1401" s="10">
        <v>22</v>
      </c>
      <c r="B1401" s="32"/>
      <c r="C1401" s="33"/>
      <c r="D1401" s="49"/>
      <c r="E1401" s="33"/>
      <c r="F1401" s="34">
        <f t="shared" si="463"/>
        <v>0</v>
      </c>
      <c r="G1401" s="10"/>
      <c r="H1401" s="10"/>
      <c r="I1401" s="10"/>
      <c r="J1401" s="12">
        <f t="shared" si="454"/>
        <v>0</v>
      </c>
      <c r="L1401" s="10">
        <v>22</v>
      </c>
      <c r="M1401" s="32">
        <v>45687</v>
      </c>
      <c r="N1401" s="33">
        <f t="shared" si="460"/>
        <v>9652</v>
      </c>
      <c r="O1401" s="49">
        <f>1252+17</f>
        <v>1269</v>
      </c>
      <c r="P1401" s="33"/>
      <c r="Q1401" s="34">
        <f t="shared" si="464"/>
        <v>1269</v>
      </c>
      <c r="R1401" s="10"/>
      <c r="S1401" s="10"/>
      <c r="T1401" s="10"/>
      <c r="U1401" s="12">
        <f t="shared" si="456"/>
        <v>1269</v>
      </c>
      <c r="W1401" s="10">
        <v>22</v>
      </c>
      <c r="X1401" s="32"/>
      <c r="Z1401" s="49"/>
      <c r="AA1401" s="33"/>
      <c r="AB1401" s="34">
        <f t="shared" si="465"/>
        <v>0</v>
      </c>
      <c r="AC1401" s="10"/>
      <c r="AD1401" s="10"/>
      <c r="AE1401" s="10"/>
      <c r="AF1401" s="12">
        <f t="shared" si="458"/>
        <v>0</v>
      </c>
    </row>
    <row r="1402" spans="1:32" x14ac:dyDescent="0.25">
      <c r="A1402" s="10">
        <v>23</v>
      </c>
      <c r="B1402" s="32"/>
      <c r="C1402" s="70"/>
      <c r="D1402" s="51"/>
      <c r="E1402"/>
      <c r="F1402" s="34">
        <f t="shared" si="463"/>
        <v>0</v>
      </c>
      <c r="G1402" s="10"/>
      <c r="H1402" s="10"/>
      <c r="I1402" s="10"/>
      <c r="J1402" s="12">
        <f t="shared" si="454"/>
        <v>0</v>
      </c>
      <c r="L1402" s="10">
        <v>23</v>
      </c>
      <c r="M1402" s="32">
        <v>45687</v>
      </c>
      <c r="N1402" s="33">
        <f t="shared" si="460"/>
        <v>9653</v>
      </c>
      <c r="O1402" s="51">
        <f>1252+17</f>
        <v>1269</v>
      </c>
      <c r="Q1402" s="34">
        <f t="shared" si="464"/>
        <v>1269</v>
      </c>
      <c r="R1402" s="10"/>
      <c r="S1402" s="10"/>
      <c r="T1402" s="10"/>
      <c r="U1402" s="12">
        <f t="shared" si="456"/>
        <v>1269</v>
      </c>
      <c r="W1402" s="10">
        <v>23</v>
      </c>
      <c r="X1402" s="32"/>
      <c r="Y1402" s="33"/>
      <c r="Z1402" s="51"/>
      <c r="AB1402" s="34">
        <f t="shared" si="465"/>
        <v>0</v>
      </c>
      <c r="AC1402" s="10"/>
      <c r="AD1402" s="10"/>
      <c r="AE1402" s="10"/>
      <c r="AF1402" s="12">
        <f t="shared" si="458"/>
        <v>0</v>
      </c>
    </row>
    <row r="1403" spans="1:32" x14ac:dyDescent="0.25">
      <c r="A1403" s="10">
        <v>24</v>
      </c>
      <c r="B1403" s="32"/>
      <c r="C1403" s="33"/>
      <c r="D1403" s="51"/>
      <c r="E1403" s="33"/>
      <c r="F1403" s="34">
        <f t="shared" si="463"/>
        <v>0</v>
      </c>
      <c r="G1403" s="10"/>
      <c r="H1403" s="10"/>
      <c r="I1403" s="10"/>
      <c r="J1403" s="12">
        <f t="shared" si="454"/>
        <v>0</v>
      </c>
      <c r="L1403" s="10">
        <v>24</v>
      </c>
      <c r="M1403" s="32">
        <v>45687</v>
      </c>
      <c r="N1403" s="33">
        <f t="shared" si="460"/>
        <v>9654</v>
      </c>
      <c r="O1403" s="51">
        <f>1878+25.5</f>
        <v>1903.5</v>
      </c>
      <c r="P1403" s="33"/>
      <c r="Q1403" s="34">
        <f t="shared" si="464"/>
        <v>1903.5</v>
      </c>
      <c r="R1403" s="10"/>
      <c r="S1403" s="10"/>
      <c r="T1403" s="10"/>
      <c r="U1403" s="12">
        <f t="shared" si="456"/>
        <v>1903.5</v>
      </c>
      <c r="W1403" s="10">
        <v>24</v>
      </c>
      <c r="X1403" s="32"/>
      <c r="Z1403" s="51"/>
      <c r="AA1403" s="33"/>
      <c r="AB1403" s="34">
        <f t="shared" si="465"/>
        <v>0</v>
      </c>
      <c r="AC1403" s="10"/>
      <c r="AD1403" s="10"/>
      <c r="AE1403" s="10"/>
      <c r="AF1403" s="12">
        <f t="shared" si="458"/>
        <v>0</v>
      </c>
    </row>
    <row r="1404" spans="1:32" x14ac:dyDescent="0.25">
      <c r="A1404" s="10">
        <v>25</v>
      </c>
      <c r="B1404" s="32"/>
      <c r="C1404" s="33"/>
      <c r="D1404" s="51"/>
      <c r="E1404" s="33"/>
      <c r="F1404" s="34">
        <f t="shared" si="463"/>
        <v>0</v>
      </c>
      <c r="G1404" s="10"/>
      <c r="H1404" s="10"/>
      <c r="I1404" s="10"/>
      <c r="J1404" s="12">
        <f t="shared" si="454"/>
        <v>0</v>
      </c>
      <c r="L1404" s="10">
        <v>25</v>
      </c>
      <c r="M1404" s="32"/>
      <c r="O1404" s="51"/>
      <c r="P1404" s="33"/>
      <c r="Q1404" s="34">
        <f t="shared" si="464"/>
        <v>0</v>
      </c>
      <c r="R1404" s="10"/>
      <c r="S1404" s="10"/>
      <c r="T1404" s="10"/>
      <c r="U1404" s="12">
        <f t="shared" si="456"/>
        <v>0</v>
      </c>
      <c r="W1404" s="10">
        <v>25</v>
      </c>
      <c r="X1404" s="32"/>
      <c r="Z1404" s="51"/>
      <c r="AA1404" s="33"/>
      <c r="AB1404" s="34">
        <f t="shared" si="465"/>
        <v>0</v>
      </c>
      <c r="AC1404" s="10"/>
      <c r="AD1404" s="10"/>
      <c r="AE1404" s="10"/>
      <c r="AF1404" s="12">
        <f t="shared" si="458"/>
        <v>0</v>
      </c>
    </row>
    <row r="1405" spans="1:32" x14ac:dyDescent="0.25">
      <c r="A1405" s="10">
        <v>26</v>
      </c>
      <c r="B1405" s="32"/>
      <c r="C1405" s="33"/>
      <c r="D1405" s="51"/>
      <c r="E1405" s="33"/>
      <c r="F1405" s="34">
        <f t="shared" si="463"/>
        <v>0</v>
      </c>
      <c r="G1405" s="10"/>
      <c r="H1405" s="10"/>
      <c r="I1405" s="10"/>
      <c r="J1405" s="12">
        <f t="shared" si="454"/>
        <v>0</v>
      </c>
      <c r="L1405" s="10">
        <v>26</v>
      </c>
      <c r="M1405" s="32"/>
      <c r="N1405" s="33"/>
      <c r="O1405" s="51"/>
      <c r="P1405" s="33"/>
      <c r="Q1405" s="34">
        <f t="shared" si="464"/>
        <v>0</v>
      </c>
      <c r="R1405" s="10"/>
      <c r="S1405" s="10"/>
      <c r="T1405" s="10"/>
      <c r="U1405" s="12">
        <f t="shared" si="456"/>
        <v>0</v>
      </c>
      <c r="W1405" s="10">
        <v>26</v>
      </c>
      <c r="X1405" s="32"/>
      <c r="Z1405" s="51"/>
      <c r="AA1405" s="33"/>
      <c r="AB1405" s="34">
        <f t="shared" si="465"/>
        <v>0</v>
      </c>
      <c r="AC1405" s="10"/>
      <c r="AD1405" s="10"/>
      <c r="AE1405" s="10"/>
      <c r="AF1405" s="12">
        <f t="shared" si="458"/>
        <v>0</v>
      </c>
    </row>
    <row r="1406" spans="1:32" x14ac:dyDescent="0.25">
      <c r="A1406" s="10">
        <v>27</v>
      </c>
      <c r="B1406" s="32"/>
      <c r="C1406" s="33"/>
      <c r="D1406" s="51"/>
      <c r="E1406" s="33"/>
      <c r="F1406" s="34">
        <f t="shared" si="463"/>
        <v>0</v>
      </c>
      <c r="G1406" s="10"/>
      <c r="H1406" s="10"/>
      <c r="I1406" s="10"/>
      <c r="J1406" s="12">
        <f t="shared" si="454"/>
        <v>0</v>
      </c>
      <c r="L1406" s="10">
        <v>27</v>
      </c>
      <c r="M1406" s="32"/>
      <c r="N1406" s="33"/>
      <c r="O1406" s="51"/>
      <c r="P1406" s="33"/>
      <c r="Q1406" s="34">
        <f t="shared" si="464"/>
        <v>0</v>
      </c>
      <c r="R1406" s="10"/>
      <c r="S1406" s="10"/>
      <c r="T1406" s="10"/>
      <c r="U1406" s="12">
        <f t="shared" si="456"/>
        <v>0</v>
      </c>
      <c r="W1406" s="10">
        <v>27</v>
      </c>
      <c r="X1406" s="32"/>
      <c r="Y1406" s="33"/>
      <c r="Z1406" s="51"/>
      <c r="AA1406" s="33"/>
      <c r="AB1406" s="34">
        <f t="shared" si="465"/>
        <v>0</v>
      </c>
      <c r="AC1406" s="10"/>
      <c r="AD1406" s="10"/>
      <c r="AE1406" s="10"/>
      <c r="AF1406" s="12">
        <f t="shared" si="458"/>
        <v>0</v>
      </c>
    </row>
    <row r="1407" spans="1:32" x14ac:dyDescent="0.25">
      <c r="A1407" s="10">
        <v>28</v>
      </c>
      <c r="B1407" s="32"/>
      <c r="C1407" s="33"/>
      <c r="D1407" s="51"/>
      <c r="E1407" s="33"/>
      <c r="F1407" s="34">
        <f t="shared" si="463"/>
        <v>0</v>
      </c>
      <c r="G1407" s="10"/>
      <c r="H1407" s="10"/>
      <c r="I1407" s="10"/>
      <c r="J1407" s="12">
        <f t="shared" si="454"/>
        <v>0</v>
      </c>
      <c r="L1407" s="10">
        <v>28</v>
      </c>
      <c r="M1407" s="32"/>
      <c r="N1407" s="33"/>
      <c r="O1407" s="51"/>
      <c r="P1407" s="33"/>
      <c r="Q1407" s="34">
        <f t="shared" si="464"/>
        <v>0</v>
      </c>
      <c r="R1407" s="10"/>
      <c r="S1407" s="10"/>
      <c r="T1407" s="10"/>
      <c r="U1407" s="12">
        <f t="shared" si="456"/>
        <v>0</v>
      </c>
      <c r="W1407" s="10">
        <v>28</v>
      </c>
      <c r="X1407" s="32"/>
      <c r="Z1407" s="51"/>
      <c r="AA1407" s="33"/>
      <c r="AB1407" s="34">
        <f t="shared" si="465"/>
        <v>0</v>
      </c>
      <c r="AC1407" s="10"/>
      <c r="AD1407" s="10"/>
      <c r="AE1407" s="10"/>
      <c r="AF1407" s="12">
        <f t="shared" si="458"/>
        <v>0</v>
      </c>
    </row>
    <row r="1408" spans="1:32" x14ac:dyDescent="0.25">
      <c r="A1408" s="10">
        <v>29</v>
      </c>
      <c r="B1408" s="32"/>
      <c r="C1408" s="33"/>
      <c r="D1408" s="51"/>
      <c r="E1408" s="33"/>
      <c r="F1408" s="34">
        <f t="shared" si="463"/>
        <v>0</v>
      </c>
      <c r="G1408" s="10"/>
      <c r="H1408" s="10"/>
      <c r="I1408" s="10"/>
      <c r="J1408" s="12">
        <f t="shared" si="454"/>
        <v>0</v>
      </c>
      <c r="L1408" s="10">
        <v>29</v>
      </c>
      <c r="M1408" s="32"/>
      <c r="N1408" s="33"/>
      <c r="O1408" s="51"/>
      <c r="P1408" s="33"/>
      <c r="Q1408" s="34">
        <f t="shared" si="464"/>
        <v>0</v>
      </c>
      <c r="R1408" s="10"/>
      <c r="S1408" s="10"/>
      <c r="T1408" s="10"/>
      <c r="U1408" s="12">
        <f t="shared" si="456"/>
        <v>0</v>
      </c>
      <c r="W1408" s="10">
        <v>29</v>
      </c>
      <c r="X1408" s="32"/>
      <c r="Z1408" s="51"/>
      <c r="AA1408" s="33"/>
      <c r="AB1408" s="34">
        <f t="shared" si="465"/>
        <v>0</v>
      </c>
      <c r="AC1408" s="10"/>
      <c r="AD1408" s="10"/>
      <c r="AE1408" s="10"/>
      <c r="AF1408" s="12">
        <f t="shared" si="458"/>
        <v>0</v>
      </c>
    </row>
    <row r="1409" spans="1:32" x14ac:dyDescent="0.25">
      <c r="A1409" s="10">
        <v>30</v>
      </c>
      <c r="B1409" s="32"/>
      <c r="C1409" s="70"/>
      <c r="D1409" s="51"/>
      <c r="E1409" s="33"/>
      <c r="F1409" s="34">
        <f t="shared" si="463"/>
        <v>0</v>
      </c>
      <c r="G1409" s="10"/>
      <c r="H1409" s="10"/>
      <c r="I1409" s="10"/>
      <c r="J1409" s="12">
        <f t="shared" si="454"/>
        <v>0</v>
      </c>
      <c r="L1409" s="10">
        <v>30</v>
      </c>
      <c r="M1409" s="32"/>
      <c r="N1409" s="11" t="s">
        <v>28</v>
      </c>
      <c r="O1409" s="51"/>
      <c r="P1409" s="33"/>
      <c r="Q1409" s="34">
        <f t="shared" si="464"/>
        <v>0</v>
      </c>
      <c r="R1409" s="10"/>
      <c r="S1409" s="10"/>
      <c r="T1409" s="10"/>
      <c r="U1409" s="12">
        <f t="shared" si="456"/>
        <v>0</v>
      </c>
      <c r="W1409" s="10">
        <v>30</v>
      </c>
      <c r="X1409" s="32"/>
      <c r="Y1409" s="33"/>
      <c r="Z1409" s="51"/>
      <c r="AA1409" s="33"/>
      <c r="AB1409" s="34">
        <f t="shared" si="465"/>
        <v>0</v>
      </c>
      <c r="AC1409" s="10"/>
      <c r="AD1409" s="10"/>
      <c r="AE1409" s="10"/>
      <c r="AF1409" s="12">
        <f t="shared" si="458"/>
        <v>0</v>
      </c>
    </row>
    <row r="1410" spans="1:32" x14ac:dyDescent="0.25">
      <c r="A1410" s="10">
        <v>31</v>
      </c>
      <c r="B1410" s="32"/>
      <c r="C1410" s="33"/>
      <c r="D1410" s="51"/>
      <c r="E1410" s="33"/>
      <c r="F1410" s="34">
        <f t="shared" si="463"/>
        <v>0</v>
      </c>
      <c r="G1410" s="10"/>
      <c r="H1410" s="10"/>
      <c r="I1410" s="10"/>
      <c r="J1410" s="12">
        <f t="shared" si="454"/>
        <v>0</v>
      </c>
      <c r="L1410" s="10">
        <v>31</v>
      </c>
      <c r="M1410" s="32"/>
      <c r="O1410" s="51"/>
      <c r="P1410" s="33"/>
      <c r="Q1410" s="34">
        <f t="shared" si="464"/>
        <v>0</v>
      </c>
      <c r="R1410" s="10"/>
      <c r="S1410" s="10"/>
      <c r="T1410" s="10"/>
      <c r="U1410" s="12">
        <f t="shared" si="456"/>
        <v>0</v>
      </c>
      <c r="W1410" s="10">
        <v>31</v>
      </c>
      <c r="X1410" s="32"/>
      <c r="Z1410" s="51"/>
      <c r="AA1410" s="33"/>
      <c r="AB1410" s="34">
        <f t="shared" si="465"/>
        <v>0</v>
      </c>
      <c r="AC1410" s="10"/>
      <c r="AD1410" s="10"/>
      <c r="AE1410" s="10"/>
      <c r="AF1410" s="12">
        <f t="shared" si="458"/>
        <v>0</v>
      </c>
    </row>
    <row r="1411" spans="1:32" x14ac:dyDescent="0.25">
      <c r="A1411" s="10">
        <v>32</v>
      </c>
      <c r="B1411" s="32"/>
      <c r="C1411" s="70"/>
      <c r="D1411" s="51"/>
      <c r="E1411" s="33"/>
      <c r="F1411" s="34">
        <f t="shared" si="463"/>
        <v>0</v>
      </c>
      <c r="G1411" s="10"/>
      <c r="H1411" s="10"/>
      <c r="I1411" s="10"/>
      <c r="J1411" s="12">
        <f t="shared" si="454"/>
        <v>0</v>
      </c>
      <c r="L1411" s="10">
        <v>32</v>
      </c>
      <c r="M1411" s="32"/>
      <c r="N1411" s="33"/>
      <c r="O1411" s="51"/>
      <c r="P1411" s="33"/>
      <c r="Q1411" s="34">
        <f t="shared" si="464"/>
        <v>0</v>
      </c>
      <c r="R1411" s="10"/>
      <c r="S1411" s="10"/>
      <c r="T1411" s="10"/>
      <c r="U1411" s="12">
        <f t="shared" si="456"/>
        <v>0</v>
      </c>
      <c r="W1411" s="10">
        <v>32</v>
      </c>
      <c r="X1411" s="32"/>
      <c r="Y1411" s="33"/>
      <c r="Z1411" s="51"/>
      <c r="AA1411" s="33"/>
      <c r="AB1411" s="34">
        <f t="shared" si="465"/>
        <v>0</v>
      </c>
      <c r="AC1411" s="10"/>
      <c r="AD1411" s="10"/>
      <c r="AE1411" s="10"/>
      <c r="AF1411" s="12">
        <f t="shared" si="458"/>
        <v>0</v>
      </c>
    </row>
    <row r="1412" spans="1:32" x14ac:dyDescent="0.25">
      <c r="A1412" s="10">
        <v>33</v>
      </c>
      <c r="B1412" s="32"/>
      <c r="C1412" s="33"/>
      <c r="D1412" s="51"/>
      <c r="E1412" s="33"/>
      <c r="F1412" s="34">
        <f t="shared" si="463"/>
        <v>0</v>
      </c>
      <c r="G1412" s="10"/>
      <c r="H1412" s="10"/>
      <c r="I1412" s="10"/>
      <c r="J1412" s="12">
        <f t="shared" si="454"/>
        <v>0</v>
      </c>
      <c r="L1412" s="10">
        <v>33</v>
      </c>
      <c r="M1412" s="32"/>
      <c r="N1412" s="33"/>
      <c r="O1412" s="51"/>
      <c r="P1412" s="33"/>
      <c r="Q1412" s="34">
        <f t="shared" si="464"/>
        <v>0</v>
      </c>
      <c r="R1412" s="10"/>
      <c r="S1412" s="10"/>
      <c r="T1412" s="10"/>
      <c r="U1412" s="12">
        <f t="shared" si="456"/>
        <v>0</v>
      </c>
      <c r="W1412" s="10">
        <v>33</v>
      </c>
      <c r="X1412" s="32"/>
      <c r="Y1412" s="33"/>
      <c r="Z1412" s="51"/>
      <c r="AA1412" s="33"/>
      <c r="AB1412" s="34">
        <f t="shared" si="465"/>
        <v>0</v>
      </c>
      <c r="AC1412" s="10"/>
      <c r="AD1412" s="10"/>
      <c r="AE1412" s="10"/>
      <c r="AF1412" s="12">
        <f t="shared" si="458"/>
        <v>0</v>
      </c>
    </row>
    <row r="1413" spans="1:32" x14ac:dyDescent="0.25">
      <c r="A1413" s="10">
        <v>34</v>
      </c>
      <c r="B1413" s="32"/>
      <c r="C1413" s="33"/>
      <c r="D1413" s="51"/>
      <c r="E1413" s="33"/>
      <c r="F1413" s="34">
        <f t="shared" si="463"/>
        <v>0</v>
      </c>
      <c r="G1413" s="10"/>
      <c r="H1413" s="10"/>
      <c r="I1413" s="10"/>
      <c r="J1413" s="12">
        <f t="shared" si="454"/>
        <v>0</v>
      </c>
      <c r="L1413" s="10">
        <v>34</v>
      </c>
      <c r="M1413" s="32"/>
      <c r="N1413" s="33"/>
      <c r="O1413" s="51"/>
      <c r="P1413" s="33"/>
      <c r="Q1413" s="34">
        <f t="shared" si="464"/>
        <v>0</v>
      </c>
      <c r="R1413" s="10"/>
      <c r="S1413" s="10"/>
      <c r="T1413" s="10"/>
      <c r="U1413" s="12">
        <f t="shared" si="456"/>
        <v>0</v>
      </c>
      <c r="W1413" s="10">
        <v>34</v>
      </c>
      <c r="X1413" s="32"/>
      <c r="Y1413" s="33"/>
      <c r="Z1413" s="51"/>
      <c r="AA1413" s="33"/>
      <c r="AB1413" s="34">
        <f t="shared" ref="AB1413:AB1418" si="466">SUM(Z1413:AA1413)</f>
        <v>0</v>
      </c>
      <c r="AC1413" s="10"/>
      <c r="AD1413" s="10"/>
      <c r="AE1413" s="10"/>
      <c r="AF1413" s="12">
        <f t="shared" si="458"/>
        <v>0</v>
      </c>
    </row>
    <row r="1414" spans="1:32" x14ac:dyDescent="0.25">
      <c r="A1414" s="10">
        <v>35</v>
      </c>
      <c r="B1414" s="32"/>
      <c r="C1414" s="33"/>
      <c r="D1414" s="51"/>
      <c r="E1414" s="33"/>
      <c r="F1414" s="34">
        <f t="shared" si="463"/>
        <v>0</v>
      </c>
      <c r="G1414" s="10"/>
      <c r="H1414" s="10"/>
      <c r="I1414" s="10"/>
      <c r="J1414" s="12">
        <f t="shared" si="454"/>
        <v>0</v>
      </c>
      <c r="L1414" s="10">
        <v>35</v>
      </c>
      <c r="M1414" s="32"/>
      <c r="N1414" s="33"/>
      <c r="O1414" s="51"/>
      <c r="P1414" s="33"/>
      <c r="Q1414" s="34">
        <f t="shared" si="464"/>
        <v>0</v>
      </c>
      <c r="R1414" s="10"/>
      <c r="S1414" s="10"/>
      <c r="T1414" s="10"/>
      <c r="U1414" s="12">
        <f t="shared" si="456"/>
        <v>0</v>
      </c>
      <c r="W1414" s="10">
        <v>35</v>
      </c>
      <c r="X1414" s="32"/>
      <c r="Y1414" s="33"/>
      <c r="Z1414" s="51"/>
      <c r="AA1414" s="33"/>
      <c r="AB1414" s="34">
        <f t="shared" si="466"/>
        <v>0</v>
      </c>
      <c r="AC1414" s="10"/>
      <c r="AD1414" s="10"/>
      <c r="AE1414" s="10"/>
      <c r="AF1414" s="12">
        <f t="shared" si="458"/>
        <v>0</v>
      </c>
    </row>
    <row r="1415" spans="1:32" x14ac:dyDescent="0.25">
      <c r="A1415" s="10">
        <v>36</v>
      </c>
      <c r="B1415" s="32"/>
      <c r="C1415" s="33"/>
      <c r="D1415" s="51"/>
      <c r="E1415" s="33"/>
      <c r="F1415" s="34">
        <f t="shared" si="463"/>
        <v>0</v>
      </c>
      <c r="G1415" s="10"/>
      <c r="H1415" s="10"/>
      <c r="I1415" s="10"/>
      <c r="J1415" s="12">
        <f t="shared" si="454"/>
        <v>0</v>
      </c>
      <c r="L1415" s="10">
        <v>36</v>
      </c>
      <c r="M1415" s="32"/>
      <c r="N1415" s="33"/>
      <c r="O1415" s="51"/>
      <c r="P1415" s="33"/>
      <c r="Q1415" s="34">
        <f t="shared" si="464"/>
        <v>0</v>
      </c>
      <c r="R1415" s="10"/>
      <c r="S1415" s="10"/>
      <c r="T1415" s="10"/>
      <c r="U1415" s="12">
        <f t="shared" si="456"/>
        <v>0</v>
      </c>
      <c r="W1415" s="10">
        <v>36</v>
      </c>
      <c r="X1415" s="32"/>
      <c r="Y1415" s="33"/>
      <c r="Z1415" s="51"/>
      <c r="AA1415" s="33"/>
      <c r="AB1415" s="34">
        <f t="shared" si="466"/>
        <v>0</v>
      </c>
      <c r="AC1415" s="10"/>
      <c r="AD1415" s="10"/>
      <c r="AE1415" s="10"/>
      <c r="AF1415" s="12">
        <f t="shared" si="458"/>
        <v>0</v>
      </c>
    </row>
    <row r="1416" spans="1:32" x14ac:dyDescent="0.25">
      <c r="A1416" s="10">
        <v>37</v>
      </c>
      <c r="B1416" s="32"/>
      <c r="C1416" s="33"/>
      <c r="D1416" s="51"/>
      <c r="E1416" s="33"/>
      <c r="F1416" s="34">
        <f t="shared" si="463"/>
        <v>0</v>
      </c>
      <c r="G1416" s="10"/>
      <c r="H1416" s="10"/>
      <c r="I1416" s="10"/>
      <c r="J1416" s="12">
        <f t="shared" si="454"/>
        <v>0</v>
      </c>
      <c r="L1416" s="10">
        <v>37</v>
      </c>
      <c r="M1416" s="32"/>
      <c r="O1416" s="51"/>
      <c r="P1416" s="33"/>
      <c r="Q1416" s="34">
        <f t="shared" si="464"/>
        <v>0</v>
      </c>
      <c r="R1416" s="10"/>
      <c r="S1416" s="10"/>
      <c r="T1416" s="10"/>
      <c r="U1416" s="12">
        <f t="shared" si="456"/>
        <v>0</v>
      </c>
      <c r="W1416" s="10">
        <v>37</v>
      </c>
      <c r="X1416" s="32"/>
      <c r="Y1416" s="33"/>
      <c r="Z1416" s="51"/>
      <c r="AA1416" s="33"/>
      <c r="AB1416" s="34">
        <f t="shared" si="466"/>
        <v>0</v>
      </c>
      <c r="AC1416" s="10"/>
      <c r="AD1416" s="10"/>
      <c r="AE1416" s="10"/>
      <c r="AF1416" s="12">
        <f t="shared" si="458"/>
        <v>0</v>
      </c>
    </row>
    <row r="1417" spans="1:32" x14ac:dyDescent="0.25">
      <c r="A1417" s="10">
        <v>38</v>
      </c>
      <c r="B1417" s="32"/>
      <c r="C1417" s="33"/>
      <c r="D1417" s="51"/>
      <c r="E1417" s="33"/>
      <c r="F1417" s="34">
        <f t="shared" si="463"/>
        <v>0</v>
      </c>
      <c r="G1417" s="10"/>
      <c r="H1417" s="10"/>
      <c r="I1417" s="10"/>
      <c r="J1417" s="12">
        <f t="shared" si="454"/>
        <v>0</v>
      </c>
      <c r="L1417" s="10">
        <v>38</v>
      </c>
      <c r="M1417" s="32"/>
      <c r="N1417" s="33"/>
      <c r="O1417" s="51"/>
      <c r="P1417" s="33"/>
      <c r="Q1417" s="34">
        <f t="shared" si="464"/>
        <v>0</v>
      </c>
      <c r="R1417" s="10"/>
      <c r="S1417" s="10"/>
      <c r="T1417" s="10"/>
      <c r="U1417" s="12">
        <f t="shared" si="456"/>
        <v>0</v>
      </c>
      <c r="W1417" s="10">
        <v>38</v>
      </c>
      <c r="X1417" s="32"/>
      <c r="Y1417" s="33"/>
      <c r="Z1417" s="51"/>
      <c r="AA1417" s="33"/>
      <c r="AB1417" s="34">
        <f t="shared" si="466"/>
        <v>0</v>
      </c>
      <c r="AC1417" s="10"/>
      <c r="AD1417" s="10"/>
      <c r="AE1417" s="10"/>
      <c r="AF1417" s="12">
        <f t="shared" si="458"/>
        <v>0</v>
      </c>
    </row>
    <row r="1418" spans="1:32" x14ac:dyDescent="0.25">
      <c r="A1418" s="10">
        <v>39</v>
      </c>
      <c r="B1418" s="32"/>
      <c r="C1418" s="33"/>
      <c r="D1418" s="51"/>
      <c r="E1418" s="33"/>
      <c r="F1418" s="34">
        <f t="shared" si="463"/>
        <v>0</v>
      </c>
      <c r="G1418" s="10"/>
      <c r="H1418" s="10"/>
      <c r="I1418" s="10"/>
      <c r="J1418" s="12">
        <f t="shared" si="454"/>
        <v>0</v>
      </c>
      <c r="L1418" s="10">
        <v>39</v>
      </c>
      <c r="M1418" s="32"/>
      <c r="N1418" s="33"/>
      <c r="O1418" s="51"/>
      <c r="P1418" s="33"/>
      <c r="Q1418" s="34">
        <f t="shared" si="464"/>
        <v>0</v>
      </c>
      <c r="R1418" s="10"/>
      <c r="S1418" s="10"/>
      <c r="T1418" s="10"/>
      <c r="U1418" s="12">
        <f t="shared" si="456"/>
        <v>0</v>
      </c>
      <c r="W1418" s="10">
        <v>39</v>
      </c>
      <c r="X1418" s="32"/>
      <c r="Y1418" s="33"/>
      <c r="Z1418" s="51"/>
      <c r="AA1418" s="33"/>
      <c r="AB1418" s="34">
        <f t="shared" si="466"/>
        <v>0</v>
      </c>
      <c r="AC1418" s="10"/>
      <c r="AD1418" s="10"/>
      <c r="AE1418" s="10"/>
      <c r="AF1418" s="12">
        <f t="shared" si="458"/>
        <v>0</v>
      </c>
    </row>
    <row r="1419" spans="1:32" x14ac:dyDescent="0.25">
      <c r="A1419" s="10"/>
      <c r="B1419" s="32"/>
      <c r="C1419"/>
      <c r="D1419" s="51"/>
      <c r="E1419" s="33"/>
      <c r="F1419" s="34"/>
      <c r="G1419" s="10"/>
      <c r="H1419" s="10"/>
      <c r="I1419" s="10"/>
      <c r="J1419" s="12">
        <f t="shared" si="454"/>
        <v>0</v>
      </c>
      <c r="L1419" s="10"/>
      <c r="M1419" s="32"/>
      <c r="O1419" s="51"/>
      <c r="P1419" s="33"/>
      <c r="Q1419" s="34"/>
      <c r="R1419" s="10"/>
      <c r="S1419" s="10"/>
      <c r="T1419" s="10"/>
      <c r="U1419" s="12">
        <f t="shared" si="456"/>
        <v>0</v>
      </c>
      <c r="W1419" s="10"/>
      <c r="X1419" s="32"/>
      <c r="Z1419" s="51"/>
      <c r="AA1419" s="33"/>
      <c r="AB1419" s="34"/>
      <c r="AC1419" s="10"/>
      <c r="AD1419" s="10"/>
      <c r="AE1419" s="10"/>
      <c r="AF1419" s="12">
        <f t="shared" si="458"/>
        <v>0</v>
      </c>
    </row>
    <row r="1420" spans="1:32" x14ac:dyDescent="0.25">
      <c r="A1420" s="10"/>
      <c r="B1420" s="32"/>
      <c r="C1420" s="33"/>
      <c r="D1420" s="51"/>
      <c r="E1420" s="33"/>
      <c r="F1420" s="34">
        <f t="shared" ref="F1420" si="467">SUM(D1420:E1420)</f>
        <v>0</v>
      </c>
      <c r="G1420" s="10"/>
      <c r="H1420" s="10"/>
      <c r="I1420" s="10"/>
      <c r="J1420" s="12">
        <f t="shared" si="454"/>
        <v>0</v>
      </c>
      <c r="L1420" s="10"/>
      <c r="M1420" s="32"/>
      <c r="N1420" s="33"/>
      <c r="O1420" s="51"/>
      <c r="P1420" s="33"/>
      <c r="Q1420" s="34">
        <f t="shared" ref="Q1420" si="468">SUM(O1420:P1420)</f>
        <v>0</v>
      </c>
      <c r="R1420" s="10"/>
      <c r="S1420" s="10"/>
      <c r="T1420" s="10"/>
      <c r="U1420" s="12">
        <f t="shared" si="456"/>
        <v>0</v>
      </c>
      <c r="W1420" s="10"/>
      <c r="X1420" s="32"/>
      <c r="Y1420" s="33"/>
      <c r="Z1420" s="51"/>
      <c r="AA1420" s="33"/>
      <c r="AB1420" s="34">
        <f t="shared" ref="AB1420" si="469">SUM(Z1420:AA1420)</f>
        <v>0</v>
      </c>
      <c r="AC1420" s="10"/>
      <c r="AD1420" s="10"/>
      <c r="AE1420" s="10"/>
      <c r="AF1420" s="12">
        <f t="shared" si="458"/>
        <v>0</v>
      </c>
    </row>
    <row r="1421" spans="1:32" x14ac:dyDescent="0.25">
      <c r="A1421" s="10"/>
      <c r="B1421" s="33"/>
      <c r="C1421" s="33"/>
      <c r="D1421" s="33"/>
      <c r="E1421" s="33"/>
      <c r="F1421" s="33"/>
      <c r="G1421" s="10"/>
      <c r="H1421" s="10"/>
      <c r="I1421" s="10"/>
      <c r="J1421" s="12">
        <f t="shared" si="454"/>
        <v>0</v>
      </c>
      <c r="L1421" s="10"/>
      <c r="M1421" s="33"/>
      <c r="N1421" s="33"/>
      <c r="O1421" s="33"/>
      <c r="P1421" s="33"/>
      <c r="Q1421" s="33"/>
      <c r="R1421" s="10"/>
      <c r="S1421" s="10"/>
      <c r="T1421" s="10"/>
      <c r="U1421" s="12">
        <f t="shared" si="456"/>
        <v>0</v>
      </c>
      <c r="W1421" s="10"/>
      <c r="X1421" s="33"/>
      <c r="Y1421" s="33"/>
      <c r="Z1421" s="33"/>
      <c r="AA1421" s="33"/>
      <c r="AB1421" s="33"/>
      <c r="AC1421" s="10"/>
      <c r="AD1421" s="10"/>
      <c r="AE1421" s="10"/>
      <c r="AF1421" s="12">
        <f t="shared" si="458"/>
        <v>0</v>
      </c>
    </row>
    <row r="1422" spans="1:32" x14ac:dyDescent="0.25">
      <c r="B1422" s="70"/>
      <c r="C1422" s="70"/>
      <c r="D1422" s="38"/>
      <c r="E1422" s="38"/>
      <c r="F1422" s="38"/>
      <c r="G1422" s="39"/>
      <c r="H1422" s="39"/>
      <c r="I1422" s="39"/>
      <c r="J1422" s="39"/>
      <c r="M1422" s="70"/>
      <c r="N1422" s="70"/>
      <c r="O1422" s="38"/>
      <c r="P1422" s="38"/>
      <c r="Q1422" s="38"/>
      <c r="R1422" s="39"/>
      <c r="S1422" s="39"/>
      <c r="T1422" s="39"/>
      <c r="U1422" s="39"/>
      <c r="X1422" s="70"/>
      <c r="Y1422" s="70"/>
      <c r="Z1422" s="38"/>
      <c r="AA1422" s="38"/>
      <c r="AB1422" s="38"/>
      <c r="AC1422" s="39"/>
      <c r="AD1422" s="39"/>
      <c r="AE1422" s="39"/>
      <c r="AF1422" s="39"/>
    </row>
    <row r="1423" spans="1:32" x14ac:dyDescent="0.25">
      <c r="B1423" s="70"/>
      <c r="C1423" s="70"/>
      <c r="D1423" s="40">
        <f>SUM(D1380:D1422)</f>
        <v>179087</v>
      </c>
      <c r="E1423" s="40">
        <f>SUM(E1380:E1404)</f>
        <v>-1944</v>
      </c>
      <c r="F1423" s="40">
        <f>SUM(F1380:F1422)</f>
        <v>177143</v>
      </c>
      <c r="G1423" s="4"/>
      <c r="H1423" s="43">
        <f>SUM(H1380:H1422)</f>
        <v>1200</v>
      </c>
      <c r="I1423" s="43">
        <f>SUM(I1380:I1404)</f>
        <v>-4070</v>
      </c>
      <c r="J1423" s="44">
        <f>SUM(J1380:J1422)</f>
        <v>174273</v>
      </c>
      <c r="M1423" s="70"/>
      <c r="N1423" s="70"/>
      <c r="O1423" s="40">
        <f>SUM(O1380:O1422)</f>
        <v>108565</v>
      </c>
      <c r="P1423" s="40">
        <f>SUM(P1380:P1404)</f>
        <v>-704</v>
      </c>
      <c r="Q1423" s="40">
        <f>SUM(Q1380:Q1422)</f>
        <v>107861</v>
      </c>
      <c r="R1423" s="4"/>
      <c r="S1423" s="43">
        <f>SUM(S1380:S1422)</f>
        <v>448.5</v>
      </c>
      <c r="T1423" s="43">
        <f>SUM(T1380:T1404)</f>
        <v>0</v>
      </c>
      <c r="U1423" s="44">
        <f>SUM(U1380:U1422)</f>
        <v>108309.5</v>
      </c>
      <c r="X1423" s="70"/>
      <c r="Y1423" s="70"/>
      <c r="Z1423" s="40">
        <f>SUM(Z1380:Z1422)</f>
        <v>191737.5</v>
      </c>
      <c r="AA1423" s="40">
        <f>SUM(AA1380:AA1404)</f>
        <v>-1180</v>
      </c>
      <c r="AB1423" s="40">
        <f>SUM(AB1380:AB1422)</f>
        <v>190557.5</v>
      </c>
      <c r="AC1423" s="4"/>
      <c r="AD1423" s="43">
        <f>SUM(AD1380:AD1422)</f>
        <v>703.5</v>
      </c>
      <c r="AE1423" s="43">
        <f>SUM(AE1380:AE1404)</f>
        <v>0</v>
      </c>
      <c r="AF1423" s="44">
        <f>SUM(AF1380:AF1422)</f>
        <v>191261</v>
      </c>
    </row>
    <row r="1424" spans="1:32" x14ac:dyDescent="0.25">
      <c r="B1424" s="70"/>
      <c r="C1424" s="70"/>
      <c r="D1424" s="45"/>
      <c r="E1424" s="70"/>
      <c r="F1424" s="70"/>
      <c r="M1424" s="70"/>
      <c r="N1424" s="70"/>
      <c r="O1424" s="45"/>
      <c r="P1424" s="70"/>
      <c r="Q1424" s="70"/>
      <c r="X1424" s="70"/>
      <c r="Y1424" s="70"/>
      <c r="Z1424" s="45"/>
      <c r="AA1424" s="70"/>
      <c r="AB1424" s="70"/>
    </row>
    <row r="1425" spans="1:32" x14ac:dyDescent="0.25">
      <c r="B1425" s="70"/>
      <c r="C1425" s="70"/>
      <c r="D1425" s="70"/>
      <c r="E1425" s="70"/>
      <c r="F1425" s="70"/>
      <c r="M1425" s="70"/>
      <c r="N1425" s="70"/>
      <c r="O1425" s="70"/>
      <c r="P1425" s="70"/>
      <c r="Q1425" s="70"/>
      <c r="X1425" s="70"/>
      <c r="Y1425" s="70"/>
      <c r="Z1425" s="70"/>
      <c r="AA1425" s="70"/>
      <c r="AB1425" s="70"/>
    </row>
    <row r="1426" spans="1:32" x14ac:dyDescent="0.25">
      <c r="A1426" s="18"/>
      <c r="B1426" s="18"/>
      <c r="C1426" s="18"/>
      <c r="D1426" s="18"/>
      <c r="E1426" s="18"/>
      <c r="F1426" s="18"/>
      <c r="G1426" s="18"/>
      <c r="H1426" s="18"/>
      <c r="I1426" s="18"/>
      <c r="J1426" s="18"/>
      <c r="L1426" s="18"/>
      <c r="M1426" s="18"/>
      <c r="N1426" s="18"/>
      <c r="O1426" s="18"/>
      <c r="P1426" s="18"/>
      <c r="Q1426" s="18"/>
      <c r="R1426" s="18"/>
      <c r="S1426" s="18"/>
      <c r="T1426" s="18"/>
      <c r="U1426" s="18"/>
      <c r="W1426" s="18"/>
      <c r="X1426" s="18"/>
      <c r="Y1426" s="18"/>
      <c r="Z1426" s="18"/>
      <c r="AA1426" s="18"/>
      <c r="AB1426" s="18"/>
      <c r="AC1426" s="18"/>
      <c r="AD1426" s="18"/>
      <c r="AE1426" s="18"/>
      <c r="AF1426" s="18"/>
    </row>
    <row r="1427" spans="1:32" x14ac:dyDescent="0.25">
      <c r="A1427" t="s">
        <v>0</v>
      </c>
      <c r="B1427" s="70"/>
      <c r="C1427" s="70"/>
      <c r="D1427" s="70"/>
      <c r="E1427" s="70"/>
      <c r="F1427" s="70"/>
      <c r="L1427" t="s">
        <v>0</v>
      </c>
      <c r="M1427" s="70"/>
      <c r="N1427" s="70"/>
      <c r="O1427" s="70"/>
      <c r="P1427" s="70"/>
      <c r="Q1427" s="70"/>
      <c r="W1427" t="s">
        <v>0</v>
      </c>
      <c r="X1427" s="70"/>
      <c r="Y1427" s="70"/>
      <c r="Z1427" s="70"/>
      <c r="AA1427" s="70"/>
      <c r="AB1427" s="70"/>
    </row>
    <row r="1428" spans="1:32" x14ac:dyDescent="0.25">
      <c r="A1428" t="s">
        <v>30</v>
      </c>
      <c r="B1428" s="70"/>
      <c r="C1428" s="70"/>
      <c r="D1428" s="70"/>
      <c r="E1428" s="70"/>
      <c r="F1428" s="70"/>
      <c r="L1428" t="s">
        <v>30</v>
      </c>
      <c r="M1428" s="70"/>
      <c r="N1428" s="70"/>
      <c r="O1428" s="70"/>
      <c r="P1428" s="70"/>
      <c r="Q1428" s="70"/>
      <c r="W1428" t="s">
        <v>30</v>
      </c>
      <c r="X1428" s="70"/>
      <c r="Y1428" s="70"/>
      <c r="Z1428" s="70"/>
      <c r="AA1428" s="70"/>
      <c r="AB1428" s="70"/>
    </row>
    <row r="1429" spans="1:32" x14ac:dyDescent="0.25">
      <c r="B1429" s="70"/>
      <c r="C1429" s="70"/>
      <c r="D1429" s="70"/>
      <c r="E1429" s="70"/>
      <c r="F1429" s="70"/>
      <c r="M1429" s="70"/>
      <c r="N1429" s="70"/>
      <c r="O1429" s="70"/>
      <c r="P1429" s="70"/>
      <c r="Q1429" s="70"/>
      <c r="X1429" s="70"/>
      <c r="Y1429" s="70"/>
      <c r="Z1429" s="70"/>
      <c r="AA1429" s="70"/>
      <c r="AB1429" s="70"/>
    </row>
    <row r="1430" spans="1:32" x14ac:dyDescent="0.25">
      <c r="A1430" s="4" t="s">
        <v>15</v>
      </c>
      <c r="B1430" s="70"/>
      <c r="C1430" s="70"/>
      <c r="D1430" s="70"/>
      <c r="E1430" s="70"/>
      <c r="F1430" s="70"/>
      <c r="L1430" s="4" t="s">
        <v>15</v>
      </c>
      <c r="M1430" s="70"/>
      <c r="N1430" s="70"/>
      <c r="O1430" s="70"/>
      <c r="P1430" s="70"/>
      <c r="Q1430" s="70"/>
      <c r="W1430" s="4" t="s">
        <v>15</v>
      </c>
      <c r="X1430" s="70"/>
      <c r="Y1430" s="70"/>
      <c r="Z1430" s="70"/>
      <c r="AA1430" s="70"/>
      <c r="AB1430" s="70"/>
    </row>
    <row r="1431" spans="1:32" x14ac:dyDescent="0.25">
      <c r="B1431" s="70"/>
      <c r="C1431" s="70"/>
      <c r="D1431" s="70"/>
      <c r="E1431" s="70"/>
      <c r="F1431" s="70"/>
      <c r="M1431" s="70"/>
      <c r="N1431" s="70"/>
      <c r="O1431" s="70"/>
      <c r="P1431" s="70"/>
      <c r="Q1431" s="70"/>
      <c r="X1431" s="70"/>
      <c r="Y1431" s="70"/>
      <c r="Z1431" s="70"/>
      <c r="AA1431" s="70"/>
      <c r="AB1431" s="70"/>
    </row>
    <row r="1432" spans="1:32" ht="15.75" x14ac:dyDescent="0.25">
      <c r="A1432" t="s">
        <v>38</v>
      </c>
      <c r="B1432" s="70"/>
      <c r="C1432" s="70"/>
      <c r="D1432" s="70"/>
      <c r="E1432" s="70"/>
      <c r="F1432" s="70"/>
      <c r="H1432" s="70" t="s">
        <v>16</v>
      </c>
      <c r="I1432" s="19">
        <v>1</v>
      </c>
      <c r="L1432" t="s">
        <v>38</v>
      </c>
      <c r="M1432" s="70"/>
      <c r="N1432" s="70"/>
      <c r="O1432" s="70"/>
      <c r="P1432" s="70"/>
      <c r="Q1432" s="70"/>
      <c r="S1432" s="70" t="s">
        <v>16</v>
      </c>
      <c r="T1432" s="19">
        <v>2</v>
      </c>
      <c r="W1432" t="s">
        <v>38</v>
      </c>
      <c r="X1432" s="70"/>
      <c r="Y1432" s="70"/>
      <c r="Z1432" s="70"/>
      <c r="AA1432" s="70"/>
      <c r="AB1432" s="70"/>
      <c r="AD1432" s="70" t="s">
        <v>16</v>
      </c>
      <c r="AE1432" s="20">
        <v>3</v>
      </c>
    </row>
    <row r="1433" spans="1:32" x14ac:dyDescent="0.25">
      <c r="A1433" s="21" t="s">
        <v>99</v>
      </c>
      <c r="B1433" s="20"/>
      <c r="C1433" s="70"/>
      <c r="D1433" s="70"/>
      <c r="E1433" s="70"/>
      <c r="F1433" s="70"/>
      <c r="H1433" s="22" t="s">
        <v>17</v>
      </c>
      <c r="I1433" s="23" t="s">
        <v>46</v>
      </c>
      <c r="J1433" s="24"/>
      <c r="L1433" s="21" t="s">
        <v>99</v>
      </c>
      <c r="M1433" s="20"/>
      <c r="N1433" s="70"/>
      <c r="O1433" s="70"/>
      <c r="P1433" s="70"/>
      <c r="Q1433" s="70"/>
      <c r="S1433" s="22" t="s">
        <v>17</v>
      </c>
      <c r="T1433" s="23" t="s">
        <v>34</v>
      </c>
      <c r="U1433" s="24"/>
      <c r="W1433" s="21" t="s">
        <v>99</v>
      </c>
      <c r="X1433" s="20"/>
      <c r="Y1433" s="70"/>
      <c r="Z1433" s="70"/>
      <c r="AA1433" s="70"/>
      <c r="AB1433" s="70"/>
      <c r="AD1433" s="22" t="s">
        <v>17</v>
      </c>
      <c r="AE1433" s="23" t="s">
        <v>91</v>
      </c>
      <c r="AF1433" s="24"/>
    </row>
    <row r="1434" spans="1:32" x14ac:dyDescent="0.25">
      <c r="B1434" s="70"/>
      <c r="C1434" s="70"/>
      <c r="D1434" s="70"/>
      <c r="E1434" s="70"/>
      <c r="F1434" s="70"/>
      <c r="M1434" s="70"/>
      <c r="N1434" s="70"/>
      <c r="O1434" s="70"/>
      <c r="P1434" s="70"/>
      <c r="Q1434" s="70"/>
      <c r="X1434" s="70"/>
      <c r="Y1434" s="70"/>
      <c r="Z1434" s="70"/>
      <c r="AA1434" s="70"/>
      <c r="AB1434" s="70"/>
    </row>
    <row r="1435" spans="1:32" x14ac:dyDescent="0.25">
      <c r="B1435" s="25"/>
      <c r="C1435" s="26"/>
      <c r="D1435" s="79" t="s">
        <v>18</v>
      </c>
      <c r="E1435" s="79"/>
      <c r="F1435" s="27"/>
      <c r="H1435" s="77" t="s">
        <v>19</v>
      </c>
      <c r="I1435" s="78"/>
      <c r="J1435" s="75" t="s">
        <v>20</v>
      </c>
      <c r="M1435" s="25"/>
      <c r="N1435" s="26"/>
      <c r="O1435" s="79" t="s">
        <v>18</v>
      </c>
      <c r="P1435" s="79"/>
      <c r="Q1435" s="27"/>
      <c r="S1435" s="77" t="s">
        <v>19</v>
      </c>
      <c r="T1435" s="78"/>
      <c r="U1435" s="75" t="s">
        <v>20</v>
      </c>
      <c r="X1435" s="25"/>
      <c r="Y1435" s="26"/>
      <c r="Z1435" s="79" t="s">
        <v>18</v>
      </c>
      <c r="AA1435" s="79"/>
      <c r="AB1435" s="27"/>
      <c r="AD1435" s="77" t="s">
        <v>19</v>
      </c>
      <c r="AE1435" s="78"/>
      <c r="AF1435" s="75" t="s">
        <v>20</v>
      </c>
    </row>
    <row r="1436" spans="1:32" ht="30" x14ac:dyDescent="0.25">
      <c r="B1436" s="28" t="s">
        <v>21</v>
      </c>
      <c r="C1436" s="28" t="s">
        <v>22</v>
      </c>
      <c r="D1436" s="29" t="s">
        <v>23</v>
      </c>
      <c r="E1436" s="30" t="s">
        <v>24</v>
      </c>
      <c r="F1436" s="30" t="s">
        <v>25</v>
      </c>
      <c r="H1436" s="31" t="s">
        <v>26</v>
      </c>
      <c r="I1436" s="31" t="s">
        <v>27</v>
      </c>
      <c r="J1436" s="76"/>
      <c r="M1436" s="28" t="s">
        <v>21</v>
      </c>
      <c r="N1436" s="28" t="s">
        <v>22</v>
      </c>
      <c r="O1436" s="29" t="s">
        <v>23</v>
      </c>
      <c r="P1436" s="30" t="s">
        <v>24</v>
      </c>
      <c r="Q1436" s="30" t="s">
        <v>25</v>
      </c>
      <c r="S1436" s="31" t="s">
        <v>26</v>
      </c>
      <c r="T1436" s="31" t="s">
        <v>27</v>
      </c>
      <c r="U1436" s="76"/>
      <c r="X1436" s="28" t="s">
        <v>21</v>
      </c>
      <c r="Y1436" s="28" t="s">
        <v>22</v>
      </c>
      <c r="Z1436" s="29" t="s">
        <v>23</v>
      </c>
      <c r="AA1436" s="30" t="s">
        <v>24</v>
      </c>
      <c r="AB1436" s="30" t="s">
        <v>25</v>
      </c>
      <c r="AD1436" s="31" t="s">
        <v>26</v>
      </c>
      <c r="AE1436" s="31" t="s">
        <v>27</v>
      </c>
      <c r="AF1436" s="76"/>
    </row>
    <row r="1437" spans="1:32" x14ac:dyDescent="0.25">
      <c r="A1437" s="10">
        <v>1</v>
      </c>
      <c r="B1437" s="32">
        <v>45688</v>
      </c>
      <c r="C1437" s="33">
        <v>7748</v>
      </c>
      <c r="D1437" s="34">
        <f>1252+1228+596+26</f>
        <v>3102</v>
      </c>
      <c r="E1437" s="34"/>
      <c r="F1437" s="34">
        <f>SUM(D1437:E1437)</f>
        <v>3102</v>
      </c>
      <c r="G1437" s="12"/>
      <c r="H1437" s="12">
        <v>87</v>
      </c>
      <c r="I1437" s="12"/>
      <c r="J1437" s="12">
        <f>SUM(F1437:I1437)</f>
        <v>3189</v>
      </c>
      <c r="L1437" s="10">
        <v>1</v>
      </c>
      <c r="M1437" s="32">
        <v>45688</v>
      </c>
      <c r="N1437" s="33">
        <v>9601</v>
      </c>
      <c r="O1437" s="34">
        <f>1252+17</f>
        <v>1269</v>
      </c>
      <c r="P1437" s="34"/>
      <c r="Q1437" s="34">
        <f>SUM(O1437:P1437)</f>
        <v>1269</v>
      </c>
      <c r="R1437" s="12"/>
      <c r="S1437" s="12"/>
      <c r="T1437" s="12"/>
      <c r="U1437" s="12">
        <f>SUM(Q1437:T1437)</f>
        <v>1269</v>
      </c>
      <c r="W1437" s="10">
        <v>1</v>
      </c>
      <c r="X1437" s="32">
        <v>45688</v>
      </c>
      <c r="Y1437" s="33">
        <v>7842</v>
      </c>
      <c r="Z1437" s="34">
        <f>626*50+205*2</f>
        <v>31710</v>
      </c>
      <c r="AA1437" s="34">
        <v>-416</v>
      </c>
      <c r="AB1437" s="34">
        <f>SUM(Z1437:AA1437)</f>
        <v>31294</v>
      </c>
      <c r="AC1437" s="12"/>
      <c r="AD1437" s="12"/>
      <c r="AE1437" s="12"/>
      <c r="AF1437" s="12">
        <f>SUM(AB1437:AE1437)</f>
        <v>31294</v>
      </c>
    </row>
    <row r="1438" spans="1:32" x14ac:dyDescent="0.25">
      <c r="A1438" s="10">
        <v>2</v>
      </c>
      <c r="B1438" s="32">
        <v>45688</v>
      </c>
      <c r="C1438" s="33">
        <f>C1437+1</f>
        <v>7749</v>
      </c>
      <c r="D1438">
        <f>1878+1228+1192+43</f>
        <v>4341</v>
      </c>
      <c r="E1438" s="34"/>
      <c r="F1438" s="34">
        <f t="shared" ref="F1438:F1441" si="470">SUM(D1438:E1438)</f>
        <v>4341</v>
      </c>
      <c r="G1438" s="12"/>
      <c r="H1438" s="12"/>
      <c r="I1438" s="12"/>
      <c r="J1438" s="12">
        <f t="shared" ref="J1438:J1478" si="471">SUM(F1438:I1438)</f>
        <v>4341</v>
      </c>
      <c r="L1438" s="10">
        <v>2</v>
      </c>
      <c r="M1438" s="32">
        <v>45688</v>
      </c>
      <c r="N1438" s="33">
        <f>N1437+1</f>
        <v>9602</v>
      </c>
      <c r="O1438">
        <f>1252+17</f>
        <v>1269</v>
      </c>
      <c r="P1438" s="34"/>
      <c r="Q1438" s="34">
        <f t="shared" ref="Q1438:Q1441" si="472">SUM(O1438:P1438)</f>
        <v>1269</v>
      </c>
      <c r="R1438" s="12"/>
      <c r="S1438" s="12"/>
      <c r="T1438" s="12"/>
      <c r="U1438" s="12">
        <f t="shared" ref="U1438:U1478" si="473">SUM(Q1438:T1438)</f>
        <v>1269</v>
      </c>
      <c r="W1438" s="10">
        <v>2</v>
      </c>
      <c r="X1438" s="32">
        <v>45688</v>
      </c>
      <c r="Y1438" s="33">
        <f>Y1437+1</f>
        <v>7843</v>
      </c>
      <c r="Z1438" s="34">
        <f>626*14+614*4+205*7</f>
        <v>12655</v>
      </c>
      <c r="AA1438" s="34"/>
      <c r="AB1438" s="34">
        <f t="shared" ref="AB1438:AB1440" si="474">SUM(Z1438:AA1438)</f>
        <v>12655</v>
      </c>
      <c r="AC1438" s="12"/>
      <c r="AD1438" s="12"/>
      <c r="AE1438" s="12"/>
      <c r="AF1438" s="12">
        <f t="shared" ref="AF1438:AF1478" si="475">SUM(AB1438:AE1438)</f>
        <v>12655</v>
      </c>
    </row>
    <row r="1439" spans="1:32" x14ac:dyDescent="0.25">
      <c r="A1439" s="10">
        <v>3</v>
      </c>
      <c r="B1439" s="32">
        <v>45688</v>
      </c>
      <c r="C1439" s="33">
        <f t="shared" ref="C1439:C1446" si="476">C1438+1</f>
        <v>7750</v>
      </c>
      <c r="D1439" s="34">
        <f>28170+1228+2980+2022</f>
        <v>34400</v>
      </c>
      <c r="E1439" s="34"/>
      <c r="F1439" s="34">
        <f t="shared" si="470"/>
        <v>34400</v>
      </c>
      <c r="G1439" s="12"/>
      <c r="H1439" s="12">
        <v>108</v>
      </c>
      <c r="I1439" s="12"/>
      <c r="J1439" s="12">
        <f t="shared" si="471"/>
        <v>34508</v>
      </c>
      <c r="L1439" s="10">
        <v>3</v>
      </c>
      <c r="M1439" s="32">
        <v>45688</v>
      </c>
      <c r="N1439" s="33">
        <f t="shared" ref="N1439:N1473" si="477">N1438+1</f>
        <v>9603</v>
      </c>
      <c r="O1439" s="34">
        <f>626+8.5</f>
        <v>634.5</v>
      </c>
      <c r="P1439" s="34"/>
      <c r="Q1439" s="34">
        <f t="shared" si="472"/>
        <v>634.5</v>
      </c>
      <c r="R1439" s="12"/>
      <c r="S1439" s="12"/>
      <c r="T1439" s="12"/>
      <c r="U1439" s="12">
        <f t="shared" si="473"/>
        <v>634.5</v>
      </c>
      <c r="W1439" s="10">
        <v>3</v>
      </c>
      <c r="X1439" s="32">
        <v>45688</v>
      </c>
      <c r="Y1439" s="33">
        <f t="shared" ref="Y1439:Y1447" si="478">Y1438+1</f>
        <v>7844</v>
      </c>
      <c r="Z1439" s="34">
        <f>1788+25.5+650</f>
        <v>2463.5</v>
      </c>
      <c r="AA1439" s="34"/>
      <c r="AB1439" s="34">
        <f t="shared" si="474"/>
        <v>2463.5</v>
      </c>
      <c r="AC1439" s="12"/>
      <c r="AD1439" s="12"/>
      <c r="AE1439" s="12"/>
      <c r="AF1439" s="12">
        <f t="shared" si="475"/>
        <v>2463.5</v>
      </c>
    </row>
    <row r="1440" spans="1:32" x14ac:dyDescent="0.25">
      <c r="A1440" s="10">
        <v>4</v>
      </c>
      <c r="B1440" s="32">
        <v>45688</v>
      </c>
      <c r="C1440" s="33">
        <f t="shared" si="476"/>
        <v>7751</v>
      </c>
      <c r="D1440" s="34">
        <f>6260+1192+102</f>
        <v>7554</v>
      </c>
      <c r="E1440" s="34"/>
      <c r="F1440" s="34">
        <f t="shared" si="470"/>
        <v>7554</v>
      </c>
      <c r="G1440" s="12"/>
      <c r="H1440" s="12"/>
      <c r="I1440" s="12"/>
      <c r="J1440" s="12">
        <f t="shared" si="471"/>
        <v>7554</v>
      </c>
      <c r="L1440" s="10">
        <v>4</v>
      </c>
      <c r="M1440" s="32">
        <v>45688</v>
      </c>
      <c r="N1440" s="33">
        <f t="shared" si="477"/>
        <v>9604</v>
      </c>
      <c r="O1440" s="34">
        <f>2504+34</f>
        <v>2538</v>
      </c>
      <c r="P1440" s="34"/>
      <c r="Q1440" s="34">
        <f t="shared" si="472"/>
        <v>2538</v>
      </c>
      <c r="R1440" s="12"/>
      <c r="S1440" s="12"/>
      <c r="T1440" s="12"/>
      <c r="U1440" s="12">
        <f t="shared" si="473"/>
        <v>2538</v>
      </c>
      <c r="W1440" s="10">
        <v>4</v>
      </c>
      <c r="X1440" s="32">
        <v>45688</v>
      </c>
      <c r="Y1440" s="33">
        <f t="shared" si="478"/>
        <v>7845</v>
      </c>
      <c r="Z1440" s="34">
        <f>9390+10110+5960+832+410</f>
        <v>26702</v>
      </c>
      <c r="AA1440" s="34"/>
      <c r="AB1440" s="34">
        <f t="shared" si="474"/>
        <v>26702</v>
      </c>
      <c r="AC1440" s="12"/>
      <c r="AD1440">
        <v>2553</v>
      </c>
      <c r="AE1440" s="12"/>
      <c r="AF1440" s="12">
        <f t="shared" si="475"/>
        <v>29255</v>
      </c>
    </row>
    <row r="1441" spans="1:32" x14ac:dyDescent="0.25">
      <c r="A1441" s="10">
        <v>5</v>
      </c>
      <c r="B1441" s="32">
        <v>45688</v>
      </c>
      <c r="C1441" s="33">
        <f t="shared" si="476"/>
        <v>7752</v>
      </c>
      <c r="D1441" s="34">
        <f>1878+614+26</f>
        <v>2518</v>
      </c>
      <c r="E1441" s="34"/>
      <c r="F1441" s="34">
        <f t="shared" si="470"/>
        <v>2518</v>
      </c>
      <c r="G1441" s="12"/>
      <c r="H1441" s="12"/>
      <c r="I1441" s="12"/>
      <c r="J1441" s="12">
        <f t="shared" si="471"/>
        <v>2518</v>
      </c>
      <c r="L1441" s="10">
        <v>5</v>
      </c>
      <c r="M1441" s="32">
        <v>45688</v>
      </c>
      <c r="N1441" s="33">
        <f t="shared" si="477"/>
        <v>9605</v>
      </c>
      <c r="O1441" s="34">
        <f>1252+17</f>
        <v>1269</v>
      </c>
      <c r="P1441" s="34"/>
      <c r="Q1441" s="34">
        <f t="shared" si="472"/>
        <v>1269</v>
      </c>
      <c r="R1441" s="12"/>
      <c r="S1441" s="12"/>
      <c r="T1441" s="12"/>
      <c r="U1441" s="12">
        <f t="shared" si="473"/>
        <v>1269</v>
      </c>
      <c r="W1441" s="10">
        <v>5</v>
      </c>
      <c r="X1441" s="32">
        <v>45688</v>
      </c>
      <c r="Y1441" s="33">
        <f t="shared" si="478"/>
        <v>7846</v>
      </c>
      <c r="Z1441" s="34">
        <f>6260+2980+832+127.5</f>
        <v>10199.5</v>
      </c>
      <c r="AA1441" s="34"/>
      <c r="AB1441" s="34">
        <f t="shared" ref="AB1441:AB1446" si="479">SUM(Z1441:AA1441)</f>
        <v>10199.5</v>
      </c>
      <c r="AC1441" s="12"/>
      <c r="AD1441" s="12"/>
      <c r="AE1441" s="12"/>
      <c r="AF1441" s="12">
        <f t="shared" si="475"/>
        <v>10199.5</v>
      </c>
    </row>
    <row r="1442" spans="1:32" x14ac:dyDescent="0.25">
      <c r="A1442" s="10">
        <v>6</v>
      </c>
      <c r="B1442" s="32">
        <v>45688</v>
      </c>
      <c r="C1442" s="33">
        <f t="shared" si="476"/>
        <v>7753</v>
      </c>
      <c r="D1442" s="34">
        <f>820</f>
        <v>820</v>
      </c>
      <c r="E1442" s="34"/>
      <c r="F1442" s="34">
        <f>SUM(D1442:E1442)</f>
        <v>820</v>
      </c>
      <c r="G1442" s="12"/>
      <c r="H1442" s="12"/>
      <c r="I1442" s="10"/>
      <c r="J1442" s="12">
        <f t="shared" si="471"/>
        <v>820</v>
      </c>
      <c r="L1442" s="10">
        <v>6</v>
      </c>
      <c r="M1442" s="32">
        <v>45688</v>
      </c>
      <c r="N1442" s="33">
        <f t="shared" si="477"/>
        <v>9606</v>
      </c>
      <c r="O1442" s="34">
        <f>1252+17</f>
        <v>1269</v>
      </c>
      <c r="P1442" s="34"/>
      <c r="Q1442" s="34">
        <f>SUM(O1442:P1442)</f>
        <v>1269</v>
      </c>
      <c r="R1442" s="12"/>
      <c r="S1442" s="12"/>
      <c r="T1442" s="10"/>
      <c r="U1442" s="12">
        <f t="shared" si="473"/>
        <v>1269</v>
      </c>
      <c r="W1442" s="10">
        <v>6</v>
      </c>
      <c r="X1442" s="32">
        <v>45688</v>
      </c>
      <c r="Y1442" s="33">
        <f t="shared" si="478"/>
        <v>7847</v>
      </c>
      <c r="Z1442" s="34">
        <f>4172+59.5+559*4</f>
        <v>6467.5</v>
      </c>
      <c r="AA1442" s="34"/>
      <c r="AB1442" s="34">
        <f t="shared" si="479"/>
        <v>6467.5</v>
      </c>
      <c r="AC1442" s="12"/>
      <c r="AD1442" s="12">
        <v>555</v>
      </c>
      <c r="AE1442" s="10"/>
      <c r="AF1442" s="12">
        <f t="shared" si="475"/>
        <v>7022.5</v>
      </c>
    </row>
    <row r="1443" spans="1:32" x14ac:dyDescent="0.25">
      <c r="A1443" s="10">
        <v>7</v>
      </c>
      <c r="B1443" s="32">
        <v>45688</v>
      </c>
      <c r="C1443" s="33">
        <f t="shared" si="476"/>
        <v>7754</v>
      </c>
      <c r="D1443" s="34">
        <f>73700+18125+1033+35350+9720+22500+47600+9520+6200+6200</f>
        <v>229948</v>
      </c>
      <c r="E1443" s="34"/>
      <c r="F1443" s="34">
        <f t="shared" ref="F1443:F1475" si="480">SUM(D1443:E1443)</f>
        <v>229948</v>
      </c>
      <c r="G1443" s="12"/>
      <c r="H1443" s="12"/>
      <c r="I1443" s="12">
        <f>-30900</f>
        <v>-30900</v>
      </c>
      <c r="J1443" s="12">
        <f t="shared" si="471"/>
        <v>199048</v>
      </c>
      <c r="L1443" s="10">
        <v>7</v>
      </c>
      <c r="M1443" s="32">
        <v>45688</v>
      </c>
      <c r="N1443" s="33">
        <f t="shared" si="477"/>
        <v>9607</v>
      </c>
      <c r="O1443" s="34">
        <f>1252+17+674</f>
        <v>1943</v>
      </c>
      <c r="P1443" s="34"/>
      <c r="Q1443" s="34">
        <f t="shared" ref="Q1443:Q1475" si="481">SUM(O1443:P1443)</f>
        <v>1943</v>
      </c>
      <c r="R1443" s="12"/>
      <c r="S1443" s="12">
        <v>111</v>
      </c>
      <c r="T1443" s="12"/>
      <c r="U1443" s="12">
        <f t="shared" si="473"/>
        <v>2054</v>
      </c>
      <c r="W1443" s="10">
        <v>7</v>
      </c>
      <c r="X1443" s="32">
        <v>45688</v>
      </c>
      <c r="Y1443" s="33">
        <f t="shared" si="478"/>
        <v>7848</v>
      </c>
      <c r="Z1443" s="34">
        <f>6260+205</f>
        <v>6465</v>
      </c>
      <c r="AA1443" s="34"/>
      <c r="AB1443" s="34">
        <f t="shared" si="479"/>
        <v>6465</v>
      </c>
      <c r="AC1443" s="12"/>
      <c r="AD1443" s="66"/>
      <c r="AE1443" s="12"/>
      <c r="AF1443" s="12">
        <f t="shared" si="475"/>
        <v>6465</v>
      </c>
    </row>
    <row r="1444" spans="1:32" x14ac:dyDescent="0.25">
      <c r="A1444" s="10">
        <v>8</v>
      </c>
      <c r="B1444" s="32">
        <v>45688</v>
      </c>
      <c r="C1444" s="33">
        <f t="shared" si="476"/>
        <v>7755</v>
      </c>
      <c r="D1444" s="34">
        <f>2204+19040+1582+1582</f>
        <v>24408</v>
      </c>
      <c r="E1444" s="34"/>
      <c r="F1444" s="34">
        <f t="shared" si="480"/>
        <v>24408</v>
      </c>
      <c r="G1444" s="12"/>
      <c r="H1444" s="12"/>
      <c r="I1444" s="12"/>
      <c r="J1444" s="12">
        <f t="shared" si="471"/>
        <v>24408</v>
      </c>
      <c r="L1444" s="10">
        <v>8</v>
      </c>
      <c r="M1444" s="32">
        <v>45688</v>
      </c>
      <c r="N1444" s="33">
        <f t="shared" si="477"/>
        <v>9608</v>
      </c>
      <c r="O1444" s="34">
        <f>1878+25.5+674</f>
        <v>2577.5</v>
      </c>
      <c r="P1444" s="34"/>
      <c r="Q1444" s="34">
        <f t="shared" si="481"/>
        <v>2577.5</v>
      </c>
      <c r="R1444" s="12"/>
      <c r="S1444" s="12"/>
      <c r="T1444" s="12"/>
      <c r="U1444" s="12">
        <f t="shared" si="473"/>
        <v>2577.5</v>
      </c>
      <c r="W1444" s="10">
        <v>8</v>
      </c>
      <c r="X1444" s="32">
        <v>45688</v>
      </c>
      <c r="Y1444" s="33">
        <f t="shared" si="478"/>
        <v>7849</v>
      </c>
      <c r="Z1444" s="34">
        <f>27544+2980+410</f>
        <v>30934</v>
      </c>
      <c r="AA1444" s="37"/>
      <c r="AB1444" s="34">
        <f t="shared" si="479"/>
        <v>30934</v>
      </c>
      <c r="AC1444" s="12"/>
      <c r="AD1444" s="12"/>
      <c r="AE1444" s="12">
        <v>-558</v>
      </c>
      <c r="AF1444" s="12">
        <f t="shared" si="475"/>
        <v>30376</v>
      </c>
    </row>
    <row r="1445" spans="1:32" x14ac:dyDescent="0.25">
      <c r="A1445" s="10">
        <v>9</v>
      </c>
      <c r="B1445" s="32">
        <v>45688</v>
      </c>
      <c r="C1445" s="33">
        <f t="shared" si="476"/>
        <v>7756</v>
      </c>
      <c r="D1445" s="34">
        <f>6500+6500+2350+1582+1175+2350+5510+2204+6500+1728</f>
        <v>36399</v>
      </c>
      <c r="E1445" s="34"/>
      <c r="F1445" s="34">
        <f t="shared" si="480"/>
        <v>36399</v>
      </c>
      <c r="G1445" s="12"/>
      <c r="H1445" s="12"/>
      <c r="I1445" s="12"/>
      <c r="J1445" s="12">
        <f t="shared" si="471"/>
        <v>36399</v>
      </c>
      <c r="L1445" s="10">
        <v>9</v>
      </c>
      <c r="M1445" s="32">
        <v>45688</v>
      </c>
      <c r="N1445" s="33">
        <f t="shared" si="477"/>
        <v>9609</v>
      </c>
      <c r="O1445" s="34">
        <f>596+8.5</f>
        <v>604.5</v>
      </c>
      <c r="P1445" s="34"/>
      <c r="Q1445" s="34">
        <f t="shared" si="481"/>
        <v>604.5</v>
      </c>
      <c r="R1445" s="12"/>
      <c r="S1445" s="12"/>
      <c r="T1445" s="12"/>
      <c r="U1445" s="12">
        <f t="shared" si="473"/>
        <v>604.5</v>
      </c>
      <c r="W1445" s="10">
        <v>9</v>
      </c>
      <c r="X1445" s="32">
        <v>45688</v>
      </c>
      <c r="Y1445" s="33">
        <f t="shared" si="478"/>
        <v>7850</v>
      </c>
      <c r="Z1445">
        <f>13146+1826+5960+205</f>
        <v>21137</v>
      </c>
      <c r="AA1445" s="34"/>
      <c r="AB1445" s="34">
        <f t="shared" si="479"/>
        <v>21137</v>
      </c>
      <c r="AC1445" s="12"/>
      <c r="AD1445" s="66">
        <v>36</v>
      </c>
      <c r="AE1445" s="12"/>
      <c r="AF1445" s="12">
        <f t="shared" si="475"/>
        <v>21173</v>
      </c>
    </row>
    <row r="1446" spans="1:32" x14ac:dyDescent="0.25">
      <c r="A1446" s="10">
        <v>10</v>
      </c>
      <c r="B1446" s="32">
        <v>45688</v>
      </c>
      <c r="C1446" s="33">
        <f t="shared" si="476"/>
        <v>7757</v>
      </c>
      <c r="D1446" s="34">
        <f>125200+30700+29800+2255</f>
        <v>187955</v>
      </c>
      <c r="E1446" s="34">
        <v>-2799</v>
      </c>
      <c r="F1446" s="34">
        <f t="shared" si="480"/>
        <v>185156</v>
      </c>
      <c r="G1446" s="12"/>
      <c r="H1446" s="12">
        <v>25359</v>
      </c>
      <c r="I1446" s="12"/>
      <c r="J1446" s="12">
        <f t="shared" si="471"/>
        <v>210515</v>
      </c>
      <c r="L1446" s="10">
        <v>10</v>
      </c>
      <c r="M1446" s="32">
        <v>45688</v>
      </c>
      <c r="N1446" s="33">
        <f t="shared" si="477"/>
        <v>9610</v>
      </c>
      <c r="O1446" s="34">
        <f>5008+68</f>
        <v>5076</v>
      </c>
      <c r="P1446" s="34"/>
      <c r="Q1446" s="34">
        <f t="shared" si="481"/>
        <v>5076</v>
      </c>
      <c r="R1446" s="12"/>
      <c r="S1446" s="12"/>
      <c r="T1446" s="12"/>
      <c r="U1446" s="12">
        <f t="shared" si="473"/>
        <v>5076</v>
      </c>
      <c r="W1446" s="10">
        <v>10</v>
      </c>
      <c r="X1446" s="32">
        <v>45688</v>
      </c>
      <c r="Y1446" s="33">
        <v>9701</v>
      </c>
      <c r="Z1446" s="34">
        <f>50080+11920+820</f>
        <v>62820</v>
      </c>
      <c r="AA1446" s="34">
        <v>-800</v>
      </c>
      <c r="AB1446" s="34">
        <f t="shared" si="479"/>
        <v>62020</v>
      </c>
      <c r="AC1446" s="12"/>
      <c r="AD1446" s="12">
        <v>72</v>
      </c>
      <c r="AE1446" s="12"/>
      <c r="AF1446" s="12">
        <f t="shared" si="475"/>
        <v>62092</v>
      </c>
    </row>
    <row r="1447" spans="1:32" x14ac:dyDescent="0.25">
      <c r="A1447" s="10">
        <v>11</v>
      </c>
      <c r="B1447" s="32"/>
      <c r="C1447" s="11" t="s">
        <v>28</v>
      </c>
      <c r="D1447" s="34"/>
      <c r="E1447" s="34"/>
      <c r="F1447" s="34">
        <f t="shared" si="480"/>
        <v>0</v>
      </c>
      <c r="G1447" s="12"/>
      <c r="H1447" s="12"/>
      <c r="I1447" s="12"/>
      <c r="J1447" s="12">
        <f t="shared" si="471"/>
        <v>0</v>
      </c>
      <c r="L1447" s="10">
        <v>11</v>
      </c>
      <c r="M1447" s="32">
        <v>45688</v>
      </c>
      <c r="N1447" s="33">
        <f t="shared" si="477"/>
        <v>9611</v>
      </c>
      <c r="O1447" s="34">
        <f>1878+25.5</f>
        <v>1903.5</v>
      </c>
      <c r="P1447" s="34"/>
      <c r="Q1447" s="34">
        <f t="shared" si="481"/>
        <v>1903.5</v>
      </c>
      <c r="R1447" s="12"/>
      <c r="S1447" s="12"/>
      <c r="T1447" s="12"/>
      <c r="U1447" s="12">
        <f t="shared" si="473"/>
        <v>1903.5</v>
      </c>
      <c r="W1447" s="10">
        <v>11</v>
      </c>
      <c r="X1447" s="32">
        <v>45688</v>
      </c>
      <c r="Y1447" s="33">
        <f t="shared" si="478"/>
        <v>9702</v>
      </c>
      <c r="Z1447" s="34">
        <f>1230</f>
        <v>1230</v>
      </c>
      <c r="AA1447" s="34"/>
      <c r="AB1447" s="34">
        <f t="shared" ref="AB1447:AB1469" si="482">SUM(Z1447:AA1447)</f>
        <v>1230</v>
      </c>
      <c r="AC1447" s="12"/>
      <c r="AD1447" s="12"/>
      <c r="AE1447" s="12"/>
      <c r="AF1447" s="12">
        <f t="shared" si="475"/>
        <v>1230</v>
      </c>
    </row>
    <row r="1448" spans="1:32" x14ac:dyDescent="0.25">
      <c r="A1448" s="10">
        <v>12</v>
      </c>
      <c r="B1448" s="32"/>
      <c r="C1448" s="33"/>
      <c r="D1448" s="34"/>
      <c r="E1448" s="34"/>
      <c r="F1448" s="34">
        <f t="shared" si="480"/>
        <v>0</v>
      </c>
      <c r="G1448" s="12"/>
      <c r="H1448" s="12"/>
      <c r="I1448" s="12"/>
      <c r="J1448" s="12">
        <f t="shared" si="471"/>
        <v>0</v>
      </c>
      <c r="L1448" s="10">
        <v>12</v>
      </c>
      <c r="M1448" s="32">
        <v>45688</v>
      </c>
      <c r="N1448" s="33">
        <f t="shared" si="477"/>
        <v>9612</v>
      </c>
      <c r="O1448" s="34">
        <f>1252+596+25.5</f>
        <v>1873.5</v>
      </c>
      <c r="P1448" s="34"/>
      <c r="Q1448" s="34">
        <f t="shared" si="481"/>
        <v>1873.5</v>
      </c>
      <c r="R1448" s="12"/>
      <c r="S1448" s="12"/>
      <c r="T1448" s="12"/>
      <c r="U1448" s="12">
        <f t="shared" si="473"/>
        <v>1873.5</v>
      </c>
      <c r="W1448" s="10">
        <v>12</v>
      </c>
      <c r="X1448" s="32"/>
      <c r="Y1448" s="11" t="s">
        <v>28</v>
      </c>
      <c r="Z1448" s="34"/>
      <c r="AA1448" s="34"/>
      <c r="AB1448" s="34">
        <f t="shared" si="482"/>
        <v>0</v>
      </c>
      <c r="AC1448" s="12"/>
      <c r="AD1448" s="12"/>
      <c r="AE1448" s="12"/>
      <c r="AF1448" s="12">
        <f t="shared" si="475"/>
        <v>0</v>
      </c>
    </row>
    <row r="1449" spans="1:32" x14ac:dyDescent="0.25">
      <c r="A1449" s="10">
        <v>13</v>
      </c>
      <c r="B1449" s="32"/>
      <c r="C1449" s="33"/>
      <c r="D1449" s="34"/>
      <c r="E1449" s="34"/>
      <c r="F1449" s="34">
        <f t="shared" si="480"/>
        <v>0</v>
      </c>
      <c r="G1449" s="12"/>
      <c r="H1449" s="12"/>
      <c r="I1449" s="12"/>
      <c r="J1449" s="12">
        <f t="shared" si="471"/>
        <v>0</v>
      </c>
      <c r="L1449" s="10">
        <v>13</v>
      </c>
      <c r="M1449" s="32">
        <v>45688</v>
      </c>
      <c r="N1449" s="33">
        <f t="shared" si="477"/>
        <v>9613</v>
      </c>
      <c r="O1449" s="34">
        <f>1878+614+25.5</f>
        <v>2517.5</v>
      </c>
      <c r="P1449" s="34"/>
      <c r="Q1449" s="34">
        <f t="shared" si="481"/>
        <v>2517.5</v>
      </c>
      <c r="R1449" s="12"/>
      <c r="S1449" s="12"/>
      <c r="T1449" s="12"/>
      <c r="U1449" s="12">
        <f t="shared" si="473"/>
        <v>2517.5</v>
      </c>
      <c r="W1449" s="10">
        <v>13</v>
      </c>
      <c r="X1449" s="32"/>
      <c r="Z1449" s="34"/>
      <c r="AA1449" s="34"/>
      <c r="AB1449" s="34">
        <f t="shared" si="482"/>
        <v>0</v>
      </c>
      <c r="AC1449" s="12"/>
      <c r="AD1449" s="12"/>
      <c r="AE1449" s="12"/>
      <c r="AF1449" s="12">
        <f t="shared" si="475"/>
        <v>0</v>
      </c>
    </row>
    <row r="1450" spans="1:32" x14ac:dyDescent="0.25">
      <c r="A1450" s="10">
        <v>14</v>
      </c>
      <c r="B1450" s="32"/>
      <c r="D1450" s="34"/>
      <c r="E1450" s="34"/>
      <c r="F1450" s="34">
        <f t="shared" si="480"/>
        <v>0</v>
      </c>
      <c r="G1450" s="12"/>
      <c r="H1450" s="12"/>
      <c r="I1450" s="12"/>
      <c r="J1450" s="12">
        <f t="shared" si="471"/>
        <v>0</v>
      </c>
      <c r="L1450" s="10">
        <v>14</v>
      </c>
      <c r="M1450" s="32">
        <v>45688</v>
      </c>
      <c r="N1450" s="33">
        <f t="shared" si="477"/>
        <v>9614</v>
      </c>
      <c r="O1450" s="34">
        <f>626*8+1228+68+500</f>
        <v>6804</v>
      </c>
      <c r="P1450" s="34"/>
      <c r="Q1450" s="34">
        <f t="shared" si="481"/>
        <v>6804</v>
      </c>
      <c r="R1450" s="12"/>
      <c r="S1450" s="12"/>
      <c r="T1450" s="12"/>
      <c r="U1450" s="12">
        <f t="shared" si="473"/>
        <v>6804</v>
      </c>
      <c r="W1450" s="10">
        <v>14</v>
      </c>
      <c r="X1450" s="32"/>
      <c r="Y1450" s="33"/>
      <c r="AA1450" s="34"/>
      <c r="AB1450" s="34">
        <f t="shared" si="482"/>
        <v>0</v>
      </c>
      <c r="AC1450" s="12"/>
      <c r="AD1450" s="12"/>
      <c r="AE1450" s="12"/>
      <c r="AF1450" s="12">
        <f t="shared" si="475"/>
        <v>0</v>
      </c>
    </row>
    <row r="1451" spans="1:32" x14ac:dyDescent="0.25">
      <c r="A1451" s="10">
        <v>15</v>
      </c>
      <c r="B1451" s="32"/>
      <c r="C1451" s="33"/>
      <c r="D1451" s="34"/>
      <c r="E1451" s="34"/>
      <c r="F1451" s="34">
        <f t="shared" si="480"/>
        <v>0</v>
      </c>
      <c r="G1451" s="12"/>
      <c r="H1451" s="12"/>
      <c r="I1451" s="12"/>
      <c r="J1451" s="12">
        <f t="shared" si="471"/>
        <v>0</v>
      </c>
      <c r="L1451" s="10">
        <v>15</v>
      </c>
      <c r="M1451" s="32">
        <v>45688</v>
      </c>
      <c r="N1451" s="33">
        <f t="shared" si="477"/>
        <v>9615</v>
      </c>
      <c r="O1451" s="34">
        <f>3130+614+42.5</f>
        <v>3786.5</v>
      </c>
      <c r="P1451" s="34"/>
      <c r="Q1451" s="34">
        <f t="shared" si="481"/>
        <v>3786.5</v>
      </c>
      <c r="R1451" s="12"/>
      <c r="S1451" s="12"/>
      <c r="T1451" s="12"/>
      <c r="U1451" s="12">
        <f t="shared" si="473"/>
        <v>3786.5</v>
      </c>
      <c r="W1451" s="10">
        <v>15</v>
      </c>
      <c r="X1451" s="32"/>
      <c r="Z1451" s="34"/>
      <c r="AA1451" s="34"/>
      <c r="AB1451" s="34">
        <f t="shared" si="482"/>
        <v>0</v>
      </c>
      <c r="AC1451" s="12"/>
      <c r="AD1451" s="12"/>
      <c r="AE1451" s="12"/>
      <c r="AF1451" s="12">
        <f t="shared" si="475"/>
        <v>0</v>
      </c>
    </row>
    <row r="1452" spans="1:32" x14ac:dyDescent="0.25">
      <c r="A1452" s="10">
        <v>16</v>
      </c>
      <c r="B1452" s="32"/>
      <c r="C1452" s="33"/>
      <c r="D1452" s="34"/>
      <c r="E1452" s="34"/>
      <c r="F1452" s="34">
        <f t="shared" si="480"/>
        <v>0</v>
      </c>
      <c r="G1452" s="12"/>
      <c r="H1452" s="12"/>
      <c r="I1452" s="12"/>
      <c r="J1452" s="12">
        <f t="shared" si="471"/>
        <v>0</v>
      </c>
      <c r="L1452" s="10">
        <v>16</v>
      </c>
      <c r="M1452" s="32">
        <v>45688</v>
      </c>
      <c r="N1452" s="33">
        <f t="shared" si="477"/>
        <v>9616</v>
      </c>
      <c r="O1452" s="34">
        <f>1252+17</f>
        <v>1269</v>
      </c>
      <c r="P1452" s="34"/>
      <c r="Q1452" s="34">
        <f t="shared" si="481"/>
        <v>1269</v>
      </c>
      <c r="R1452" s="12"/>
      <c r="S1452" s="12"/>
      <c r="T1452" s="12"/>
      <c r="U1452" s="12">
        <f t="shared" si="473"/>
        <v>1269</v>
      </c>
      <c r="W1452" s="10">
        <v>16</v>
      </c>
      <c r="X1452" s="32"/>
      <c r="Y1452" s="33"/>
      <c r="Z1452" s="34"/>
      <c r="AA1452" s="34"/>
      <c r="AB1452" s="34">
        <f t="shared" si="482"/>
        <v>0</v>
      </c>
      <c r="AC1452" s="12"/>
      <c r="AD1452" s="12"/>
      <c r="AE1452" s="12"/>
      <c r="AF1452" s="12">
        <f t="shared" si="475"/>
        <v>0</v>
      </c>
    </row>
    <row r="1453" spans="1:32" x14ac:dyDescent="0.25">
      <c r="A1453" s="10">
        <v>17</v>
      </c>
      <c r="B1453" s="32"/>
      <c r="C1453" s="33"/>
      <c r="D1453" s="37"/>
      <c r="E1453" s="34"/>
      <c r="F1453" s="34">
        <f t="shared" si="480"/>
        <v>0</v>
      </c>
      <c r="G1453" s="12"/>
      <c r="H1453" s="12"/>
      <c r="I1453" s="12"/>
      <c r="J1453" s="12">
        <f t="shared" si="471"/>
        <v>0</v>
      </c>
      <c r="L1453" s="10">
        <v>17</v>
      </c>
      <c r="M1453" s="32">
        <v>45688</v>
      </c>
      <c r="N1453" s="33">
        <f t="shared" si="477"/>
        <v>9617</v>
      </c>
      <c r="O1453" s="37">
        <f>626*2+17</f>
        <v>1269</v>
      </c>
      <c r="P1453" s="34"/>
      <c r="Q1453" s="34">
        <f t="shared" si="481"/>
        <v>1269</v>
      </c>
      <c r="R1453" s="12"/>
      <c r="S1453" s="12"/>
      <c r="T1453" s="12"/>
      <c r="U1453" s="12">
        <f t="shared" si="473"/>
        <v>1269</v>
      </c>
      <c r="W1453" s="10">
        <v>17</v>
      </c>
      <c r="X1453" s="32"/>
      <c r="Y1453" s="33"/>
      <c r="Z1453" s="37"/>
      <c r="AA1453" s="34"/>
      <c r="AB1453" s="34">
        <f t="shared" si="482"/>
        <v>0</v>
      </c>
      <c r="AC1453" s="12"/>
      <c r="AD1453" s="12"/>
      <c r="AE1453" s="12"/>
      <c r="AF1453" s="12">
        <f t="shared" si="475"/>
        <v>0</v>
      </c>
    </row>
    <row r="1454" spans="1:32" x14ac:dyDescent="0.25">
      <c r="A1454" s="10">
        <v>18</v>
      </c>
      <c r="B1454" s="32"/>
      <c r="C1454" s="33"/>
      <c r="D1454" s="34"/>
      <c r="E1454" s="34"/>
      <c r="F1454" s="34">
        <f t="shared" si="480"/>
        <v>0</v>
      </c>
      <c r="G1454" s="12"/>
      <c r="H1454" s="12"/>
      <c r="I1454" s="12"/>
      <c r="J1454" s="12">
        <f t="shared" si="471"/>
        <v>0</v>
      </c>
      <c r="L1454" s="10">
        <v>18</v>
      </c>
      <c r="M1454" s="32">
        <v>45688</v>
      </c>
      <c r="N1454" s="33">
        <f t="shared" si="477"/>
        <v>9618</v>
      </c>
      <c r="O1454" s="34">
        <f>1252+17</f>
        <v>1269</v>
      </c>
      <c r="P1454" s="34"/>
      <c r="Q1454" s="34">
        <f t="shared" si="481"/>
        <v>1269</v>
      </c>
      <c r="R1454" s="12"/>
      <c r="S1454" s="12"/>
      <c r="T1454" s="12"/>
      <c r="U1454" s="12">
        <f t="shared" si="473"/>
        <v>1269</v>
      </c>
      <c r="W1454" s="10">
        <v>18</v>
      </c>
      <c r="X1454" s="32"/>
      <c r="Y1454" s="33"/>
      <c r="Z1454" s="34"/>
      <c r="AA1454" s="34"/>
      <c r="AB1454" s="34">
        <f t="shared" si="482"/>
        <v>0</v>
      </c>
      <c r="AC1454" s="12"/>
      <c r="AD1454" s="12"/>
      <c r="AE1454" s="12"/>
      <c r="AF1454" s="12">
        <f t="shared" si="475"/>
        <v>0</v>
      </c>
    </row>
    <row r="1455" spans="1:32" x14ac:dyDescent="0.25">
      <c r="A1455" s="10">
        <v>19</v>
      </c>
      <c r="B1455" s="32"/>
      <c r="C1455" s="70"/>
      <c r="D1455" s="34"/>
      <c r="E1455" s="34"/>
      <c r="F1455" s="34">
        <f t="shared" si="480"/>
        <v>0</v>
      </c>
      <c r="G1455" s="12"/>
      <c r="H1455" s="12"/>
      <c r="I1455" s="12"/>
      <c r="J1455" s="12">
        <f t="shared" si="471"/>
        <v>0</v>
      </c>
      <c r="L1455" s="10">
        <v>19</v>
      </c>
      <c r="M1455" s="32">
        <v>45688</v>
      </c>
      <c r="N1455" s="33">
        <f t="shared" si="477"/>
        <v>9619</v>
      </c>
      <c r="O1455" s="34">
        <f>2504+1788+59.5</f>
        <v>4351.5</v>
      </c>
      <c r="P1455" s="34"/>
      <c r="Q1455" s="34">
        <f t="shared" si="481"/>
        <v>4351.5</v>
      </c>
      <c r="R1455" s="12"/>
      <c r="S1455" s="12"/>
      <c r="T1455" s="12"/>
      <c r="U1455" s="12">
        <f t="shared" si="473"/>
        <v>4351.5</v>
      </c>
      <c r="W1455" s="10">
        <v>19</v>
      </c>
      <c r="X1455" s="32"/>
      <c r="Y1455" s="33"/>
      <c r="Z1455" s="34"/>
      <c r="AA1455" s="34"/>
      <c r="AB1455" s="34">
        <f t="shared" si="482"/>
        <v>0</v>
      </c>
      <c r="AC1455" s="12"/>
      <c r="AD1455" s="12"/>
      <c r="AE1455" s="12"/>
      <c r="AF1455" s="12">
        <f t="shared" si="475"/>
        <v>0</v>
      </c>
    </row>
    <row r="1456" spans="1:32" x14ac:dyDescent="0.25">
      <c r="A1456" s="10">
        <v>20</v>
      </c>
      <c r="B1456" s="32"/>
      <c r="C1456" s="33"/>
      <c r="D1456" s="34"/>
      <c r="E1456" s="34"/>
      <c r="F1456" s="34">
        <f t="shared" si="480"/>
        <v>0</v>
      </c>
      <c r="G1456" s="12"/>
      <c r="H1456" s="12"/>
      <c r="I1456" s="12"/>
      <c r="J1456" s="12">
        <f t="shared" si="471"/>
        <v>0</v>
      </c>
      <c r="L1456" s="10">
        <v>20</v>
      </c>
      <c r="M1456" s="32">
        <v>45688</v>
      </c>
      <c r="N1456" s="33">
        <f t="shared" si="477"/>
        <v>9620</v>
      </c>
      <c r="O1456" s="34">
        <f>3756+51</f>
        <v>3807</v>
      </c>
      <c r="P1456" s="34"/>
      <c r="Q1456" s="34">
        <f t="shared" si="481"/>
        <v>3807</v>
      </c>
      <c r="R1456" s="12"/>
      <c r="S1456" s="12"/>
      <c r="T1456" s="12"/>
      <c r="U1456" s="12">
        <f t="shared" si="473"/>
        <v>3807</v>
      </c>
      <c r="W1456" s="10">
        <v>20</v>
      </c>
      <c r="X1456" s="32"/>
      <c r="Z1456" s="34"/>
      <c r="AA1456" s="34"/>
      <c r="AB1456" s="34">
        <f t="shared" si="482"/>
        <v>0</v>
      </c>
      <c r="AC1456" s="12"/>
      <c r="AD1456" s="12"/>
      <c r="AE1456" s="12"/>
      <c r="AF1456" s="12">
        <f t="shared" si="475"/>
        <v>0</v>
      </c>
    </row>
    <row r="1457" spans="1:32" x14ac:dyDescent="0.25">
      <c r="A1457" s="10">
        <v>21</v>
      </c>
      <c r="B1457" s="32"/>
      <c r="C1457" s="33"/>
      <c r="D1457" s="50"/>
      <c r="E1457" s="33"/>
      <c r="F1457" s="34">
        <f t="shared" si="480"/>
        <v>0</v>
      </c>
      <c r="G1457" s="10"/>
      <c r="H1457" s="10"/>
      <c r="I1457" s="10"/>
      <c r="J1457" s="12">
        <f t="shared" si="471"/>
        <v>0</v>
      </c>
      <c r="L1457" s="10">
        <v>21</v>
      </c>
      <c r="M1457" s="32">
        <v>45688</v>
      </c>
      <c r="N1457" s="33">
        <f t="shared" si="477"/>
        <v>9621</v>
      </c>
      <c r="O1457" s="50">
        <f>3756+51</f>
        <v>3807</v>
      </c>
      <c r="P1457" s="33"/>
      <c r="Q1457" s="34">
        <f t="shared" si="481"/>
        <v>3807</v>
      </c>
      <c r="R1457" s="10"/>
      <c r="S1457" s="10"/>
      <c r="T1457" s="10"/>
      <c r="U1457" s="12">
        <f t="shared" si="473"/>
        <v>3807</v>
      </c>
      <c r="W1457" s="10">
        <v>21</v>
      </c>
      <c r="X1457" s="32"/>
      <c r="Y1457" s="33"/>
      <c r="Z1457" s="50"/>
      <c r="AA1457" s="33"/>
      <c r="AB1457" s="34">
        <f t="shared" si="482"/>
        <v>0</v>
      </c>
      <c r="AC1457" s="10"/>
      <c r="AD1457" s="10"/>
      <c r="AE1457" s="10"/>
      <c r="AF1457" s="12">
        <f t="shared" si="475"/>
        <v>0</v>
      </c>
    </row>
    <row r="1458" spans="1:32" x14ac:dyDescent="0.25">
      <c r="A1458" s="10">
        <v>22</v>
      </c>
      <c r="B1458" s="32"/>
      <c r="D1458" s="49"/>
      <c r="E1458" s="33"/>
      <c r="F1458" s="34">
        <f t="shared" si="480"/>
        <v>0</v>
      </c>
      <c r="G1458" s="10"/>
      <c r="H1458" s="10"/>
      <c r="I1458" s="10"/>
      <c r="J1458" s="12">
        <f t="shared" si="471"/>
        <v>0</v>
      </c>
      <c r="L1458" s="10">
        <v>22</v>
      </c>
      <c r="M1458" s="32">
        <v>45688</v>
      </c>
      <c r="N1458" s="33">
        <f t="shared" si="477"/>
        <v>9622</v>
      </c>
      <c r="O1458" s="49">
        <f>626+8.5</f>
        <v>634.5</v>
      </c>
      <c r="P1458" s="33"/>
      <c r="Q1458" s="34">
        <f t="shared" si="481"/>
        <v>634.5</v>
      </c>
      <c r="R1458" s="10"/>
      <c r="S1458" s="10"/>
      <c r="T1458" s="10">
        <f>-555</f>
        <v>-555</v>
      </c>
      <c r="U1458" s="12">
        <f t="shared" si="473"/>
        <v>79.5</v>
      </c>
      <c r="W1458" s="10">
        <v>22</v>
      </c>
      <c r="X1458" s="32"/>
      <c r="Z1458" s="49"/>
      <c r="AA1458" s="33"/>
      <c r="AB1458" s="34">
        <f t="shared" si="482"/>
        <v>0</v>
      </c>
      <c r="AC1458" s="10"/>
      <c r="AD1458" s="10"/>
      <c r="AE1458" s="10"/>
      <c r="AF1458" s="12">
        <f t="shared" si="475"/>
        <v>0</v>
      </c>
    </row>
    <row r="1459" spans="1:32" x14ac:dyDescent="0.25">
      <c r="A1459" s="10">
        <v>23</v>
      </c>
      <c r="B1459" s="32"/>
      <c r="C1459" s="70"/>
      <c r="D1459" s="51"/>
      <c r="E1459"/>
      <c r="F1459" s="34">
        <f t="shared" si="480"/>
        <v>0</v>
      </c>
      <c r="G1459" s="10"/>
      <c r="H1459" s="10"/>
      <c r="I1459" s="10"/>
      <c r="J1459" s="12">
        <f t="shared" si="471"/>
        <v>0</v>
      </c>
      <c r="L1459" s="10">
        <v>23</v>
      </c>
      <c r="M1459" s="32">
        <v>45688</v>
      </c>
      <c r="N1459" s="33">
        <f t="shared" si="477"/>
        <v>9623</v>
      </c>
      <c r="O1459" s="51">
        <f>1252+205</f>
        <v>1457</v>
      </c>
      <c r="Q1459" s="34">
        <f t="shared" si="481"/>
        <v>1457</v>
      </c>
      <c r="R1459" s="10"/>
      <c r="S1459" s="10">
        <v>84</v>
      </c>
      <c r="T1459" s="10"/>
      <c r="U1459" s="12">
        <f t="shared" si="473"/>
        <v>1541</v>
      </c>
      <c r="W1459" s="10">
        <v>23</v>
      </c>
      <c r="X1459" s="32"/>
      <c r="Y1459" s="33"/>
      <c r="Z1459" s="51"/>
      <c r="AB1459" s="34">
        <f t="shared" si="482"/>
        <v>0</v>
      </c>
      <c r="AC1459" s="10"/>
      <c r="AD1459" s="10"/>
      <c r="AE1459" s="10"/>
      <c r="AF1459" s="12">
        <f t="shared" si="475"/>
        <v>0</v>
      </c>
    </row>
    <row r="1460" spans="1:32" x14ac:dyDescent="0.25">
      <c r="A1460" s="10">
        <v>24</v>
      </c>
      <c r="B1460" s="32"/>
      <c r="C1460" s="33"/>
      <c r="D1460" s="51"/>
      <c r="E1460" s="33"/>
      <c r="F1460" s="34">
        <f t="shared" si="480"/>
        <v>0</v>
      </c>
      <c r="G1460" s="10"/>
      <c r="H1460" s="10"/>
      <c r="I1460" s="10"/>
      <c r="J1460" s="12">
        <f t="shared" si="471"/>
        <v>0</v>
      </c>
      <c r="L1460" s="10">
        <v>24</v>
      </c>
      <c r="M1460" s="32">
        <v>45688</v>
      </c>
      <c r="N1460" s="33">
        <f t="shared" si="477"/>
        <v>9624</v>
      </c>
      <c r="O1460" s="51">
        <f>2504+596+205</f>
        <v>3305</v>
      </c>
      <c r="P1460" s="33"/>
      <c r="Q1460" s="34">
        <f t="shared" si="481"/>
        <v>3305</v>
      </c>
      <c r="R1460" s="10"/>
      <c r="S1460" s="10"/>
      <c r="T1460" s="10"/>
      <c r="U1460" s="12">
        <f t="shared" si="473"/>
        <v>3305</v>
      </c>
      <c r="W1460" s="10">
        <v>24</v>
      </c>
      <c r="X1460" s="32"/>
      <c r="Z1460" s="51"/>
      <c r="AA1460" s="33"/>
      <c r="AB1460" s="34">
        <f t="shared" si="482"/>
        <v>0</v>
      </c>
      <c r="AC1460" s="10"/>
      <c r="AD1460" s="10"/>
      <c r="AE1460" s="10"/>
      <c r="AF1460" s="12">
        <f t="shared" si="475"/>
        <v>0</v>
      </c>
    </row>
    <row r="1461" spans="1:32" x14ac:dyDescent="0.25">
      <c r="A1461" s="10">
        <v>25</v>
      </c>
      <c r="B1461" s="32"/>
      <c r="C1461" s="33"/>
      <c r="D1461" s="51"/>
      <c r="E1461" s="33"/>
      <c r="F1461" s="34">
        <f t="shared" si="480"/>
        <v>0</v>
      </c>
      <c r="G1461" s="10"/>
      <c r="H1461" s="10"/>
      <c r="I1461" s="10"/>
      <c r="J1461" s="12">
        <f t="shared" si="471"/>
        <v>0</v>
      </c>
      <c r="L1461" s="10">
        <v>25</v>
      </c>
      <c r="M1461" s="32">
        <v>45688</v>
      </c>
      <c r="N1461" s="33">
        <f t="shared" si="477"/>
        <v>9625</v>
      </c>
      <c r="O1461" s="51">
        <f>3756+51+674</f>
        <v>4481</v>
      </c>
      <c r="P1461" s="33"/>
      <c r="Q1461" s="34">
        <f t="shared" si="481"/>
        <v>4481</v>
      </c>
      <c r="R1461" s="10"/>
      <c r="S1461" s="10"/>
      <c r="T1461" s="10"/>
      <c r="U1461" s="12">
        <f t="shared" si="473"/>
        <v>4481</v>
      </c>
      <c r="W1461" s="10">
        <v>25</v>
      </c>
      <c r="X1461" s="32"/>
      <c r="Z1461" s="51"/>
      <c r="AA1461" s="33"/>
      <c r="AB1461" s="34">
        <f t="shared" si="482"/>
        <v>0</v>
      </c>
      <c r="AC1461" s="10"/>
      <c r="AD1461" s="10"/>
      <c r="AE1461" s="10"/>
      <c r="AF1461" s="12">
        <f t="shared" si="475"/>
        <v>0</v>
      </c>
    </row>
    <row r="1462" spans="1:32" x14ac:dyDescent="0.25">
      <c r="A1462" s="10">
        <v>26</v>
      </c>
      <c r="B1462" s="32"/>
      <c r="C1462" s="33"/>
      <c r="D1462" s="51"/>
      <c r="E1462" s="33"/>
      <c r="F1462" s="34">
        <f t="shared" si="480"/>
        <v>0</v>
      </c>
      <c r="G1462" s="10"/>
      <c r="H1462" s="10"/>
      <c r="I1462" s="10"/>
      <c r="J1462" s="12">
        <f t="shared" si="471"/>
        <v>0</v>
      </c>
      <c r="L1462" s="10">
        <v>26</v>
      </c>
      <c r="M1462" s="32">
        <v>45688</v>
      </c>
      <c r="N1462" s="33">
        <f t="shared" si="477"/>
        <v>9626</v>
      </c>
      <c r="O1462" s="51">
        <f>626+596+17</f>
        <v>1239</v>
      </c>
      <c r="P1462" s="33"/>
      <c r="Q1462" s="34">
        <f t="shared" si="481"/>
        <v>1239</v>
      </c>
      <c r="R1462" s="10"/>
      <c r="S1462" s="10"/>
      <c r="T1462" s="10"/>
      <c r="U1462" s="12">
        <f t="shared" si="473"/>
        <v>1239</v>
      </c>
      <c r="W1462" s="10">
        <v>26</v>
      </c>
      <c r="X1462" s="32"/>
      <c r="Z1462" s="51"/>
      <c r="AA1462" s="33"/>
      <c r="AB1462" s="34">
        <f t="shared" si="482"/>
        <v>0</v>
      </c>
      <c r="AC1462" s="10"/>
      <c r="AD1462" s="10"/>
      <c r="AE1462" s="10"/>
      <c r="AF1462" s="12">
        <f t="shared" si="475"/>
        <v>0</v>
      </c>
    </row>
    <row r="1463" spans="1:32" x14ac:dyDescent="0.25">
      <c r="A1463" s="10">
        <v>27</v>
      </c>
      <c r="B1463" s="32"/>
      <c r="C1463" s="33"/>
      <c r="D1463" s="51"/>
      <c r="E1463" s="33"/>
      <c r="F1463" s="34">
        <f t="shared" si="480"/>
        <v>0</v>
      </c>
      <c r="G1463" s="10"/>
      <c r="H1463" s="10"/>
      <c r="I1463" s="10"/>
      <c r="J1463" s="12">
        <f t="shared" si="471"/>
        <v>0</v>
      </c>
      <c r="L1463" s="10">
        <v>27</v>
      </c>
      <c r="M1463" s="32">
        <v>45688</v>
      </c>
      <c r="N1463" s="33">
        <f t="shared" si="477"/>
        <v>9627</v>
      </c>
      <c r="O1463" s="51">
        <f>4382+59.5</f>
        <v>4441.5</v>
      </c>
      <c r="P1463" s="33"/>
      <c r="Q1463" s="34">
        <f t="shared" si="481"/>
        <v>4441.5</v>
      </c>
      <c r="R1463" s="10"/>
      <c r="S1463" s="10"/>
      <c r="T1463" s="10"/>
      <c r="U1463" s="12">
        <f t="shared" si="473"/>
        <v>4441.5</v>
      </c>
      <c r="W1463" s="10">
        <v>27</v>
      </c>
      <c r="X1463" s="32"/>
      <c r="Y1463" s="33"/>
      <c r="Z1463" s="51"/>
      <c r="AA1463" s="33"/>
      <c r="AB1463" s="34">
        <f t="shared" si="482"/>
        <v>0</v>
      </c>
      <c r="AC1463" s="10"/>
      <c r="AD1463" s="10"/>
      <c r="AE1463" s="10"/>
      <c r="AF1463" s="12">
        <f t="shared" si="475"/>
        <v>0</v>
      </c>
    </row>
    <row r="1464" spans="1:32" x14ac:dyDescent="0.25">
      <c r="A1464" s="10">
        <v>28</v>
      </c>
      <c r="B1464" s="32"/>
      <c r="C1464" s="33"/>
      <c r="D1464" s="51"/>
      <c r="E1464" s="33"/>
      <c r="F1464" s="34">
        <f t="shared" si="480"/>
        <v>0</v>
      </c>
      <c r="G1464" s="10"/>
      <c r="H1464" s="10"/>
      <c r="I1464" s="10"/>
      <c r="J1464" s="12">
        <f t="shared" si="471"/>
        <v>0</v>
      </c>
      <c r="L1464" s="10">
        <v>28</v>
      </c>
      <c r="M1464" s="32">
        <v>45688</v>
      </c>
      <c r="N1464" s="33">
        <f t="shared" si="477"/>
        <v>9628</v>
      </c>
      <c r="O1464" s="51">
        <f>1878+1788+51</f>
        <v>3717</v>
      </c>
      <c r="P1464" s="33"/>
      <c r="Q1464" s="34">
        <f t="shared" si="481"/>
        <v>3717</v>
      </c>
      <c r="R1464" s="10"/>
      <c r="S1464" s="10"/>
      <c r="T1464" s="10"/>
      <c r="U1464" s="12">
        <f t="shared" si="473"/>
        <v>3717</v>
      </c>
      <c r="W1464" s="10">
        <v>28</v>
      </c>
      <c r="X1464" s="32"/>
      <c r="Z1464" s="51"/>
      <c r="AA1464" s="33"/>
      <c r="AB1464" s="34">
        <f t="shared" si="482"/>
        <v>0</v>
      </c>
      <c r="AC1464" s="10"/>
      <c r="AD1464" s="10"/>
      <c r="AE1464" s="10"/>
      <c r="AF1464" s="12">
        <f t="shared" si="475"/>
        <v>0</v>
      </c>
    </row>
    <row r="1465" spans="1:32" x14ac:dyDescent="0.25">
      <c r="A1465" s="10">
        <v>29</v>
      </c>
      <c r="B1465" s="32"/>
      <c r="C1465" s="33"/>
      <c r="D1465" s="51"/>
      <c r="E1465" s="33"/>
      <c r="F1465" s="34">
        <f t="shared" si="480"/>
        <v>0</v>
      </c>
      <c r="G1465" s="10"/>
      <c r="H1465" s="10"/>
      <c r="I1465" s="10"/>
      <c r="J1465" s="12">
        <f t="shared" si="471"/>
        <v>0</v>
      </c>
      <c r="L1465" s="10">
        <v>29</v>
      </c>
      <c r="M1465" s="32">
        <v>45688</v>
      </c>
      <c r="N1465" s="33">
        <f t="shared" si="477"/>
        <v>9629</v>
      </c>
      <c r="O1465" s="51">
        <f>626+8.5</f>
        <v>634.5</v>
      </c>
      <c r="P1465" s="33"/>
      <c r="Q1465" s="34">
        <f t="shared" si="481"/>
        <v>634.5</v>
      </c>
      <c r="R1465" s="10"/>
      <c r="S1465" s="10"/>
      <c r="T1465" s="10">
        <v>-111</v>
      </c>
      <c r="U1465" s="12">
        <f t="shared" si="473"/>
        <v>523.5</v>
      </c>
      <c r="W1465" s="10">
        <v>29</v>
      </c>
      <c r="X1465" s="32"/>
      <c r="Z1465" s="51"/>
      <c r="AA1465" s="33"/>
      <c r="AB1465" s="34">
        <f t="shared" si="482"/>
        <v>0</v>
      </c>
      <c r="AC1465" s="10"/>
      <c r="AD1465" s="10"/>
      <c r="AE1465" s="10"/>
      <c r="AF1465" s="12">
        <f t="shared" si="475"/>
        <v>0</v>
      </c>
    </row>
    <row r="1466" spans="1:32" x14ac:dyDescent="0.25">
      <c r="A1466" s="10">
        <v>30</v>
      </c>
      <c r="B1466" s="32"/>
      <c r="C1466" s="70"/>
      <c r="D1466" s="51"/>
      <c r="E1466" s="33"/>
      <c r="F1466" s="34">
        <f t="shared" si="480"/>
        <v>0</v>
      </c>
      <c r="G1466" s="10"/>
      <c r="H1466" s="10"/>
      <c r="I1466" s="10"/>
      <c r="J1466" s="12">
        <f t="shared" si="471"/>
        <v>0</v>
      </c>
      <c r="L1466" s="10">
        <v>30</v>
      </c>
      <c r="M1466" s="32">
        <v>45688</v>
      </c>
      <c r="N1466" s="33">
        <f t="shared" si="477"/>
        <v>9630</v>
      </c>
      <c r="O1466" s="51">
        <f>3756+25.5</f>
        <v>3781.5</v>
      </c>
      <c r="P1466" s="33"/>
      <c r="Q1466" s="34">
        <f t="shared" si="481"/>
        <v>3781.5</v>
      </c>
      <c r="R1466" s="10"/>
      <c r="S1466" s="10"/>
      <c r="T1466" s="10"/>
      <c r="U1466" s="12">
        <f t="shared" si="473"/>
        <v>3781.5</v>
      </c>
      <c r="W1466" s="10">
        <v>30</v>
      </c>
      <c r="X1466" s="32"/>
      <c r="Y1466" s="33"/>
      <c r="Z1466" s="51"/>
      <c r="AA1466" s="33"/>
      <c r="AB1466" s="34">
        <f t="shared" si="482"/>
        <v>0</v>
      </c>
      <c r="AC1466" s="10"/>
      <c r="AD1466" s="10"/>
      <c r="AE1466" s="10"/>
      <c r="AF1466" s="12">
        <f t="shared" si="475"/>
        <v>0</v>
      </c>
    </row>
    <row r="1467" spans="1:32" x14ac:dyDescent="0.25">
      <c r="A1467" s="10">
        <v>31</v>
      </c>
      <c r="B1467" s="32"/>
      <c r="C1467" s="33"/>
      <c r="D1467" s="51"/>
      <c r="E1467" s="33"/>
      <c r="F1467" s="34">
        <f t="shared" si="480"/>
        <v>0</v>
      </c>
      <c r="G1467" s="10"/>
      <c r="H1467" s="10"/>
      <c r="I1467" s="10"/>
      <c r="J1467" s="12">
        <f t="shared" si="471"/>
        <v>0</v>
      </c>
      <c r="L1467" s="10">
        <v>31</v>
      </c>
      <c r="M1467" s="32">
        <v>45688</v>
      </c>
      <c r="N1467" s="33">
        <f t="shared" si="477"/>
        <v>9631</v>
      </c>
      <c r="O1467" s="51">
        <f>1252+614+17</f>
        <v>1883</v>
      </c>
      <c r="P1467" s="33"/>
      <c r="Q1467" s="34">
        <f t="shared" si="481"/>
        <v>1883</v>
      </c>
      <c r="R1467" s="10"/>
      <c r="S1467" s="10"/>
      <c r="T1467" s="10"/>
      <c r="U1467" s="12">
        <f t="shared" si="473"/>
        <v>1883</v>
      </c>
      <c r="W1467" s="10">
        <v>31</v>
      </c>
      <c r="X1467" s="32"/>
      <c r="Z1467" s="51"/>
      <c r="AA1467" s="33"/>
      <c r="AB1467" s="34">
        <f t="shared" si="482"/>
        <v>0</v>
      </c>
      <c r="AC1467" s="10"/>
      <c r="AD1467" s="10"/>
      <c r="AE1467" s="10"/>
      <c r="AF1467" s="12">
        <f t="shared" si="475"/>
        <v>0</v>
      </c>
    </row>
    <row r="1468" spans="1:32" x14ac:dyDescent="0.25">
      <c r="A1468" s="10">
        <v>32</v>
      </c>
      <c r="B1468" s="32"/>
      <c r="C1468" s="70"/>
      <c r="D1468" s="51"/>
      <c r="E1468" s="33"/>
      <c r="F1468" s="34">
        <f t="shared" si="480"/>
        <v>0</v>
      </c>
      <c r="G1468" s="10"/>
      <c r="H1468" s="10"/>
      <c r="I1468" s="10"/>
      <c r="J1468" s="12">
        <f t="shared" si="471"/>
        <v>0</v>
      </c>
      <c r="L1468" s="10">
        <v>32</v>
      </c>
      <c r="M1468" s="32">
        <v>45688</v>
      </c>
      <c r="N1468" s="33">
        <f t="shared" si="477"/>
        <v>9632</v>
      </c>
      <c r="O1468" s="51">
        <f>3130+42.5</f>
        <v>3172.5</v>
      </c>
      <c r="P1468" s="33"/>
      <c r="Q1468" s="34">
        <f t="shared" si="481"/>
        <v>3172.5</v>
      </c>
      <c r="R1468" s="10"/>
      <c r="S1468" s="10"/>
      <c r="T1468" s="10"/>
      <c r="U1468" s="12">
        <f t="shared" si="473"/>
        <v>3172.5</v>
      </c>
      <c r="W1468" s="10">
        <v>32</v>
      </c>
      <c r="X1468" s="32"/>
      <c r="Y1468" s="33"/>
      <c r="Z1468" s="51"/>
      <c r="AA1468" s="33"/>
      <c r="AB1468" s="34">
        <f t="shared" si="482"/>
        <v>0</v>
      </c>
      <c r="AC1468" s="10"/>
      <c r="AD1468" s="10"/>
      <c r="AE1468" s="10"/>
      <c r="AF1468" s="12">
        <f t="shared" si="475"/>
        <v>0</v>
      </c>
    </row>
    <row r="1469" spans="1:32" x14ac:dyDescent="0.25">
      <c r="A1469" s="10">
        <v>33</v>
      </c>
      <c r="B1469" s="32"/>
      <c r="C1469" s="33"/>
      <c r="D1469" s="51"/>
      <c r="E1469" s="33"/>
      <c r="F1469" s="34">
        <f t="shared" si="480"/>
        <v>0</v>
      </c>
      <c r="G1469" s="10"/>
      <c r="H1469" s="10"/>
      <c r="I1469" s="10"/>
      <c r="J1469" s="12">
        <f t="shared" si="471"/>
        <v>0</v>
      </c>
      <c r="L1469" s="10">
        <v>33</v>
      </c>
      <c r="M1469" s="32">
        <v>45688</v>
      </c>
      <c r="N1469" s="33">
        <f t="shared" si="477"/>
        <v>9633</v>
      </c>
      <c r="O1469" s="51">
        <f>18780+11920</f>
        <v>30700</v>
      </c>
      <c r="P1469" s="33">
        <v>-400</v>
      </c>
      <c r="Q1469" s="34">
        <f t="shared" si="481"/>
        <v>30300</v>
      </c>
      <c r="R1469" s="10"/>
      <c r="S1469" s="10"/>
      <c r="T1469" s="10"/>
      <c r="U1469" s="12">
        <f t="shared" si="473"/>
        <v>30300</v>
      </c>
      <c r="W1469" s="10">
        <v>33</v>
      </c>
      <c r="X1469" s="32"/>
      <c r="Y1469" s="33"/>
      <c r="Z1469" s="51"/>
      <c r="AA1469" s="33"/>
      <c r="AB1469" s="34">
        <f t="shared" si="482"/>
        <v>0</v>
      </c>
      <c r="AC1469" s="10"/>
      <c r="AD1469" s="10"/>
      <c r="AE1469" s="10"/>
      <c r="AF1469" s="12">
        <f t="shared" si="475"/>
        <v>0</v>
      </c>
    </row>
    <row r="1470" spans="1:32" x14ac:dyDescent="0.25">
      <c r="A1470" s="10">
        <v>34</v>
      </c>
      <c r="B1470" s="32"/>
      <c r="C1470" s="33"/>
      <c r="D1470" s="51"/>
      <c r="E1470" s="33"/>
      <c r="F1470" s="34">
        <f t="shared" si="480"/>
        <v>0</v>
      </c>
      <c r="G1470" s="10"/>
      <c r="H1470" s="10"/>
      <c r="I1470" s="10"/>
      <c r="J1470" s="12">
        <f t="shared" si="471"/>
        <v>0</v>
      </c>
      <c r="L1470" s="10">
        <v>34</v>
      </c>
      <c r="M1470" s="32">
        <v>45688</v>
      </c>
      <c r="N1470" s="33">
        <f t="shared" si="477"/>
        <v>9634</v>
      </c>
      <c r="O1470" s="51">
        <f>626+614+596+17</f>
        <v>1853</v>
      </c>
      <c r="P1470" s="33"/>
      <c r="Q1470" s="34">
        <f t="shared" si="481"/>
        <v>1853</v>
      </c>
      <c r="R1470" s="10"/>
      <c r="S1470" s="10"/>
      <c r="T1470" s="10"/>
      <c r="U1470" s="12">
        <f t="shared" si="473"/>
        <v>1853</v>
      </c>
      <c r="W1470" s="10">
        <v>34</v>
      </c>
      <c r="X1470" s="32"/>
      <c r="Y1470" s="33"/>
      <c r="Z1470" s="51"/>
      <c r="AA1470" s="33"/>
      <c r="AB1470" s="34">
        <f t="shared" ref="AB1470:AB1475" si="483">SUM(Z1470:AA1470)</f>
        <v>0</v>
      </c>
      <c r="AC1470" s="10"/>
      <c r="AD1470" s="10"/>
      <c r="AE1470" s="10"/>
      <c r="AF1470" s="12">
        <f t="shared" si="475"/>
        <v>0</v>
      </c>
    </row>
    <row r="1471" spans="1:32" x14ac:dyDescent="0.25">
      <c r="A1471" s="10">
        <v>35</v>
      </c>
      <c r="B1471" s="32"/>
      <c r="C1471" s="33"/>
      <c r="D1471" s="51"/>
      <c r="E1471" s="33"/>
      <c r="F1471" s="34">
        <f t="shared" si="480"/>
        <v>0</v>
      </c>
      <c r="G1471" s="10"/>
      <c r="H1471" s="10"/>
      <c r="I1471" s="10"/>
      <c r="J1471" s="12">
        <f t="shared" si="471"/>
        <v>0</v>
      </c>
      <c r="L1471" s="10">
        <v>35</v>
      </c>
      <c r="M1471" s="32">
        <v>45688</v>
      </c>
      <c r="N1471" s="33">
        <f t="shared" si="477"/>
        <v>9635</v>
      </c>
      <c r="O1471" s="51">
        <f>913+832</f>
        <v>1745</v>
      </c>
      <c r="P1471" s="33"/>
      <c r="Q1471" s="34">
        <f t="shared" si="481"/>
        <v>1745</v>
      </c>
      <c r="R1471" s="10"/>
      <c r="S1471" s="10">
        <v>15</v>
      </c>
      <c r="T1471" s="10"/>
      <c r="U1471" s="12">
        <f t="shared" si="473"/>
        <v>1760</v>
      </c>
      <c r="W1471" s="10">
        <v>35</v>
      </c>
      <c r="X1471" s="32"/>
      <c r="Y1471" s="33"/>
      <c r="Z1471" s="51"/>
      <c r="AA1471" s="33"/>
      <c r="AB1471" s="34">
        <f t="shared" si="483"/>
        <v>0</v>
      </c>
      <c r="AC1471" s="10"/>
      <c r="AD1471" s="10"/>
      <c r="AE1471" s="10"/>
      <c r="AF1471" s="12">
        <f t="shared" si="475"/>
        <v>0</v>
      </c>
    </row>
    <row r="1472" spans="1:32" x14ac:dyDescent="0.25">
      <c r="A1472" s="10">
        <v>36</v>
      </c>
      <c r="B1472" s="32"/>
      <c r="C1472" s="33"/>
      <c r="D1472" s="51"/>
      <c r="E1472" s="33"/>
      <c r="F1472" s="34">
        <f t="shared" si="480"/>
        <v>0</v>
      </c>
      <c r="G1472" s="10"/>
      <c r="H1472" s="10"/>
      <c r="I1472" s="10"/>
      <c r="J1472" s="12">
        <f t="shared" si="471"/>
        <v>0</v>
      </c>
      <c r="L1472" s="10">
        <v>36</v>
      </c>
      <c r="M1472" s="32">
        <v>45688</v>
      </c>
      <c r="N1472" s="33">
        <f t="shared" si="477"/>
        <v>9636</v>
      </c>
      <c r="O1472" s="51">
        <f>626+8.5</f>
        <v>634.5</v>
      </c>
      <c r="P1472" s="33"/>
      <c r="Q1472" s="34">
        <f t="shared" si="481"/>
        <v>634.5</v>
      </c>
      <c r="R1472" s="10"/>
      <c r="S1472" s="10"/>
      <c r="T1472" s="10"/>
      <c r="U1472" s="12">
        <f t="shared" si="473"/>
        <v>634.5</v>
      </c>
      <c r="W1472" s="10">
        <v>36</v>
      </c>
      <c r="X1472" s="32"/>
      <c r="Y1472" s="33"/>
      <c r="Z1472" s="51"/>
      <c r="AA1472" s="33"/>
      <c r="AB1472" s="34">
        <f t="shared" si="483"/>
        <v>0</v>
      </c>
      <c r="AC1472" s="10"/>
      <c r="AD1472" s="10"/>
      <c r="AE1472" s="10"/>
      <c r="AF1472" s="12">
        <f t="shared" si="475"/>
        <v>0</v>
      </c>
    </row>
    <row r="1473" spans="1:32" x14ac:dyDescent="0.25">
      <c r="A1473" s="10">
        <v>37</v>
      </c>
      <c r="B1473" s="32"/>
      <c r="C1473" s="33"/>
      <c r="D1473" s="51"/>
      <c r="E1473" s="33"/>
      <c r="F1473" s="34">
        <f t="shared" si="480"/>
        <v>0</v>
      </c>
      <c r="G1473" s="10"/>
      <c r="H1473" s="10"/>
      <c r="I1473" s="10"/>
      <c r="J1473" s="12">
        <f t="shared" si="471"/>
        <v>0</v>
      </c>
      <c r="L1473" s="10">
        <v>37</v>
      </c>
      <c r="M1473" s="32">
        <v>45688</v>
      </c>
      <c r="N1473" s="33">
        <f t="shared" si="477"/>
        <v>9637</v>
      </c>
      <c r="O1473" s="51">
        <f>626+8.5</f>
        <v>634.5</v>
      </c>
      <c r="P1473" s="33"/>
      <c r="Q1473" s="34">
        <f t="shared" si="481"/>
        <v>634.5</v>
      </c>
      <c r="R1473" s="10"/>
      <c r="S1473" s="10"/>
      <c r="T1473" s="10"/>
      <c r="U1473" s="12">
        <f t="shared" si="473"/>
        <v>634.5</v>
      </c>
      <c r="W1473" s="10">
        <v>37</v>
      </c>
      <c r="X1473" s="32"/>
      <c r="Y1473" s="33"/>
      <c r="Z1473" s="51"/>
      <c r="AA1473" s="33"/>
      <c r="AB1473" s="34">
        <f t="shared" si="483"/>
        <v>0</v>
      </c>
      <c r="AC1473" s="10"/>
      <c r="AD1473" s="10"/>
      <c r="AE1473" s="10"/>
      <c r="AF1473" s="12">
        <f t="shared" si="475"/>
        <v>0</v>
      </c>
    </row>
    <row r="1474" spans="1:32" x14ac:dyDescent="0.25">
      <c r="A1474" s="10">
        <v>38</v>
      </c>
      <c r="B1474" s="32"/>
      <c r="C1474" s="33"/>
      <c r="D1474" s="51"/>
      <c r="E1474" s="33"/>
      <c r="F1474" s="34">
        <f t="shared" si="480"/>
        <v>0</v>
      </c>
      <c r="G1474" s="10"/>
      <c r="H1474" s="10"/>
      <c r="I1474" s="10"/>
      <c r="J1474" s="12">
        <f t="shared" si="471"/>
        <v>0</v>
      </c>
      <c r="L1474" s="10">
        <v>38</v>
      </c>
      <c r="M1474" s="32"/>
      <c r="N1474" s="11" t="s">
        <v>28</v>
      </c>
      <c r="O1474" s="51"/>
      <c r="P1474" s="33"/>
      <c r="Q1474" s="34">
        <f t="shared" si="481"/>
        <v>0</v>
      </c>
      <c r="R1474" s="10"/>
      <c r="S1474" s="10"/>
      <c r="T1474" s="10"/>
      <c r="U1474" s="12">
        <f t="shared" si="473"/>
        <v>0</v>
      </c>
      <c r="W1474" s="10">
        <v>38</v>
      </c>
      <c r="X1474" s="32"/>
      <c r="Y1474" s="33"/>
      <c r="Z1474" s="51"/>
      <c r="AA1474" s="33"/>
      <c r="AB1474" s="34">
        <f t="shared" si="483"/>
        <v>0</v>
      </c>
      <c r="AC1474" s="10"/>
      <c r="AD1474" s="10"/>
      <c r="AE1474" s="10"/>
      <c r="AF1474" s="12">
        <f t="shared" si="475"/>
        <v>0</v>
      </c>
    </row>
    <row r="1475" spans="1:32" x14ac:dyDescent="0.25">
      <c r="A1475" s="10">
        <v>39</v>
      </c>
      <c r="B1475" s="32"/>
      <c r="C1475" s="33"/>
      <c r="D1475" s="51"/>
      <c r="E1475" s="33"/>
      <c r="F1475" s="34">
        <f t="shared" si="480"/>
        <v>0</v>
      </c>
      <c r="G1475" s="10"/>
      <c r="H1475" s="10"/>
      <c r="I1475" s="10"/>
      <c r="J1475" s="12">
        <f t="shared" si="471"/>
        <v>0</v>
      </c>
      <c r="L1475" s="10">
        <v>39</v>
      </c>
      <c r="M1475" s="32"/>
      <c r="O1475" s="51"/>
      <c r="P1475" s="33"/>
      <c r="Q1475" s="34">
        <f t="shared" si="481"/>
        <v>0</v>
      </c>
      <c r="R1475" s="10"/>
      <c r="S1475" s="10"/>
      <c r="T1475" s="10"/>
      <c r="U1475" s="12">
        <f t="shared" si="473"/>
        <v>0</v>
      </c>
      <c r="W1475" s="10">
        <v>39</v>
      </c>
      <c r="X1475" s="32"/>
      <c r="Y1475" s="33"/>
      <c r="Z1475" s="51"/>
      <c r="AA1475" s="33"/>
      <c r="AB1475" s="34">
        <f t="shared" si="483"/>
        <v>0</v>
      </c>
      <c r="AC1475" s="10"/>
      <c r="AD1475" s="10"/>
      <c r="AE1475" s="10"/>
      <c r="AF1475" s="12">
        <f t="shared" si="475"/>
        <v>0</v>
      </c>
    </row>
    <row r="1476" spans="1:32" x14ac:dyDescent="0.25">
      <c r="A1476" s="10"/>
      <c r="B1476" s="32"/>
      <c r="C1476"/>
      <c r="D1476" s="51"/>
      <c r="E1476" s="33"/>
      <c r="F1476" s="34"/>
      <c r="G1476" s="10"/>
      <c r="H1476" s="10"/>
      <c r="I1476" s="10"/>
      <c r="J1476" s="12">
        <f t="shared" si="471"/>
        <v>0</v>
      </c>
      <c r="L1476" s="10"/>
      <c r="M1476" s="32"/>
      <c r="O1476" s="51"/>
      <c r="P1476" s="33"/>
      <c r="Q1476" s="34"/>
      <c r="R1476" s="10"/>
      <c r="S1476" s="10"/>
      <c r="T1476" s="10"/>
      <c r="U1476" s="12">
        <f t="shared" si="473"/>
        <v>0</v>
      </c>
      <c r="W1476" s="10"/>
      <c r="X1476" s="32"/>
      <c r="Z1476" s="51"/>
      <c r="AA1476" s="33"/>
      <c r="AB1476" s="34"/>
      <c r="AC1476" s="10"/>
      <c r="AD1476" s="10"/>
      <c r="AE1476" s="10"/>
      <c r="AF1476" s="12">
        <f t="shared" si="475"/>
        <v>0</v>
      </c>
    </row>
    <row r="1477" spans="1:32" x14ac:dyDescent="0.25">
      <c r="A1477" s="10"/>
      <c r="B1477" s="32"/>
      <c r="C1477" s="33"/>
      <c r="D1477" s="51"/>
      <c r="E1477" s="33"/>
      <c r="F1477" s="34">
        <f t="shared" ref="F1477" si="484">SUM(D1477:E1477)</f>
        <v>0</v>
      </c>
      <c r="G1477" s="10"/>
      <c r="H1477" s="10"/>
      <c r="I1477" s="10"/>
      <c r="J1477" s="12">
        <f t="shared" si="471"/>
        <v>0</v>
      </c>
      <c r="L1477" s="10"/>
      <c r="M1477" s="32"/>
      <c r="N1477" s="33"/>
      <c r="O1477" s="51"/>
      <c r="P1477" s="33"/>
      <c r="Q1477" s="34">
        <f t="shared" ref="Q1477" si="485">SUM(O1477:P1477)</f>
        <v>0</v>
      </c>
      <c r="R1477" s="10"/>
      <c r="S1477" s="10"/>
      <c r="T1477" s="10"/>
      <c r="U1477" s="12">
        <f t="shared" si="473"/>
        <v>0</v>
      </c>
      <c r="W1477" s="10"/>
      <c r="X1477" s="32"/>
      <c r="Y1477" s="33"/>
      <c r="Z1477" s="51"/>
      <c r="AA1477" s="33"/>
      <c r="AB1477" s="34">
        <f t="shared" ref="AB1477" si="486">SUM(Z1477:AA1477)</f>
        <v>0</v>
      </c>
      <c r="AC1477" s="10"/>
      <c r="AD1477" s="10"/>
      <c r="AE1477" s="10"/>
      <c r="AF1477" s="12">
        <f t="shared" si="475"/>
        <v>0</v>
      </c>
    </row>
    <row r="1478" spans="1:32" x14ac:dyDescent="0.25">
      <c r="A1478" s="10"/>
      <c r="B1478" s="33"/>
      <c r="C1478" s="33"/>
      <c r="D1478" s="33"/>
      <c r="E1478" s="33"/>
      <c r="F1478" s="33"/>
      <c r="G1478" s="10"/>
      <c r="H1478" s="10"/>
      <c r="I1478" s="10"/>
      <c r="J1478" s="12">
        <f t="shared" si="471"/>
        <v>0</v>
      </c>
      <c r="L1478" s="10"/>
      <c r="M1478" s="33"/>
      <c r="N1478" s="33"/>
      <c r="O1478" s="33"/>
      <c r="P1478" s="33"/>
      <c r="Q1478" s="33"/>
      <c r="R1478" s="10"/>
      <c r="S1478" s="10"/>
      <c r="T1478" s="10"/>
      <c r="U1478" s="12">
        <f t="shared" si="473"/>
        <v>0</v>
      </c>
      <c r="W1478" s="10"/>
      <c r="X1478" s="33"/>
      <c r="Y1478" s="33"/>
      <c r="Z1478" s="33"/>
      <c r="AA1478" s="33"/>
      <c r="AB1478" s="33"/>
      <c r="AC1478" s="10"/>
      <c r="AD1478" s="10"/>
      <c r="AE1478" s="10"/>
      <c r="AF1478" s="12">
        <f t="shared" si="475"/>
        <v>0</v>
      </c>
    </row>
    <row r="1479" spans="1:32" x14ac:dyDescent="0.25">
      <c r="B1479" s="70"/>
      <c r="C1479" s="70"/>
      <c r="D1479" s="38"/>
      <c r="E1479" s="38"/>
      <c r="F1479" s="38"/>
      <c r="G1479" s="39"/>
      <c r="H1479" s="39"/>
      <c r="I1479" s="39"/>
      <c r="J1479" s="39"/>
      <c r="M1479" s="70"/>
      <c r="N1479" s="70"/>
      <c r="O1479" s="38"/>
      <c r="P1479" s="38"/>
      <c r="Q1479" s="38"/>
      <c r="R1479" s="39"/>
      <c r="S1479" s="39"/>
      <c r="T1479" s="39"/>
      <c r="U1479" s="39"/>
      <c r="X1479" s="70"/>
      <c r="Y1479" s="70"/>
      <c r="Z1479" s="38"/>
      <c r="AA1479" s="38"/>
      <c r="AB1479" s="38"/>
      <c r="AC1479" s="39"/>
      <c r="AD1479" s="39"/>
      <c r="AE1479" s="39"/>
      <c r="AF1479" s="39"/>
    </row>
    <row r="1480" spans="1:32" x14ac:dyDescent="0.25">
      <c r="B1480" s="70"/>
      <c r="C1480" s="70"/>
      <c r="D1480" s="40">
        <f>SUM(D1437:D1479)</f>
        <v>531445</v>
      </c>
      <c r="E1480" s="40">
        <f>SUM(E1437:E1461)</f>
        <v>-2799</v>
      </c>
      <c r="F1480" s="40">
        <f>SUM(F1437:F1479)</f>
        <v>528646</v>
      </c>
      <c r="G1480" s="4"/>
      <c r="H1480" s="43">
        <f>SUM(H1437:H1479)</f>
        <v>25554</v>
      </c>
      <c r="I1480" s="43">
        <f>SUM(I1437:I1461)</f>
        <v>-30900</v>
      </c>
      <c r="J1480" s="44">
        <f>SUM(J1437:J1479)</f>
        <v>523300</v>
      </c>
      <c r="M1480" s="70"/>
      <c r="N1480" s="70"/>
      <c r="O1480" s="40">
        <f>SUM(O1437:O1479)</f>
        <v>115420.5</v>
      </c>
      <c r="P1480" s="40">
        <f>SUM(P1437:P1461)</f>
        <v>0</v>
      </c>
      <c r="Q1480" s="40">
        <f>SUM(Q1437:Q1479)</f>
        <v>115020.5</v>
      </c>
      <c r="R1480" s="4"/>
      <c r="S1480" s="43">
        <f>SUM(S1437:S1479)</f>
        <v>210</v>
      </c>
      <c r="T1480" s="43">
        <f>SUM(T1437:T1461)</f>
        <v>-555</v>
      </c>
      <c r="U1480" s="44">
        <f>SUM(U1437:U1479)</f>
        <v>114564.5</v>
      </c>
      <c r="X1480" s="70"/>
      <c r="Y1480" s="70"/>
      <c r="Z1480" s="40">
        <f>SUM(Z1437:Z1479)</f>
        <v>212783.5</v>
      </c>
      <c r="AA1480" s="40">
        <f>SUM(AA1437:AA1461)</f>
        <v>-1216</v>
      </c>
      <c r="AB1480" s="40">
        <f>SUM(AB1437:AB1479)</f>
        <v>211567.5</v>
      </c>
      <c r="AC1480" s="4"/>
      <c r="AD1480" s="43">
        <f>SUM(AD1437:AD1479)</f>
        <v>3216</v>
      </c>
      <c r="AE1480" s="43">
        <f>SUM(AE1437:AE1461)</f>
        <v>-558</v>
      </c>
      <c r="AF1480" s="44">
        <f>SUM(AF1437:AF1479)</f>
        <v>214225.5</v>
      </c>
    </row>
    <row r="1481" spans="1:32" x14ac:dyDescent="0.25">
      <c r="B1481" s="70"/>
      <c r="C1481" s="70"/>
      <c r="D1481" s="45"/>
      <c r="E1481" s="70"/>
      <c r="F1481" s="70"/>
      <c r="M1481" s="70"/>
      <c r="N1481" s="70"/>
      <c r="O1481" s="45"/>
      <c r="P1481" s="70"/>
      <c r="Q1481" s="70"/>
      <c r="X1481" s="70"/>
      <c r="Y1481" s="70"/>
      <c r="Z1481" s="45"/>
      <c r="AA1481" s="70"/>
      <c r="AB1481" s="70"/>
    </row>
    <row r="1482" spans="1:32" x14ac:dyDescent="0.25">
      <c r="B1482" s="70"/>
      <c r="C1482" s="70"/>
      <c r="D1482" s="70"/>
      <c r="E1482" s="70"/>
      <c r="F1482" s="70"/>
      <c r="M1482" s="70"/>
      <c r="N1482" s="70"/>
      <c r="O1482" s="70"/>
      <c r="P1482" s="70"/>
      <c r="Q1482" s="70"/>
      <c r="X1482" s="70"/>
      <c r="Y1482" s="70"/>
      <c r="Z1482" s="70"/>
      <c r="AA1482" s="70"/>
      <c r="AB1482" s="70"/>
    </row>
    <row r="1483" spans="1:32" x14ac:dyDescent="0.25">
      <c r="A1483" s="18"/>
      <c r="B1483" s="18"/>
      <c r="C1483" s="18"/>
      <c r="D1483" s="18"/>
      <c r="E1483" s="18"/>
      <c r="F1483" s="18"/>
      <c r="G1483" s="18"/>
      <c r="H1483" s="18"/>
      <c r="I1483" s="18"/>
      <c r="J1483" s="18"/>
      <c r="L1483" s="18"/>
      <c r="M1483" s="18"/>
      <c r="N1483" s="18"/>
      <c r="O1483" s="18"/>
      <c r="P1483" s="18"/>
      <c r="Q1483" s="18"/>
      <c r="R1483" s="18"/>
      <c r="S1483" s="18"/>
      <c r="T1483" s="18"/>
      <c r="U1483" s="18"/>
      <c r="W1483" s="18"/>
      <c r="X1483" s="18"/>
      <c r="Y1483" s="18"/>
      <c r="Z1483" s="18"/>
      <c r="AA1483" s="18"/>
      <c r="AB1483" s="18"/>
      <c r="AC1483" s="18"/>
      <c r="AD1483" s="18"/>
      <c r="AE1483" s="18"/>
      <c r="AF1483" s="18"/>
    </row>
  </sheetData>
  <mergeCells count="240">
    <mergeCell ref="J1378:J1379"/>
    <mergeCell ref="H1378:I1378"/>
    <mergeCell ref="D1378:E1378"/>
    <mergeCell ref="U1378:U1379"/>
    <mergeCell ref="S1378:T1378"/>
    <mergeCell ref="O1378:P1378"/>
    <mergeCell ref="AF1378:AF1379"/>
    <mergeCell ref="AD1378:AE1378"/>
    <mergeCell ref="Z1378:AA1378"/>
    <mergeCell ref="J1264:J1265"/>
    <mergeCell ref="H1264:I1264"/>
    <mergeCell ref="D1264:E1264"/>
    <mergeCell ref="U1264:U1265"/>
    <mergeCell ref="S1264:T1264"/>
    <mergeCell ref="O1264:P1264"/>
    <mergeCell ref="AF1264:AF1265"/>
    <mergeCell ref="AD1264:AE1264"/>
    <mergeCell ref="Z1264:AA1264"/>
    <mergeCell ref="U979:U980"/>
    <mergeCell ref="S979:T979"/>
    <mergeCell ref="O979:P979"/>
    <mergeCell ref="J1150:J1151"/>
    <mergeCell ref="H1150:I1150"/>
    <mergeCell ref="D1150:E1150"/>
    <mergeCell ref="U1150:U1151"/>
    <mergeCell ref="S1150:T1150"/>
    <mergeCell ref="O1150:P1150"/>
    <mergeCell ref="J979:J980"/>
    <mergeCell ref="H979:I979"/>
    <mergeCell ref="D979:E979"/>
    <mergeCell ref="J1093:J1094"/>
    <mergeCell ref="H1093:I1093"/>
    <mergeCell ref="D1093:E1093"/>
    <mergeCell ref="U1093:U1094"/>
    <mergeCell ref="S1093:T1093"/>
    <mergeCell ref="O1093:P1093"/>
    <mergeCell ref="J1036:J1037"/>
    <mergeCell ref="H1036:I1036"/>
    <mergeCell ref="D1036:E1036"/>
    <mergeCell ref="U1036:U1037"/>
    <mergeCell ref="S1036:T1036"/>
    <mergeCell ref="O1036:P1036"/>
    <mergeCell ref="AF922:AF923"/>
    <mergeCell ref="AD922:AE922"/>
    <mergeCell ref="Z922:AA922"/>
    <mergeCell ref="AF865:AF866"/>
    <mergeCell ref="AD865:AE865"/>
    <mergeCell ref="Z865:AA865"/>
    <mergeCell ref="AF1150:AF1151"/>
    <mergeCell ref="AD1150:AE1150"/>
    <mergeCell ref="Z1150:AA1150"/>
    <mergeCell ref="AF979:AF980"/>
    <mergeCell ref="AD979:AE979"/>
    <mergeCell ref="Z979:AA979"/>
    <mergeCell ref="AF1036:AF1037"/>
    <mergeCell ref="AD1036:AE1036"/>
    <mergeCell ref="Z1036:AA1036"/>
    <mergeCell ref="AF1093:AF1094"/>
    <mergeCell ref="AD1093:AE1093"/>
    <mergeCell ref="Z1093:AA1093"/>
    <mergeCell ref="J922:J923"/>
    <mergeCell ref="H922:I922"/>
    <mergeCell ref="D922:E922"/>
    <mergeCell ref="U922:U923"/>
    <mergeCell ref="S922:T922"/>
    <mergeCell ref="O922:P922"/>
    <mergeCell ref="J808:J809"/>
    <mergeCell ref="H808:I808"/>
    <mergeCell ref="D808:E808"/>
    <mergeCell ref="U808:U809"/>
    <mergeCell ref="S808:T808"/>
    <mergeCell ref="O808:P808"/>
    <mergeCell ref="D865:E865"/>
    <mergeCell ref="H865:I865"/>
    <mergeCell ref="J865:J866"/>
    <mergeCell ref="U865:U866"/>
    <mergeCell ref="S865:T865"/>
    <mergeCell ref="O865:P865"/>
    <mergeCell ref="J751:J752"/>
    <mergeCell ref="H751:I751"/>
    <mergeCell ref="D751:E751"/>
    <mergeCell ref="U751:U752"/>
    <mergeCell ref="S751:T751"/>
    <mergeCell ref="O751:P751"/>
    <mergeCell ref="J694:J695"/>
    <mergeCell ref="H694:I694"/>
    <mergeCell ref="D694:E694"/>
    <mergeCell ref="H124:I124"/>
    <mergeCell ref="D124:E124"/>
    <mergeCell ref="H181:I181"/>
    <mergeCell ref="D181:E181"/>
    <mergeCell ref="H238:I238"/>
    <mergeCell ref="D238:E238"/>
    <mergeCell ref="H10:I10"/>
    <mergeCell ref="D10:E10"/>
    <mergeCell ref="U10:U11"/>
    <mergeCell ref="S10:T10"/>
    <mergeCell ref="O10:P10"/>
    <mergeCell ref="J10:J11"/>
    <mergeCell ref="O124:P124"/>
    <mergeCell ref="J238:J239"/>
    <mergeCell ref="U181:U182"/>
    <mergeCell ref="S181:T181"/>
    <mergeCell ref="O181:P181"/>
    <mergeCell ref="U238:U239"/>
    <mergeCell ref="S238:T238"/>
    <mergeCell ref="O238:P238"/>
    <mergeCell ref="J124:J125"/>
    <mergeCell ref="J181:J182"/>
    <mergeCell ref="Z10:AA10"/>
    <mergeCell ref="AD10:AE10"/>
    <mergeCell ref="AF10:AF11"/>
    <mergeCell ref="S295:T295"/>
    <mergeCell ref="U295:U296"/>
    <mergeCell ref="AF124:AF125"/>
    <mergeCell ref="U124:U125"/>
    <mergeCell ref="S124:T124"/>
    <mergeCell ref="AD124:AE124"/>
    <mergeCell ref="Z124:AA124"/>
    <mergeCell ref="AF295:AF296"/>
    <mergeCell ref="AD295:AE295"/>
    <mergeCell ref="Z295:AA295"/>
    <mergeCell ref="AF238:AF239"/>
    <mergeCell ref="AD238:AE238"/>
    <mergeCell ref="Z238:AA238"/>
    <mergeCell ref="AQ67:AQ68"/>
    <mergeCell ref="AO67:AP67"/>
    <mergeCell ref="AK67:AL67"/>
    <mergeCell ref="D67:E67"/>
    <mergeCell ref="U67:U68"/>
    <mergeCell ref="S67:T67"/>
    <mergeCell ref="O67:P67"/>
    <mergeCell ref="AF67:AF68"/>
    <mergeCell ref="AD67:AE67"/>
    <mergeCell ref="Z67:AA67"/>
    <mergeCell ref="J67:J68"/>
    <mergeCell ref="H67:I67"/>
    <mergeCell ref="D409:E409"/>
    <mergeCell ref="U409:U410"/>
    <mergeCell ref="S409:T409"/>
    <mergeCell ref="O409:P409"/>
    <mergeCell ref="AF409:AF410"/>
    <mergeCell ref="AD409:AE409"/>
    <mergeCell ref="Z409:AA409"/>
    <mergeCell ref="AF352:AF353"/>
    <mergeCell ref="AD352:AE352"/>
    <mergeCell ref="Z352:AA352"/>
    <mergeCell ref="J409:J410"/>
    <mergeCell ref="H409:I409"/>
    <mergeCell ref="J352:J353"/>
    <mergeCell ref="H352:I352"/>
    <mergeCell ref="D352:E352"/>
    <mergeCell ref="U352:U353"/>
    <mergeCell ref="S352:T352"/>
    <mergeCell ref="O352:P352"/>
    <mergeCell ref="J295:J296"/>
    <mergeCell ref="H295:I295"/>
    <mergeCell ref="D295:E295"/>
    <mergeCell ref="O295:P295"/>
    <mergeCell ref="AQ181:AQ182"/>
    <mergeCell ref="AF181:AF182"/>
    <mergeCell ref="AD181:AE181"/>
    <mergeCell ref="Z181:AA181"/>
    <mergeCell ref="AK181:AL181"/>
    <mergeCell ref="AO181:AP181"/>
    <mergeCell ref="AF466:AF467"/>
    <mergeCell ref="AD466:AE466"/>
    <mergeCell ref="Z466:AA466"/>
    <mergeCell ref="J466:J467"/>
    <mergeCell ref="H466:I466"/>
    <mergeCell ref="D466:E466"/>
    <mergeCell ref="U466:U467"/>
    <mergeCell ref="S466:T466"/>
    <mergeCell ref="O466:P466"/>
    <mergeCell ref="AF523:AF524"/>
    <mergeCell ref="AD523:AE523"/>
    <mergeCell ref="Z523:AA523"/>
    <mergeCell ref="J523:J524"/>
    <mergeCell ref="H523:I523"/>
    <mergeCell ref="J637:J638"/>
    <mergeCell ref="H637:I637"/>
    <mergeCell ref="D637:E637"/>
    <mergeCell ref="U637:U638"/>
    <mergeCell ref="S637:T637"/>
    <mergeCell ref="O637:P637"/>
    <mergeCell ref="AF580:AF581"/>
    <mergeCell ref="AD580:AE580"/>
    <mergeCell ref="Z580:AA580"/>
    <mergeCell ref="J580:J581"/>
    <mergeCell ref="H580:I580"/>
    <mergeCell ref="D580:E580"/>
    <mergeCell ref="U580:U581"/>
    <mergeCell ref="S580:T580"/>
    <mergeCell ref="O580:P580"/>
    <mergeCell ref="D523:E523"/>
    <mergeCell ref="U523:U524"/>
    <mergeCell ref="S523:T523"/>
    <mergeCell ref="O523:P523"/>
    <mergeCell ref="AF637:AF638"/>
    <mergeCell ref="AD637:AE637"/>
    <mergeCell ref="Z637:AA637"/>
    <mergeCell ref="AF808:AF809"/>
    <mergeCell ref="AD808:AE808"/>
    <mergeCell ref="Z808:AA808"/>
    <mergeCell ref="U694:U695"/>
    <mergeCell ref="S694:T694"/>
    <mergeCell ref="O694:P694"/>
    <mergeCell ref="AF694:AF695"/>
    <mergeCell ref="AD694:AE694"/>
    <mergeCell ref="Z694:AA694"/>
    <mergeCell ref="AF751:AF752"/>
    <mergeCell ref="AD751:AE751"/>
    <mergeCell ref="Z751:AA751"/>
    <mergeCell ref="J1207:J1208"/>
    <mergeCell ref="H1207:I1207"/>
    <mergeCell ref="D1207:E1207"/>
    <mergeCell ref="U1207:U1208"/>
    <mergeCell ref="S1207:T1207"/>
    <mergeCell ref="O1207:P1207"/>
    <mergeCell ref="AF1207:AF1208"/>
    <mergeCell ref="AD1207:AE1207"/>
    <mergeCell ref="Z1207:AA1207"/>
    <mergeCell ref="J1321:J1322"/>
    <mergeCell ref="H1321:I1321"/>
    <mergeCell ref="D1321:E1321"/>
    <mergeCell ref="U1321:U1322"/>
    <mergeCell ref="S1321:T1321"/>
    <mergeCell ref="O1321:P1321"/>
    <mergeCell ref="AF1321:AF1322"/>
    <mergeCell ref="AD1321:AE1321"/>
    <mergeCell ref="Z1321:AA1321"/>
    <mergeCell ref="J1435:J1436"/>
    <mergeCell ref="H1435:I1435"/>
    <mergeCell ref="D1435:E1435"/>
    <mergeCell ref="U1435:U1436"/>
    <mergeCell ref="S1435:T1435"/>
    <mergeCell ref="O1435:P1435"/>
    <mergeCell ref="AF1435:AF1436"/>
    <mergeCell ref="AD1435:AE1435"/>
    <mergeCell ref="Z1435:AA1435"/>
  </mergeCells>
  <pageMargins left="0.7" right="0.7" top="0.75" bottom="0.75" header="0.3" footer="0.3"/>
  <pageSetup paperSize="9" scale="7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MSIS JANUARY</vt:lpstr>
      <vt:lpstr>DSIS |</vt:lpstr>
      <vt:lpstr>'DSIS |'!Print_Area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2025-02-08T01:39:38Z</cp:lastPrinted>
  <dcterms:created xsi:type="dcterms:W3CDTF">2024-09-23T07:17:57Z</dcterms:created>
  <dcterms:modified xsi:type="dcterms:W3CDTF">2025-02-08T01:40:02Z</dcterms:modified>
</cp:coreProperties>
</file>