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87789812-8909-4E4E-BD83-E46BF974A3FF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D40" i="1" s="1"/>
  <c r="D1282" i="2"/>
  <c r="G1282" i="2" s="1"/>
  <c r="K1282" i="2" s="1"/>
  <c r="D1281" i="2"/>
  <c r="D1280" i="2"/>
  <c r="D1279" i="2"/>
  <c r="D1278" i="2"/>
  <c r="D1277" i="2"/>
  <c r="G1277" i="2" s="1"/>
  <c r="K1277" i="2" s="1"/>
  <c r="C1278" i="2"/>
  <c r="C1279" i="2" s="1"/>
  <c r="C1280" i="2" s="1"/>
  <c r="C1281" i="2" s="1"/>
  <c r="C1282" i="2" s="1"/>
  <c r="G1278" i="2"/>
  <c r="K1278" i="2" s="1"/>
  <c r="G1279" i="2"/>
  <c r="K1279" i="2" s="1"/>
  <c r="G1280" i="2"/>
  <c r="K1280" i="2" s="1"/>
  <c r="G1281" i="2"/>
  <c r="K1281" i="2" s="1"/>
  <c r="G1283" i="2"/>
  <c r="K1283" i="2" s="1"/>
  <c r="G1284" i="2"/>
  <c r="K1284" i="2" s="1"/>
  <c r="G1285" i="2"/>
  <c r="K1285" i="2" s="1"/>
  <c r="G1286" i="2"/>
  <c r="K1286" i="2" s="1"/>
  <c r="G1287" i="2"/>
  <c r="K1287" i="2" s="1"/>
  <c r="G1288" i="2"/>
  <c r="K1288" i="2" s="1"/>
  <c r="G1289" i="2"/>
  <c r="K1289" i="2" s="1"/>
  <c r="G1290" i="2"/>
  <c r="K1290" i="2" s="1"/>
  <c r="G1291" i="2"/>
  <c r="K1291" i="2" s="1"/>
  <c r="G1292" i="2"/>
  <c r="K1292" i="2" s="1"/>
  <c r="G1293" i="2"/>
  <c r="K1293" i="2" s="1"/>
  <c r="G1294" i="2"/>
  <c r="K1294" i="2" s="1"/>
  <c r="G1295" i="2"/>
  <c r="K1295" i="2" s="1"/>
  <c r="G1296" i="2"/>
  <c r="K1296" i="2" s="1"/>
  <c r="G1297" i="2"/>
  <c r="K1297" i="2" s="1"/>
  <c r="G1298" i="2"/>
  <c r="K1298" i="2" s="1"/>
  <c r="G1299" i="2"/>
  <c r="K1299" i="2" s="1"/>
  <c r="G1300" i="2"/>
  <c r="K1300" i="2" s="1"/>
  <c r="G1301" i="2"/>
  <c r="K1301" i="2" s="1"/>
  <c r="G1302" i="2"/>
  <c r="K1302" i="2" s="1"/>
  <c r="G1303" i="2"/>
  <c r="K1303" i="2" s="1"/>
  <c r="G1304" i="2"/>
  <c r="K1304" i="2" s="1"/>
  <c r="G1305" i="2"/>
  <c r="K1305" i="2" s="1"/>
  <c r="G1306" i="2"/>
  <c r="K1306" i="2" s="1"/>
  <c r="K1307" i="2"/>
  <c r="K1308" i="2"/>
  <c r="K1309" i="2"/>
  <c r="G1310" i="2"/>
  <c r="K1310" i="2"/>
  <c r="G1317" i="2"/>
  <c r="K1317" i="2" s="1"/>
  <c r="D1320" i="2"/>
  <c r="E1320" i="2"/>
  <c r="F1320" i="2"/>
  <c r="I1320" i="2"/>
  <c r="J1320" i="2"/>
  <c r="AB1226" i="2"/>
  <c r="AE1226" i="2" s="1"/>
  <c r="AI1226" i="2" s="1"/>
  <c r="AG1225" i="2"/>
  <c r="AG1265" i="2" s="1"/>
  <c r="AB1225" i="2"/>
  <c r="AB1224" i="2"/>
  <c r="AE1224" i="2" s="1"/>
  <c r="AI1224" i="2" s="1"/>
  <c r="AG1223" i="2"/>
  <c r="AB1223" i="2"/>
  <c r="AB1222" i="2"/>
  <c r="AA1223" i="2"/>
  <c r="AA1224" i="2" s="1"/>
  <c r="AA1225" i="2" s="1"/>
  <c r="AA1226" i="2" s="1"/>
  <c r="AE1222" i="2"/>
  <c r="AI1222" i="2" s="1"/>
  <c r="AE1223" i="2"/>
  <c r="AI1223" i="2" s="1"/>
  <c r="AE1225" i="2"/>
  <c r="AI1225" i="2" s="1"/>
  <c r="AE1227" i="2"/>
  <c r="AI1227" i="2" s="1"/>
  <c r="AE1228" i="2"/>
  <c r="AI1228" i="2"/>
  <c r="AE1229" i="2"/>
  <c r="AI1229" i="2" s="1"/>
  <c r="AE1230" i="2"/>
  <c r="AI1230" i="2"/>
  <c r="AE1231" i="2"/>
  <c r="AI1231" i="2" s="1"/>
  <c r="AE1232" i="2"/>
  <c r="AI1232" i="2" s="1"/>
  <c r="AE1233" i="2"/>
  <c r="AI1233" i="2"/>
  <c r="AE1234" i="2"/>
  <c r="AI1234" i="2"/>
  <c r="AE1235" i="2"/>
  <c r="AI1235" i="2" s="1"/>
  <c r="AE1236" i="2"/>
  <c r="AI1236" i="2"/>
  <c r="AE1237" i="2"/>
  <c r="AI1237" i="2"/>
  <c r="AE1238" i="2"/>
  <c r="AI1238" i="2"/>
  <c r="AE1239" i="2"/>
  <c r="AI1239" i="2" s="1"/>
  <c r="AE1240" i="2"/>
  <c r="AI1240" i="2"/>
  <c r="AE1241" i="2"/>
  <c r="AI1241" i="2"/>
  <c r="AE1242" i="2"/>
  <c r="AI1242" i="2"/>
  <c r="AE1243" i="2"/>
  <c r="AI1243" i="2" s="1"/>
  <c r="AE1244" i="2"/>
  <c r="AI1244" i="2"/>
  <c r="AE1245" i="2"/>
  <c r="AI1245" i="2"/>
  <c r="AE1246" i="2"/>
  <c r="AI1246" i="2"/>
  <c r="AE1247" i="2"/>
  <c r="AI1247" i="2" s="1"/>
  <c r="AE1248" i="2"/>
  <c r="AI1248" i="2"/>
  <c r="AE1249" i="2"/>
  <c r="AI1249" i="2"/>
  <c r="AE1250" i="2"/>
  <c r="AI1250" i="2"/>
  <c r="AE1251" i="2"/>
  <c r="AI1251" i="2" s="1"/>
  <c r="AE1252" i="2"/>
  <c r="AI1252" i="2"/>
  <c r="AE1253" i="2"/>
  <c r="AI1253" i="2"/>
  <c r="AE1254" i="2"/>
  <c r="AI1254" i="2"/>
  <c r="AE1255" i="2"/>
  <c r="AI1255" i="2" s="1"/>
  <c r="AE1256" i="2"/>
  <c r="AI1256" i="2"/>
  <c r="AE1257" i="2"/>
  <c r="AI1257" i="2"/>
  <c r="AE1258" i="2"/>
  <c r="AI1258" i="2"/>
  <c r="AE1259" i="2"/>
  <c r="AI1259" i="2" s="1"/>
  <c r="AE1260" i="2"/>
  <c r="AI1260" i="2"/>
  <c r="AI1261" i="2"/>
  <c r="AE1262" i="2"/>
  <c r="AI1262" i="2" s="1"/>
  <c r="AI1263" i="2"/>
  <c r="AC1265" i="2"/>
  <c r="AD1265" i="2"/>
  <c r="AH1265" i="2"/>
  <c r="V1225" i="2"/>
  <c r="V1265" i="2" s="1"/>
  <c r="P1225" i="2"/>
  <c r="P1224" i="2"/>
  <c r="U1223" i="2"/>
  <c r="U1265" i="2" s="1"/>
  <c r="P1223" i="2"/>
  <c r="S1223" i="2" s="1"/>
  <c r="W1223" i="2" s="1"/>
  <c r="P1222" i="2"/>
  <c r="S1222" i="2" s="1"/>
  <c r="W1222" i="2" s="1"/>
  <c r="O1223" i="2"/>
  <c r="O1224" i="2" s="1"/>
  <c r="O1225" i="2" s="1"/>
  <c r="S1224" i="2"/>
  <c r="W1224" i="2" s="1"/>
  <c r="S1226" i="2"/>
  <c r="W1226" i="2" s="1"/>
  <c r="S1227" i="2"/>
  <c r="W1227" i="2" s="1"/>
  <c r="S1228" i="2"/>
  <c r="W1228" i="2" s="1"/>
  <c r="S1229" i="2"/>
  <c r="W1229" i="2" s="1"/>
  <c r="S1230" i="2"/>
  <c r="W1230" i="2" s="1"/>
  <c r="S1231" i="2"/>
  <c r="W1231" i="2" s="1"/>
  <c r="S1232" i="2"/>
  <c r="W1232" i="2" s="1"/>
  <c r="S1233" i="2"/>
  <c r="W1233" i="2" s="1"/>
  <c r="S1234" i="2"/>
  <c r="W1234" i="2" s="1"/>
  <c r="S1235" i="2"/>
  <c r="W1235" i="2" s="1"/>
  <c r="S1236" i="2"/>
  <c r="W1236" i="2" s="1"/>
  <c r="S1237" i="2"/>
  <c r="W1237" i="2" s="1"/>
  <c r="S1238" i="2"/>
  <c r="W1238" i="2" s="1"/>
  <c r="S1239" i="2"/>
  <c r="W1239" i="2" s="1"/>
  <c r="S1240" i="2"/>
  <c r="W1240" i="2" s="1"/>
  <c r="S1241" i="2"/>
  <c r="W1241" i="2" s="1"/>
  <c r="S1242" i="2"/>
  <c r="W1242" i="2"/>
  <c r="S1243" i="2"/>
  <c r="W1243" i="2" s="1"/>
  <c r="S1244" i="2"/>
  <c r="W1244" i="2"/>
  <c r="S1245" i="2"/>
  <c r="W1245" i="2" s="1"/>
  <c r="S1246" i="2"/>
  <c r="W1246" i="2" s="1"/>
  <c r="S1247" i="2"/>
  <c r="W1247" i="2" s="1"/>
  <c r="S1248" i="2"/>
  <c r="W1248" i="2" s="1"/>
  <c r="S1249" i="2"/>
  <c r="W1249" i="2" s="1"/>
  <c r="S1250" i="2"/>
  <c r="W1250" i="2"/>
  <c r="S1251" i="2"/>
  <c r="W1251" i="2" s="1"/>
  <c r="S1252" i="2"/>
  <c r="W1252" i="2"/>
  <c r="S1253" i="2"/>
  <c r="W1253" i="2"/>
  <c r="S1254" i="2"/>
  <c r="W1254" i="2" s="1"/>
  <c r="S1255" i="2"/>
  <c r="W1255" i="2" s="1"/>
  <c r="S1256" i="2"/>
  <c r="W1256" i="2" s="1"/>
  <c r="S1257" i="2"/>
  <c r="W1257" i="2" s="1"/>
  <c r="S1258" i="2"/>
  <c r="W1258" i="2"/>
  <c r="S1259" i="2"/>
  <c r="W1259" i="2" s="1"/>
  <c r="S1260" i="2"/>
  <c r="W1260" i="2"/>
  <c r="W1261" i="2"/>
  <c r="S1262" i="2"/>
  <c r="W1262" i="2" s="1"/>
  <c r="W1263" i="2"/>
  <c r="Q1265" i="2"/>
  <c r="R1265" i="2"/>
  <c r="G1250" i="2"/>
  <c r="K1250" i="2" s="1"/>
  <c r="G1251" i="2"/>
  <c r="K1251" i="2" s="1"/>
  <c r="D1251" i="2"/>
  <c r="D1250" i="2"/>
  <c r="I1249" i="2"/>
  <c r="D1249" i="2"/>
  <c r="D1248" i="2"/>
  <c r="D1247" i="2"/>
  <c r="C1247" i="2"/>
  <c r="C1248" i="2" s="1"/>
  <c r="C1249" i="2" s="1"/>
  <c r="C1250" i="2" s="1"/>
  <c r="C1251" i="2" s="1"/>
  <c r="D1246" i="2"/>
  <c r="D1245" i="2"/>
  <c r="D1244" i="2"/>
  <c r="G1244" i="2" s="1"/>
  <c r="K1244" i="2" s="1"/>
  <c r="D1243" i="2"/>
  <c r="D1242" i="2"/>
  <c r="D1241" i="2"/>
  <c r="D1240" i="2"/>
  <c r="G1240" i="2" s="1"/>
  <c r="K1240" i="2" s="1"/>
  <c r="D1239" i="2"/>
  <c r="D1238" i="2"/>
  <c r="G1238" i="2" s="1"/>
  <c r="K1238" i="2" s="1"/>
  <c r="D1237" i="2"/>
  <c r="G1237" i="2" s="1"/>
  <c r="K1237" i="2" s="1"/>
  <c r="D1236" i="2"/>
  <c r="G1236" i="2" s="1"/>
  <c r="K1236" i="2" s="1"/>
  <c r="C1236" i="2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D1235" i="2"/>
  <c r="D1234" i="2"/>
  <c r="D1233" i="2"/>
  <c r="G1233" i="2" s="1"/>
  <c r="K1233" i="2" s="1"/>
  <c r="D1232" i="2"/>
  <c r="D1231" i="2"/>
  <c r="D1230" i="2"/>
  <c r="D1229" i="2"/>
  <c r="G1229" i="2" s="1"/>
  <c r="K1229" i="2" s="1"/>
  <c r="D1228" i="2"/>
  <c r="G1228" i="2" s="1"/>
  <c r="K1228" i="2" s="1"/>
  <c r="D1227" i="2"/>
  <c r="G1227" i="2" s="1"/>
  <c r="K1227" i="2" s="1"/>
  <c r="D1226" i="2"/>
  <c r="G1226" i="2" s="1"/>
  <c r="K1226" i="2" s="1"/>
  <c r="D1225" i="2"/>
  <c r="G1225" i="2" s="1"/>
  <c r="K1225" i="2" s="1"/>
  <c r="D1224" i="2"/>
  <c r="D1223" i="2"/>
  <c r="D1222" i="2"/>
  <c r="C1235" i="2"/>
  <c r="C1224" i="2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G1222" i="2"/>
  <c r="K1222" i="2" s="1"/>
  <c r="I1265" i="2"/>
  <c r="C1223" i="2"/>
  <c r="G1223" i="2"/>
  <c r="K1223" i="2" s="1"/>
  <c r="G1224" i="2"/>
  <c r="K1224" i="2" s="1"/>
  <c r="G1230" i="2"/>
  <c r="K1230" i="2" s="1"/>
  <c r="G1231" i="2"/>
  <c r="K1231" i="2"/>
  <c r="G1232" i="2"/>
  <c r="K1232" i="2"/>
  <c r="G1234" i="2"/>
  <c r="K1234" i="2" s="1"/>
  <c r="G1235" i="2"/>
  <c r="K1235" i="2" s="1"/>
  <c r="G1239" i="2"/>
  <c r="K1239" i="2" s="1"/>
  <c r="G1241" i="2"/>
  <c r="K1241" i="2" s="1"/>
  <c r="G1242" i="2"/>
  <c r="K1242" i="2" s="1"/>
  <c r="G1243" i="2"/>
  <c r="K1243" i="2" s="1"/>
  <c r="G1245" i="2"/>
  <c r="K1245" i="2" s="1"/>
  <c r="G1246" i="2"/>
  <c r="K1246" i="2" s="1"/>
  <c r="G1247" i="2"/>
  <c r="K1247" i="2" s="1"/>
  <c r="G1248" i="2"/>
  <c r="K1248" i="2" s="1"/>
  <c r="G1249" i="2"/>
  <c r="K1249" i="2" s="1"/>
  <c r="K1252" i="2"/>
  <c r="K1253" i="2"/>
  <c r="K1254" i="2"/>
  <c r="G1255" i="2"/>
  <c r="K1255" i="2"/>
  <c r="G1262" i="2"/>
  <c r="K1262" i="2" s="1"/>
  <c r="E1265" i="2"/>
  <c r="F1265" i="2"/>
  <c r="J1265" i="2"/>
  <c r="K1320" i="2" l="1"/>
  <c r="G1320" i="2"/>
  <c r="AB1265" i="2"/>
  <c r="AI1265" i="2"/>
  <c r="AE1265" i="2"/>
  <c r="P1265" i="2"/>
  <c r="S1225" i="2"/>
  <c r="W1225" i="2" s="1"/>
  <c r="W1265" i="2" s="1"/>
  <c r="D1265" i="2"/>
  <c r="K1265" i="2"/>
  <c r="G1265" i="2"/>
  <c r="AG1170" i="2"/>
  <c r="AB1170" i="2"/>
  <c r="AG1169" i="2"/>
  <c r="AB1169" i="2"/>
  <c r="AG1168" i="2"/>
  <c r="AB1168" i="2"/>
  <c r="AG1167" i="2"/>
  <c r="AB1167" i="2"/>
  <c r="AB1210" i="2" s="1"/>
  <c r="AA1169" i="2"/>
  <c r="AA1170" i="2" s="1"/>
  <c r="AE1168" i="2"/>
  <c r="AE1169" i="2"/>
  <c r="AE1170" i="2"/>
  <c r="AE1171" i="2"/>
  <c r="AI1171" i="2"/>
  <c r="AE1172" i="2"/>
  <c r="AI1172" i="2" s="1"/>
  <c r="AE1173" i="2"/>
  <c r="AI1173" i="2" s="1"/>
  <c r="AE1174" i="2"/>
  <c r="AI1174" i="2"/>
  <c r="AE1175" i="2"/>
  <c r="AI1175" i="2" s="1"/>
  <c r="AE1176" i="2"/>
  <c r="AI1176" i="2" s="1"/>
  <c r="AE1177" i="2"/>
  <c r="AI1177" i="2"/>
  <c r="AE1178" i="2"/>
  <c r="AI1178" i="2" s="1"/>
  <c r="AE1179" i="2"/>
  <c r="AI1179" i="2" s="1"/>
  <c r="AE1180" i="2"/>
  <c r="AI1180" i="2" s="1"/>
  <c r="AE1181" i="2"/>
  <c r="AI1181" i="2"/>
  <c r="AE1182" i="2"/>
  <c r="AI1182" i="2"/>
  <c r="AE1183" i="2"/>
  <c r="AI1183" i="2" s="1"/>
  <c r="AE1184" i="2"/>
  <c r="AI1184" i="2" s="1"/>
  <c r="AE1185" i="2"/>
  <c r="AI1185" i="2"/>
  <c r="AE1186" i="2"/>
  <c r="AI1186" i="2" s="1"/>
  <c r="AE1187" i="2"/>
  <c r="AI1187" i="2" s="1"/>
  <c r="AE1188" i="2"/>
  <c r="AI1188" i="2" s="1"/>
  <c r="AE1189" i="2"/>
  <c r="AI1189" i="2"/>
  <c r="AE1190" i="2"/>
  <c r="AI1190" i="2"/>
  <c r="AE1191" i="2"/>
  <c r="AI1191" i="2" s="1"/>
  <c r="AE1192" i="2"/>
  <c r="AI1192" i="2" s="1"/>
  <c r="AE1193" i="2"/>
  <c r="AI1193" i="2"/>
  <c r="AE1194" i="2"/>
  <c r="AI1194" i="2"/>
  <c r="AE1195" i="2"/>
  <c r="AI1195" i="2" s="1"/>
  <c r="AE1196" i="2"/>
  <c r="AI1196" i="2" s="1"/>
  <c r="AE1197" i="2"/>
  <c r="AI1197" i="2"/>
  <c r="AE1198" i="2"/>
  <c r="AI1198" i="2"/>
  <c r="AE1199" i="2"/>
  <c r="AI1199" i="2" s="1"/>
  <c r="AE1200" i="2"/>
  <c r="AI1200" i="2" s="1"/>
  <c r="AE1201" i="2"/>
  <c r="AI1201" i="2"/>
  <c r="AE1202" i="2"/>
  <c r="AI1202" i="2"/>
  <c r="AE1203" i="2"/>
  <c r="AI1203" i="2" s="1"/>
  <c r="AE1204" i="2"/>
  <c r="AI1204" i="2" s="1"/>
  <c r="AE1205" i="2"/>
  <c r="AI1205" i="2"/>
  <c r="AI1206" i="2"/>
  <c r="AE1207" i="2"/>
  <c r="AI1207" i="2"/>
  <c r="AI1208" i="2"/>
  <c r="AC1210" i="2"/>
  <c r="AD1210" i="2"/>
  <c r="AG1210" i="2"/>
  <c r="AH1210" i="2"/>
  <c r="P1184" i="2"/>
  <c r="P1183" i="2"/>
  <c r="P1182" i="2"/>
  <c r="P1181" i="2"/>
  <c r="P1180" i="2"/>
  <c r="S1180" i="2" s="1"/>
  <c r="W1180" i="2" s="1"/>
  <c r="P1179" i="2"/>
  <c r="S1179" i="2" s="1"/>
  <c r="W1179" i="2" s="1"/>
  <c r="P1178" i="2"/>
  <c r="P1177" i="2"/>
  <c r="P1176" i="2"/>
  <c r="P1175" i="2"/>
  <c r="P1174" i="2"/>
  <c r="S1174" i="2" s="1"/>
  <c r="W1174" i="2" s="1"/>
  <c r="P1173" i="2"/>
  <c r="S1173" i="2" s="1"/>
  <c r="W1173" i="2" s="1"/>
  <c r="P1172" i="2"/>
  <c r="S1172" i="2" s="1"/>
  <c r="W1172" i="2" s="1"/>
  <c r="P1171" i="2"/>
  <c r="S1171" i="2" s="1"/>
  <c r="W1171" i="2" s="1"/>
  <c r="P1170" i="2"/>
  <c r="P1169" i="2"/>
  <c r="P1168" i="2"/>
  <c r="P1167" i="2"/>
  <c r="S1167" i="2"/>
  <c r="W1167" i="2" s="1"/>
  <c r="O1168" i="2"/>
  <c r="O1169" i="2" s="1"/>
  <c r="O1170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O1184" i="2" s="1"/>
  <c r="S1168" i="2"/>
  <c r="W1168" i="2" s="1"/>
  <c r="S1169" i="2"/>
  <c r="W1169" i="2"/>
  <c r="S1170" i="2"/>
  <c r="W1170" i="2" s="1"/>
  <c r="S1175" i="2"/>
  <c r="W1175" i="2"/>
  <c r="S1176" i="2"/>
  <c r="W1176" i="2"/>
  <c r="S1177" i="2"/>
  <c r="W1177" i="2" s="1"/>
  <c r="S1178" i="2"/>
  <c r="W1178" i="2"/>
  <c r="S1181" i="2"/>
  <c r="W1181" i="2"/>
  <c r="S1182" i="2"/>
  <c r="W1182" i="2"/>
  <c r="S1183" i="2"/>
  <c r="W1183" i="2" s="1"/>
  <c r="S1184" i="2"/>
  <c r="W1184" i="2" s="1"/>
  <c r="S1185" i="2"/>
  <c r="W1185" i="2"/>
  <c r="S1186" i="2"/>
  <c r="W1186" i="2"/>
  <c r="S1187" i="2"/>
  <c r="W1187" i="2"/>
  <c r="S1188" i="2"/>
  <c r="W1188" i="2"/>
  <c r="S1189" i="2"/>
  <c r="W1189" i="2"/>
  <c r="S1190" i="2"/>
  <c r="W1190" i="2"/>
  <c r="S1191" i="2"/>
  <c r="W1191" i="2"/>
  <c r="S1192" i="2"/>
  <c r="W1192" i="2"/>
  <c r="S1193" i="2"/>
  <c r="W1193" i="2"/>
  <c r="S1194" i="2"/>
  <c r="W1194" i="2"/>
  <c r="S1195" i="2"/>
  <c r="W1195" i="2"/>
  <c r="S1196" i="2"/>
  <c r="W1196" i="2"/>
  <c r="S1197" i="2"/>
  <c r="W1197" i="2"/>
  <c r="S1198" i="2"/>
  <c r="W1198" i="2"/>
  <c r="S1199" i="2"/>
  <c r="W1199" i="2"/>
  <c r="S1200" i="2"/>
  <c r="W1200" i="2"/>
  <c r="S1201" i="2"/>
  <c r="W1201" i="2"/>
  <c r="S1202" i="2"/>
  <c r="W1202" i="2"/>
  <c r="S1203" i="2"/>
  <c r="W1203" i="2"/>
  <c r="S1204" i="2"/>
  <c r="W1204" i="2"/>
  <c r="S1205" i="2"/>
  <c r="W1205" i="2"/>
  <c r="W1206" i="2"/>
  <c r="S1207" i="2"/>
  <c r="W1207" i="2"/>
  <c r="W1208" i="2"/>
  <c r="P1210" i="2"/>
  <c r="Q1210" i="2"/>
  <c r="R1210" i="2"/>
  <c r="U1210" i="2"/>
  <c r="V1210" i="2"/>
  <c r="I1180" i="2"/>
  <c r="D1180" i="2"/>
  <c r="G1180" i="2" s="1"/>
  <c r="K1180" i="2" s="1"/>
  <c r="C1180" i="2"/>
  <c r="D1179" i="2"/>
  <c r="G1179" i="2" s="1"/>
  <c r="K1179" i="2" s="1"/>
  <c r="I1178" i="2"/>
  <c r="I1210" i="2" s="1"/>
  <c r="D1178" i="2"/>
  <c r="D1177" i="2"/>
  <c r="D1176" i="2"/>
  <c r="D1175" i="2"/>
  <c r="D1174" i="2"/>
  <c r="G1174" i="2" s="1"/>
  <c r="K1174" i="2" s="1"/>
  <c r="D1173" i="2"/>
  <c r="G1173" i="2" s="1"/>
  <c r="K1173" i="2" s="1"/>
  <c r="D1172" i="2"/>
  <c r="G1172" i="2" s="1"/>
  <c r="K1172" i="2" s="1"/>
  <c r="D1171" i="2"/>
  <c r="G1171" i="2" s="1"/>
  <c r="K1171" i="2" s="1"/>
  <c r="D1170" i="2"/>
  <c r="D1169" i="2"/>
  <c r="G1169" i="2"/>
  <c r="K1169" i="2" s="1"/>
  <c r="D1168" i="2"/>
  <c r="I1167" i="2"/>
  <c r="D1167" i="2"/>
  <c r="G1167" i="2"/>
  <c r="C1168" i="2"/>
  <c r="C1170" i="2" s="1"/>
  <c r="C1171" i="2" s="1"/>
  <c r="C1175" i="2" s="1"/>
  <c r="G1168" i="2"/>
  <c r="K1168" i="2" s="1"/>
  <c r="G1170" i="2"/>
  <c r="K1170" i="2" s="1"/>
  <c r="G1175" i="2"/>
  <c r="K1175" i="2" s="1"/>
  <c r="G1176" i="2"/>
  <c r="K1176" i="2" s="1"/>
  <c r="G1177" i="2"/>
  <c r="K1177" i="2" s="1"/>
  <c r="G1178" i="2"/>
  <c r="K1178" i="2" s="1"/>
  <c r="G1181" i="2"/>
  <c r="K1181" i="2" s="1"/>
  <c r="G1182" i="2"/>
  <c r="K1182" i="2"/>
  <c r="G1183" i="2"/>
  <c r="K1183" i="2"/>
  <c r="G1184" i="2"/>
  <c r="K1184" i="2" s="1"/>
  <c r="G1185" i="2"/>
  <c r="K1185" i="2"/>
  <c r="G1186" i="2"/>
  <c r="K1186" i="2" s="1"/>
  <c r="G1187" i="2"/>
  <c r="K1187" i="2"/>
  <c r="G1188" i="2"/>
  <c r="K1188" i="2" s="1"/>
  <c r="G1189" i="2"/>
  <c r="K1189" i="2" s="1"/>
  <c r="G1190" i="2"/>
  <c r="K1190" i="2"/>
  <c r="G1191" i="2"/>
  <c r="K1191" i="2"/>
  <c r="G1192" i="2"/>
  <c r="K1192" i="2"/>
  <c r="G1193" i="2"/>
  <c r="K1193" i="2"/>
  <c r="G1194" i="2"/>
  <c r="K1194" i="2" s="1"/>
  <c r="K1195" i="2"/>
  <c r="K1196" i="2"/>
  <c r="K1197" i="2"/>
  <c r="K1198" i="2"/>
  <c r="K1199" i="2"/>
  <c r="G1200" i="2"/>
  <c r="K1200" i="2"/>
  <c r="G1207" i="2"/>
  <c r="K1207" i="2"/>
  <c r="E1210" i="2"/>
  <c r="F1210" i="2"/>
  <c r="J1210" i="2"/>
  <c r="S1265" i="2" l="1"/>
  <c r="AI1170" i="2"/>
  <c r="AI1169" i="2"/>
  <c r="AE1167" i="2"/>
  <c r="AI1167" i="2" s="1"/>
  <c r="AI1168" i="2"/>
  <c r="W1210" i="2"/>
  <c r="S1210" i="2"/>
  <c r="D1210" i="2"/>
  <c r="K1167" i="2"/>
  <c r="K1210" i="2" s="1"/>
  <c r="G1210" i="2"/>
  <c r="V1113" i="2"/>
  <c r="AB1118" i="2"/>
  <c r="AB1117" i="2"/>
  <c r="AE1117" i="2" s="1"/>
  <c r="AI1117" i="2" s="1"/>
  <c r="AB1116" i="2"/>
  <c r="AE1116" i="2" s="1"/>
  <c r="AI1116" i="2" s="1"/>
  <c r="AB1115" i="2"/>
  <c r="AE1115" i="2" s="1"/>
  <c r="AI1115" i="2" s="1"/>
  <c r="AB1114" i="2"/>
  <c r="AB1113" i="2"/>
  <c r="AB1112" i="2"/>
  <c r="AE1112" i="2"/>
  <c r="AI1112" i="2" s="1"/>
  <c r="AA1113" i="2"/>
  <c r="AA1114" i="2"/>
  <c r="AA1115" i="2" s="1"/>
  <c r="AA1116" i="2" s="1"/>
  <c r="AA1117" i="2" s="1"/>
  <c r="AA1118" i="2" s="1"/>
  <c r="AE1114" i="2"/>
  <c r="AI1114" i="2" s="1"/>
  <c r="AG1155" i="2"/>
  <c r="AE1118" i="2"/>
  <c r="AI1118" i="2" s="1"/>
  <c r="AE1119" i="2"/>
  <c r="AI1119" i="2" s="1"/>
  <c r="AE1120" i="2"/>
  <c r="AI1120" i="2" s="1"/>
  <c r="AE1121" i="2"/>
  <c r="AI1121" i="2"/>
  <c r="AE1122" i="2"/>
  <c r="AI1122" i="2" s="1"/>
  <c r="AE1123" i="2"/>
  <c r="AI1123" i="2" s="1"/>
  <c r="AE1124" i="2"/>
  <c r="AI1124" i="2" s="1"/>
  <c r="AE1125" i="2"/>
  <c r="AI1125" i="2"/>
  <c r="AE1126" i="2"/>
  <c r="AI1126" i="2" s="1"/>
  <c r="AE1127" i="2"/>
  <c r="AI1127" i="2" s="1"/>
  <c r="AE1128" i="2"/>
  <c r="AI1128" i="2" s="1"/>
  <c r="AE1129" i="2"/>
  <c r="AI1129" i="2"/>
  <c r="AE1130" i="2"/>
  <c r="AI1130" i="2" s="1"/>
  <c r="AE1131" i="2"/>
  <c r="AI1131" i="2"/>
  <c r="AE1132" i="2"/>
  <c r="AI1132" i="2"/>
  <c r="AE1133" i="2"/>
  <c r="AI1133" i="2"/>
  <c r="AE1134" i="2"/>
  <c r="AI1134" i="2" s="1"/>
  <c r="AE1135" i="2"/>
  <c r="AI1135" i="2" s="1"/>
  <c r="AE1136" i="2"/>
  <c r="AI1136" i="2" s="1"/>
  <c r="AE1137" i="2"/>
  <c r="AI1137" i="2"/>
  <c r="AE1138" i="2"/>
  <c r="AI1138" i="2" s="1"/>
  <c r="AE1139" i="2"/>
  <c r="AI1139" i="2"/>
  <c r="AE1140" i="2"/>
  <c r="AI1140" i="2"/>
  <c r="AE1141" i="2"/>
  <c r="AI1141" i="2"/>
  <c r="AE1142" i="2"/>
  <c r="AI1142" i="2" s="1"/>
  <c r="AE1143" i="2"/>
  <c r="AI1143" i="2" s="1"/>
  <c r="AE1144" i="2"/>
  <c r="AI1144" i="2" s="1"/>
  <c r="AE1145" i="2"/>
  <c r="AI1145" i="2"/>
  <c r="AE1146" i="2"/>
  <c r="AI1146" i="2" s="1"/>
  <c r="AE1147" i="2"/>
  <c r="AI1147" i="2"/>
  <c r="AE1148" i="2"/>
  <c r="AI1148" i="2" s="1"/>
  <c r="AE1149" i="2"/>
  <c r="AI1149" i="2"/>
  <c r="AE1150" i="2"/>
  <c r="AI1150" i="2" s="1"/>
  <c r="AI1151" i="2"/>
  <c r="AE1152" i="2"/>
  <c r="AI1152" i="2"/>
  <c r="AI1153" i="2"/>
  <c r="AC1155" i="2"/>
  <c r="AD1155" i="2"/>
  <c r="AH1155" i="2"/>
  <c r="V1155" i="2"/>
  <c r="U1112" i="2"/>
  <c r="U1155" i="2" s="1"/>
  <c r="P1112" i="2"/>
  <c r="S1112" i="2"/>
  <c r="O1113" i="2"/>
  <c r="P1155" i="2"/>
  <c r="S1113" i="2"/>
  <c r="S1114" i="2"/>
  <c r="W1114" i="2"/>
  <c r="S1115" i="2"/>
  <c r="W1115" i="2" s="1"/>
  <c r="S1116" i="2"/>
  <c r="W1116" i="2"/>
  <c r="S1117" i="2"/>
  <c r="W1117" i="2" s="1"/>
  <c r="S1118" i="2"/>
  <c r="W1118" i="2"/>
  <c r="S1119" i="2"/>
  <c r="W1119" i="2" s="1"/>
  <c r="S1120" i="2"/>
  <c r="W1120" i="2" s="1"/>
  <c r="S1121" i="2"/>
  <c r="W1121" i="2" s="1"/>
  <c r="S1122" i="2"/>
  <c r="W1122" i="2" s="1"/>
  <c r="S1123" i="2"/>
  <c r="W1123" i="2" s="1"/>
  <c r="S1124" i="2"/>
  <c r="W1124" i="2"/>
  <c r="S1125" i="2"/>
  <c r="W1125" i="2" s="1"/>
  <c r="S1126" i="2"/>
  <c r="W1126" i="2" s="1"/>
  <c r="S1127" i="2"/>
  <c r="W1127" i="2" s="1"/>
  <c r="S1128" i="2"/>
  <c r="W1128" i="2" s="1"/>
  <c r="S1129" i="2"/>
  <c r="W1129" i="2" s="1"/>
  <c r="S1130" i="2"/>
  <c r="W1130" i="2" s="1"/>
  <c r="S1131" i="2"/>
  <c r="W1131" i="2" s="1"/>
  <c r="S1132" i="2"/>
  <c r="W1132" i="2" s="1"/>
  <c r="S1133" i="2"/>
  <c r="W1133" i="2" s="1"/>
  <c r="S1134" i="2"/>
  <c r="W1134" i="2"/>
  <c r="S1135" i="2"/>
  <c r="W1135" i="2" s="1"/>
  <c r="S1136" i="2"/>
  <c r="W1136" i="2" s="1"/>
  <c r="S1137" i="2"/>
  <c r="W1137" i="2" s="1"/>
  <c r="S1138" i="2"/>
  <c r="W1138" i="2"/>
  <c r="S1139" i="2"/>
  <c r="W1139" i="2" s="1"/>
  <c r="S1140" i="2"/>
  <c r="W1140" i="2" s="1"/>
  <c r="S1141" i="2"/>
  <c r="W1141" i="2"/>
  <c r="S1142" i="2"/>
  <c r="W1142" i="2"/>
  <c r="S1143" i="2"/>
  <c r="W1143" i="2" s="1"/>
  <c r="S1144" i="2"/>
  <c r="W1144" i="2" s="1"/>
  <c r="S1145" i="2"/>
  <c r="W1145" i="2"/>
  <c r="S1146" i="2"/>
  <c r="W1146" i="2"/>
  <c r="S1147" i="2"/>
  <c r="W1147" i="2" s="1"/>
  <c r="S1148" i="2"/>
  <c r="W1148" i="2" s="1"/>
  <c r="S1149" i="2"/>
  <c r="W1149" i="2"/>
  <c r="S1150" i="2"/>
  <c r="W1150" i="2"/>
  <c r="W1151" i="2"/>
  <c r="S1152" i="2"/>
  <c r="W1152" i="2"/>
  <c r="W1153" i="2"/>
  <c r="Q1155" i="2"/>
  <c r="R1155" i="2"/>
  <c r="J1123" i="2"/>
  <c r="J1155" i="2" s="1"/>
  <c r="I1123" i="2"/>
  <c r="I1155" i="2" s="1"/>
  <c r="D1123" i="2"/>
  <c r="D1122" i="2"/>
  <c r="D1121" i="2"/>
  <c r="G1121" i="2" s="1"/>
  <c r="K1121" i="2" s="1"/>
  <c r="D1120" i="2"/>
  <c r="G1120" i="2" s="1"/>
  <c r="K1120" i="2" s="1"/>
  <c r="D1119" i="2"/>
  <c r="G1119" i="2" s="1"/>
  <c r="K1119" i="2" s="1"/>
  <c r="D1118" i="2"/>
  <c r="G1118" i="2" s="1"/>
  <c r="K1118" i="2" s="1"/>
  <c r="D1117" i="2"/>
  <c r="G1117" i="2" s="1"/>
  <c r="K1117" i="2" s="1"/>
  <c r="D1116" i="2"/>
  <c r="D1115" i="2"/>
  <c r="D1114" i="2"/>
  <c r="D1113" i="2"/>
  <c r="D1112" i="2"/>
  <c r="G1112" i="2"/>
  <c r="K1112" i="2" s="1"/>
  <c r="C1113" i="2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G1113" i="2"/>
  <c r="K1113" i="2" s="1"/>
  <c r="G1114" i="2"/>
  <c r="K1114" i="2" s="1"/>
  <c r="G1115" i="2"/>
  <c r="K1115" i="2" s="1"/>
  <c r="G1116" i="2"/>
  <c r="K1116" i="2" s="1"/>
  <c r="G1122" i="2"/>
  <c r="K1122" i="2" s="1"/>
  <c r="G1123" i="2"/>
  <c r="G1124" i="2"/>
  <c r="K1124" i="2" s="1"/>
  <c r="G1125" i="2"/>
  <c r="K1125" i="2" s="1"/>
  <c r="G1126" i="2"/>
  <c r="K1126" i="2"/>
  <c r="G1127" i="2"/>
  <c r="K1127" i="2" s="1"/>
  <c r="G1128" i="2"/>
  <c r="K1128" i="2"/>
  <c r="G1129" i="2"/>
  <c r="K1129" i="2"/>
  <c r="G1130" i="2"/>
  <c r="K1130" i="2" s="1"/>
  <c r="G1131" i="2"/>
  <c r="K1131" i="2"/>
  <c r="G1132" i="2"/>
  <c r="K1132" i="2"/>
  <c r="G1133" i="2"/>
  <c r="K1133" i="2"/>
  <c r="G1134" i="2"/>
  <c r="K1134" i="2"/>
  <c r="G1135" i="2"/>
  <c r="K1135" i="2"/>
  <c r="G1136" i="2"/>
  <c r="K1136" i="2"/>
  <c r="G1137" i="2"/>
  <c r="K1137" i="2"/>
  <c r="G1138" i="2"/>
  <c r="K1138" i="2" s="1"/>
  <c r="G1139" i="2"/>
  <c r="K1139" i="2"/>
  <c r="K1140" i="2"/>
  <c r="K1141" i="2"/>
  <c r="K1142" i="2"/>
  <c r="K1143" i="2"/>
  <c r="K1144" i="2"/>
  <c r="G1145" i="2"/>
  <c r="K1145" i="2"/>
  <c r="G1152" i="2"/>
  <c r="K1152" i="2"/>
  <c r="E1155" i="2"/>
  <c r="F1155" i="2"/>
  <c r="AE1210" i="2" l="1"/>
  <c r="AI1210" i="2"/>
  <c r="AB1155" i="2"/>
  <c r="AE1113" i="2"/>
  <c r="AI1113" i="2" s="1"/>
  <c r="AI1155" i="2"/>
  <c r="W1112" i="2"/>
  <c r="S1155" i="2"/>
  <c r="W1113" i="2"/>
  <c r="K1123" i="2"/>
  <c r="D1155" i="2"/>
  <c r="G1155" i="2"/>
  <c r="K1155" i="2"/>
  <c r="D1073" i="2"/>
  <c r="G1073" i="2" s="1"/>
  <c r="K1073" i="2" s="1"/>
  <c r="D1072" i="2"/>
  <c r="G1072" i="2" s="1"/>
  <c r="K1072" i="2" s="1"/>
  <c r="D1071" i="2"/>
  <c r="D1070" i="2"/>
  <c r="D1069" i="2"/>
  <c r="G1069" i="2" s="1"/>
  <c r="K1069" i="2" s="1"/>
  <c r="D1068" i="2"/>
  <c r="D1067" i="2"/>
  <c r="D1066" i="2"/>
  <c r="G1066" i="2" s="1"/>
  <c r="K1066" i="2" s="1"/>
  <c r="D1065" i="2"/>
  <c r="G1065" i="2" s="1"/>
  <c r="K1065" i="2" s="1"/>
  <c r="D1064" i="2"/>
  <c r="G1064" i="2" s="1"/>
  <c r="K1064" i="2" s="1"/>
  <c r="D1063" i="2"/>
  <c r="D1062" i="2"/>
  <c r="D1061" i="2"/>
  <c r="D1060" i="2"/>
  <c r="G1060" i="2" s="1"/>
  <c r="K1060" i="2" s="1"/>
  <c r="D1059" i="2"/>
  <c r="G1059" i="2" s="1"/>
  <c r="K1059" i="2" s="1"/>
  <c r="D1058" i="2"/>
  <c r="D1057" i="2"/>
  <c r="G1057" i="2" s="1"/>
  <c r="K1057" i="2" s="1"/>
  <c r="C1058" i="2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G1058" i="2"/>
  <c r="K1058" i="2" s="1"/>
  <c r="G1061" i="2"/>
  <c r="K1061" i="2" s="1"/>
  <c r="G1062" i="2"/>
  <c r="K1062" i="2" s="1"/>
  <c r="G1063" i="2"/>
  <c r="K1063" i="2" s="1"/>
  <c r="G1067" i="2"/>
  <c r="K1067" i="2" s="1"/>
  <c r="G1068" i="2"/>
  <c r="K1068" i="2" s="1"/>
  <c r="G1070" i="2"/>
  <c r="K1070" i="2" s="1"/>
  <c r="G1071" i="2"/>
  <c r="K1071" i="2" s="1"/>
  <c r="G1074" i="2"/>
  <c r="K1074" i="2" s="1"/>
  <c r="G1075" i="2"/>
  <c r="K1075" i="2" s="1"/>
  <c r="G1076" i="2"/>
  <c r="K1076" i="2"/>
  <c r="G1077" i="2"/>
  <c r="K1077" i="2"/>
  <c r="G1078" i="2"/>
  <c r="K1078" i="2"/>
  <c r="G1079" i="2"/>
  <c r="K1079" i="2" s="1"/>
  <c r="G1080" i="2"/>
  <c r="K1080" i="2"/>
  <c r="G1081" i="2"/>
  <c r="K1081" i="2"/>
  <c r="G1082" i="2"/>
  <c r="K1082" i="2"/>
  <c r="G1083" i="2"/>
  <c r="K1083" i="2" s="1"/>
  <c r="G1084" i="2"/>
  <c r="K1084" i="2"/>
  <c r="K1085" i="2"/>
  <c r="K1086" i="2"/>
  <c r="K1087" i="2"/>
  <c r="K1088" i="2"/>
  <c r="K1089" i="2"/>
  <c r="G1090" i="2"/>
  <c r="K1090" i="2"/>
  <c r="G1097" i="2"/>
  <c r="K1097" i="2"/>
  <c r="E1100" i="2"/>
  <c r="F1100" i="2"/>
  <c r="I1100" i="2"/>
  <c r="J1100" i="2"/>
  <c r="AE1155" i="2" l="1"/>
  <c r="W1155" i="2"/>
  <c r="D1100" i="2"/>
  <c r="K1100" i="2"/>
  <c r="G1100" i="2"/>
  <c r="AH1059" i="2"/>
  <c r="AH1100" i="2" s="1"/>
  <c r="AG1059" i="2"/>
  <c r="AB1059" i="2"/>
  <c r="AE1059" i="2" s="1"/>
  <c r="AI1059" i="2" s="1"/>
  <c r="AB1058" i="2"/>
  <c r="AG1057" i="2"/>
  <c r="AB1057" i="2"/>
  <c r="AB1100" i="2" s="1"/>
  <c r="AE1057" i="2"/>
  <c r="AI1057" i="2" s="1"/>
  <c r="AA1058" i="2"/>
  <c r="AA1059" i="2" s="1"/>
  <c r="AE1058" i="2"/>
  <c r="AE1060" i="2"/>
  <c r="AI1060" i="2" s="1"/>
  <c r="AE1061" i="2"/>
  <c r="AI1061" i="2" s="1"/>
  <c r="AE1062" i="2"/>
  <c r="AI1062" i="2" s="1"/>
  <c r="AE1063" i="2"/>
  <c r="AI1063" i="2"/>
  <c r="AE1064" i="2"/>
  <c r="AI1064" i="2" s="1"/>
  <c r="AE1065" i="2"/>
  <c r="AI1065" i="2" s="1"/>
  <c r="AE1066" i="2"/>
  <c r="AI1066" i="2"/>
  <c r="AE1067" i="2"/>
  <c r="AI1067" i="2"/>
  <c r="AE1068" i="2"/>
  <c r="AI1068" i="2" s="1"/>
  <c r="AE1069" i="2"/>
  <c r="AI1069" i="2" s="1"/>
  <c r="AE1070" i="2"/>
  <c r="AI1070" i="2"/>
  <c r="AE1071" i="2"/>
  <c r="AI1071" i="2"/>
  <c r="AE1072" i="2"/>
  <c r="AI1072" i="2"/>
  <c r="AE1073" i="2"/>
  <c r="AI1073" i="2" s="1"/>
  <c r="AE1074" i="2"/>
  <c r="AI1074" i="2"/>
  <c r="AE1075" i="2"/>
  <c r="AI1075" i="2"/>
  <c r="AE1076" i="2"/>
  <c r="AI1076" i="2" s="1"/>
  <c r="AE1077" i="2"/>
  <c r="AI1077" i="2" s="1"/>
  <c r="AE1078" i="2"/>
  <c r="AI1078" i="2" s="1"/>
  <c r="AE1079" i="2"/>
  <c r="AI1079" i="2"/>
  <c r="AE1080" i="2"/>
  <c r="AI1080" i="2"/>
  <c r="AE1081" i="2"/>
  <c r="AI1081" i="2" s="1"/>
  <c r="AE1082" i="2"/>
  <c r="AI1082" i="2"/>
  <c r="AE1083" i="2"/>
  <c r="AI1083" i="2"/>
  <c r="AE1084" i="2"/>
  <c r="AI1084" i="2" s="1"/>
  <c r="AE1085" i="2"/>
  <c r="AI1085" i="2" s="1"/>
  <c r="AE1086" i="2"/>
  <c r="AI1086" i="2"/>
  <c r="AE1087" i="2"/>
  <c r="AI1087" i="2"/>
  <c r="AE1088" i="2"/>
  <c r="AI1088" i="2"/>
  <c r="AE1089" i="2"/>
  <c r="AI1089" i="2" s="1"/>
  <c r="AE1090" i="2"/>
  <c r="AI1090" i="2"/>
  <c r="AE1091" i="2"/>
  <c r="AI1091" i="2"/>
  <c r="AE1092" i="2"/>
  <c r="AI1092" i="2" s="1"/>
  <c r="AE1093" i="2"/>
  <c r="AI1093" i="2" s="1"/>
  <c r="AE1094" i="2"/>
  <c r="AI1094" i="2"/>
  <c r="AE1095" i="2"/>
  <c r="AI1095" i="2"/>
  <c r="AI1096" i="2"/>
  <c r="AE1097" i="2"/>
  <c r="AI1097" i="2"/>
  <c r="AI1098" i="2"/>
  <c r="AC1100" i="2"/>
  <c r="AD1100" i="2"/>
  <c r="AG1100" i="2"/>
  <c r="P1079" i="2"/>
  <c r="P1078" i="2"/>
  <c r="S1078" i="2" s="1"/>
  <c r="W1078" i="2" s="1"/>
  <c r="P1077" i="2"/>
  <c r="S1077" i="2" s="1"/>
  <c r="W1077" i="2" s="1"/>
  <c r="P1076" i="2"/>
  <c r="U1075" i="2"/>
  <c r="P1075" i="2"/>
  <c r="P1074" i="2"/>
  <c r="P1073" i="2"/>
  <c r="P1072" i="2"/>
  <c r="P1071" i="2"/>
  <c r="P1070" i="2"/>
  <c r="S1070" i="2" s="1"/>
  <c r="W1070" i="2" s="1"/>
  <c r="P1069" i="2"/>
  <c r="P1068" i="2"/>
  <c r="P1067" i="2"/>
  <c r="P1066" i="2"/>
  <c r="P1065" i="2"/>
  <c r="P1064" i="2"/>
  <c r="P1063" i="2"/>
  <c r="P1062" i="2"/>
  <c r="U1061" i="2"/>
  <c r="P1061" i="2"/>
  <c r="P1060" i="2"/>
  <c r="P1059" i="2"/>
  <c r="S1059" i="2" s="1"/>
  <c r="W1059" i="2" s="1"/>
  <c r="P1058" i="2"/>
  <c r="P1057" i="2"/>
  <c r="S1057" i="2"/>
  <c r="W1057" i="2" s="1"/>
  <c r="O1058" i="2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S1058" i="2"/>
  <c r="W1058" i="2" s="1"/>
  <c r="S1060" i="2"/>
  <c r="W1060" i="2" s="1"/>
  <c r="S1061" i="2"/>
  <c r="S1062" i="2"/>
  <c r="W1062" i="2" s="1"/>
  <c r="S1063" i="2"/>
  <c r="W1063" i="2" s="1"/>
  <c r="S1064" i="2"/>
  <c r="W1064" i="2" s="1"/>
  <c r="S1065" i="2"/>
  <c r="W1065" i="2" s="1"/>
  <c r="S1066" i="2"/>
  <c r="W1066" i="2" s="1"/>
  <c r="S1067" i="2"/>
  <c r="W1067" i="2" s="1"/>
  <c r="S1068" i="2"/>
  <c r="W1068" i="2" s="1"/>
  <c r="S1069" i="2"/>
  <c r="W1069" i="2" s="1"/>
  <c r="S1071" i="2"/>
  <c r="W1071" i="2" s="1"/>
  <c r="S1072" i="2"/>
  <c r="W1072" i="2" s="1"/>
  <c r="S1073" i="2"/>
  <c r="W1073" i="2" s="1"/>
  <c r="S1074" i="2"/>
  <c r="W1074" i="2" s="1"/>
  <c r="S1075" i="2"/>
  <c r="S1076" i="2"/>
  <c r="W1076" i="2" s="1"/>
  <c r="S1079" i="2"/>
  <c r="W1079" i="2" s="1"/>
  <c r="S1080" i="2"/>
  <c r="W1080" i="2" s="1"/>
  <c r="S1081" i="2"/>
  <c r="W1081" i="2"/>
  <c r="S1082" i="2"/>
  <c r="W1082" i="2" s="1"/>
  <c r="S1083" i="2"/>
  <c r="W1083" i="2" s="1"/>
  <c r="S1084" i="2"/>
  <c r="W1084" i="2"/>
  <c r="S1085" i="2"/>
  <c r="W1085" i="2" s="1"/>
  <c r="S1086" i="2"/>
  <c r="W1086" i="2"/>
  <c r="S1087" i="2"/>
  <c r="W1087" i="2"/>
  <c r="S1088" i="2"/>
  <c r="W1088" i="2" s="1"/>
  <c r="S1089" i="2"/>
  <c r="W1089" i="2"/>
  <c r="S1090" i="2"/>
  <c r="W1090" i="2" s="1"/>
  <c r="S1091" i="2"/>
  <c r="W1091" i="2" s="1"/>
  <c r="S1092" i="2"/>
  <c r="W1092" i="2"/>
  <c r="S1093" i="2"/>
  <c r="W1093" i="2" s="1"/>
  <c r="S1094" i="2"/>
  <c r="W1094" i="2"/>
  <c r="S1095" i="2"/>
  <c r="W1095" i="2" s="1"/>
  <c r="W1096" i="2"/>
  <c r="S1097" i="2"/>
  <c r="W1097" i="2"/>
  <c r="W1098" i="2"/>
  <c r="Q1100" i="2"/>
  <c r="R1100" i="2"/>
  <c r="V1100" i="2"/>
  <c r="AE1100" i="2" l="1"/>
  <c r="AI1058" i="2"/>
  <c r="AI1100" i="2" s="1"/>
  <c r="U1100" i="2"/>
  <c r="W1075" i="2"/>
  <c r="P1100" i="2"/>
  <c r="W1061" i="2"/>
  <c r="W1100" i="2"/>
  <c r="S1100" i="2"/>
  <c r="AB1009" i="2"/>
  <c r="AE1009" i="2" s="1"/>
  <c r="AI1009" i="2" s="1"/>
  <c r="AB1008" i="2"/>
  <c r="AB1007" i="2"/>
  <c r="AE1007" i="2" s="1"/>
  <c r="AI1007" i="2" s="1"/>
  <c r="AB1006" i="2"/>
  <c r="AE1006" i="2" s="1"/>
  <c r="AI1006" i="2" s="1"/>
  <c r="AB1005" i="2"/>
  <c r="AB1004" i="2"/>
  <c r="AB1003" i="2"/>
  <c r="AE1003" i="2" s="1"/>
  <c r="AI1003" i="2" s="1"/>
  <c r="AB1002" i="2"/>
  <c r="AB1045" i="2" s="1"/>
  <c r="AE1002" i="2"/>
  <c r="AA1003" i="2"/>
  <c r="AA1004" i="2" s="1"/>
  <c r="AA1005" i="2" s="1"/>
  <c r="AA1006" i="2" s="1"/>
  <c r="AA1007" i="2" s="1"/>
  <c r="AA1008" i="2" s="1"/>
  <c r="AA1009" i="2" s="1"/>
  <c r="AE1004" i="2"/>
  <c r="AI1004" i="2" s="1"/>
  <c r="AE1005" i="2"/>
  <c r="AI1005" i="2" s="1"/>
  <c r="AE1008" i="2"/>
  <c r="AI1008" i="2"/>
  <c r="AE1010" i="2"/>
  <c r="AI1010" i="2" s="1"/>
  <c r="AE1011" i="2"/>
  <c r="AI1011" i="2"/>
  <c r="AE1012" i="2"/>
  <c r="AI1012" i="2" s="1"/>
  <c r="AE1013" i="2"/>
  <c r="AI1013" i="2" s="1"/>
  <c r="AE1014" i="2"/>
  <c r="AI1014" i="2" s="1"/>
  <c r="AE1015" i="2"/>
  <c r="AI1015" i="2" s="1"/>
  <c r="AE1016" i="2"/>
  <c r="AI1016" i="2" s="1"/>
  <c r="AE1017" i="2"/>
  <c r="AI1017" i="2" s="1"/>
  <c r="AE1018" i="2"/>
  <c r="AI1018" i="2" s="1"/>
  <c r="AE1019" i="2"/>
  <c r="AI1019" i="2"/>
  <c r="AE1020" i="2"/>
  <c r="AI1020" i="2" s="1"/>
  <c r="AE1021" i="2"/>
  <c r="AI1021" i="2" s="1"/>
  <c r="AE1022" i="2"/>
  <c r="AI1022" i="2" s="1"/>
  <c r="AE1023" i="2"/>
  <c r="AI1023" i="2"/>
  <c r="AE1024" i="2"/>
  <c r="AI1024" i="2" s="1"/>
  <c r="AE1025" i="2"/>
  <c r="AI1025" i="2" s="1"/>
  <c r="AE1026" i="2"/>
  <c r="AI1026" i="2"/>
  <c r="AE1027" i="2"/>
  <c r="AI1027" i="2"/>
  <c r="AE1028" i="2"/>
  <c r="AI1028" i="2" s="1"/>
  <c r="AE1029" i="2"/>
  <c r="AI1029" i="2" s="1"/>
  <c r="AE1030" i="2"/>
  <c r="AI1030" i="2" s="1"/>
  <c r="AE1031" i="2"/>
  <c r="AI1031" i="2"/>
  <c r="AE1032" i="2"/>
  <c r="AI1032" i="2" s="1"/>
  <c r="AE1033" i="2"/>
  <c r="AI1033" i="2" s="1"/>
  <c r="AE1034" i="2"/>
  <c r="AI1034" i="2"/>
  <c r="AE1035" i="2"/>
  <c r="AI1035" i="2"/>
  <c r="AE1036" i="2"/>
  <c r="AI1036" i="2" s="1"/>
  <c r="AE1037" i="2"/>
  <c r="AI1037" i="2" s="1"/>
  <c r="AE1038" i="2"/>
  <c r="AI1038" i="2" s="1"/>
  <c r="AE1039" i="2"/>
  <c r="AI1039" i="2"/>
  <c r="AE1040" i="2"/>
  <c r="AI1040" i="2" s="1"/>
  <c r="AI1041" i="2"/>
  <c r="AE1042" i="2"/>
  <c r="AI1042" i="2"/>
  <c r="AI1043" i="2"/>
  <c r="AC1045" i="2"/>
  <c r="AD1045" i="2"/>
  <c r="AG1045" i="2"/>
  <c r="AH1045" i="2"/>
  <c r="P1007" i="2"/>
  <c r="P1006" i="2"/>
  <c r="U1005" i="2"/>
  <c r="P1005" i="2"/>
  <c r="P1004" i="2"/>
  <c r="V1004" i="2"/>
  <c r="P1003" i="2"/>
  <c r="P1002" i="2"/>
  <c r="S1002" i="2" s="1"/>
  <c r="W1002" i="2" s="1"/>
  <c r="O1003" i="2"/>
  <c r="S1003" i="2"/>
  <c r="W1003" i="2" s="1"/>
  <c r="O1004" i="2"/>
  <c r="S1004" i="2"/>
  <c r="O1005" i="2"/>
  <c r="O1006" i="2" s="1"/>
  <c r="O1007" i="2" s="1"/>
  <c r="S1005" i="2"/>
  <c r="S1006" i="2"/>
  <c r="W1006" i="2" s="1"/>
  <c r="S1007" i="2"/>
  <c r="W1007" i="2" s="1"/>
  <c r="S1008" i="2"/>
  <c r="W1008" i="2" s="1"/>
  <c r="S1009" i="2"/>
  <c r="W1009" i="2" s="1"/>
  <c r="U1045" i="2"/>
  <c r="V1045" i="2"/>
  <c r="S1010" i="2"/>
  <c r="W1010" i="2" s="1"/>
  <c r="S1011" i="2"/>
  <c r="W1011" i="2" s="1"/>
  <c r="S1012" i="2"/>
  <c r="W1012" i="2" s="1"/>
  <c r="S1013" i="2"/>
  <c r="W1013" i="2" s="1"/>
  <c r="S1014" i="2"/>
  <c r="W1014" i="2"/>
  <c r="S1015" i="2"/>
  <c r="W1015" i="2"/>
  <c r="S1016" i="2"/>
  <c r="W1016" i="2" s="1"/>
  <c r="S1017" i="2"/>
  <c r="W1017" i="2" s="1"/>
  <c r="S1018" i="2"/>
  <c r="W1018" i="2"/>
  <c r="S1019" i="2"/>
  <c r="W1019" i="2" s="1"/>
  <c r="S1020" i="2"/>
  <c r="W1020" i="2" s="1"/>
  <c r="S1021" i="2"/>
  <c r="W1021" i="2" s="1"/>
  <c r="S1022" i="2"/>
  <c r="W1022" i="2"/>
  <c r="S1023" i="2"/>
  <c r="W1023" i="2"/>
  <c r="S1024" i="2"/>
  <c r="W1024" i="2" s="1"/>
  <c r="S1025" i="2"/>
  <c r="W1025" i="2" s="1"/>
  <c r="S1026" i="2"/>
  <c r="W1026" i="2"/>
  <c r="S1027" i="2"/>
  <c r="W1027" i="2" s="1"/>
  <c r="S1028" i="2"/>
  <c r="W1028" i="2" s="1"/>
  <c r="S1029" i="2"/>
  <c r="W1029" i="2" s="1"/>
  <c r="S1030" i="2"/>
  <c r="W1030" i="2"/>
  <c r="S1031" i="2"/>
  <c r="W1031" i="2"/>
  <c r="S1032" i="2"/>
  <c r="W1032" i="2" s="1"/>
  <c r="S1033" i="2"/>
  <c r="W1033" i="2" s="1"/>
  <c r="S1034" i="2"/>
  <c r="W1034" i="2"/>
  <c r="S1035" i="2"/>
  <c r="W1035" i="2" s="1"/>
  <c r="S1036" i="2"/>
  <c r="W1036" i="2" s="1"/>
  <c r="S1037" i="2"/>
  <c r="W1037" i="2" s="1"/>
  <c r="S1038" i="2"/>
  <c r="W1038" i="2"/>
  <c r="S1039" i="2"/>
  <c r="W1039" i="2"/>
  <c r="S1040" i="2"/>
  <c r="W1040" i="2" s="1"/>
  <c r="W1041" i="2"/>
  <c r="S1042" i="2"/>
  <c r="W1042" i="2" s="1"/>
  <c r="W1043" i="2"/>
  <c r="Q1045" i="2"/>
  <c r="R1045" i="2"/>
  <c r="D1007" i="2"/>
  <c r="G1007" i="2" s="1"/>
  <c r="K1007" i="2" s="1"/>
  <c r="J1006" i="2"/>
  <c r="J1045" i="2" s="1"/>
  <c r="I1006" i="2"/>
  <c r="D1006" i="2"/>
  <c r="D1005" i="2"/>
  <c r="D1004" i="2"/>
  <c r="G1004" i="2" s="1"/>
  <c r="K1004" i="2" s="1"/>
  <c r="I1003" i="2"/>
  <c r="I1045" i="2" s="1"/>
  <c r="D1003" i="2"/>
  <c r="D1002" i="2"/>
  <c r="G1002" i="2"/>
  <c r="K1002" i="2" s="1"/>
  <c r="C1003" i="2"/>
  <c r="C1004" i="2" s="1"/>
  <c r="C1005" i="2" s="1"/>
  <c r="C1006" i="2" s="1"/>
  <c r="C1007" i="2" s="1"/>
  <c r="G1003" i="2"/>
  <c r="K1003" i="2" s="1"/>
  <c r="G1006" i="2"/>
  <c r="G1008" i="2"/>
  <c r="K1008" i="2" s="1"/>
  <c r="G1009" i="2"/>
  <c r="K1009" i="2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/>
  <c r="G1028" i="2"/>
  <c r="K1028" i="2"/>
  <c r="G1029" i="2"/>
  <c r="K1029" i="2"/>
  <c r="K1030" i="2"/>
  <c r="K1031" i="2"/>
  <c r="K1032" i="2"/>
  <c r="K1033" i="2"/>
  <c r="K1034" i="2"/>
  <c r="G1035" i="2"/>
  <c r="K1035" i="2"/>
  <c r="G1042" i="2"/>
  <c r="K1042" i="2"/>
  <c r="E1045" i="2"/>
  <c r="F1045" i="2"/>
  <c r="AI1002" i="2" l="1"/>
  <c r="AI1045" i="2" s="1"/>
  <c r="AE1045" i="2"/>
  <c r="W1005" i="2"/>
  <c r="W1004" i="2"/>
  <c r="W1045" i="2" s="1"/>
  <c r="P1045" i="2"/>
  <c r="S1045" i="2"/>
  <c r="K1006" i="2"/>
  <c r="D1045" i="2"/>
  <c r="G1005" i="2"/>
  <c r="K1005" i="2" s="1"/>
  <c r="G1045" i="2"/>
  <c r="AS951" i="2"/>
  <c r="AN951" i="2"/>
  <c r="AN950" i="2"/>
  <c r="AS949" i="2"/>
  <c r="AS990" i="2" s="1"/>
  <c r="AN949" i="2"/>
  <c r="AN948" i="2"/>
  <c r="AQ948" i="2" s="1"/>
  <c r="AU948" i="2" s="1"/>
  <c r="AN947" i="2"/>
  <c r="AQ947" i="2"/>
  <c r="AU947" i="2" s="1"/>
  <c r="AM948" i="2"/>
  <c r="AM949" i="2" s="1"/>
  <c r="AM950" i="2" s="1"/>
  <c r="AM951" i="2" s="1"/>
  <c r="AQ949" i="2"/>
  <c r="AU949" i="2" s="1"/>
  <c r="AQ951" i="2"/>
  <c r="AQ952" i="2"/>
  <c r="AU952" i="2"/>
  <c r="AQ953" i="2"/>
  <c r="AU953" i="2" s="1"/>
  <c r="AQ954" i="2"/>
  <c r="AU954" i="2"/>
  <c r="AQ955" i="2"/>
  <c r="AU955" i="2" s="1"/>
  <c r="AQ956" i="2"/>
  <c r="AU956" i="2"/>
  <c r="AQ957" i="2"/>
  <c r="AU957" i="2"/>
  <c r="AQ958" i="2"/>
  <c r="AU958" i="2"/>
  <c r="AQ959" i="2"/>
  <c r="AU959" i="2" s="1"/>
  <c r="AQ960" i="2"/>
  <c r="AU960" i="2"/>
  <c r="AQ961" i="2"/>
  <c r="AU961" i="2" s="1"/>
  <c r="AQ962" i="2"/>
  <c r="AU962" i="2"/>
  <c r="AQ963" i="2"/>
  <c r="AU963" i="2"/>
  <c r="AQ964" i="2"/>
  <c r="AU964" i="2"/>
  <c r="AQ965" i="2"/>
  <c r="AU965" i="2"/>
  <c r="AQ966" i="2"/>
  <c r="AU966" i="2"/>
  <c r="AQ967" i="2"/>
  <c r="AU967" i="2"/>
  <c r="AQ968" i="2"/>
  <c r="AU968" i="2"/>
  <c r="AQ969" i="2"/>
  <c r="AU969" i="2"/>
  <c r="AQ970" i="2"/>
  <c r="AU970" i="2"/>
  <c r="AQ971" i="2"/>
  <c r="AU971" i="2"/>
  <c r="AQ972" i="2"/>
  <c r="AU972" i="2"/>
  <c r="AQ973" i="2"/>
  <c r="AU973" i="2"/>
  <c r="AQ974" i="2"/>
  <c r="AU974" i="2"/>
  <c r="AQ975" i="2"/>
  <c r="AU975" i="2"/>
  <c r="AQ976" i="2"/>
  <c r="AU976" i="2"/>
  <c r="AQ977" i="2"/>
  <c r="AU977" i="2"/>
  <c r="AQ978" i="2"/>
  <c r="AU978" i="2"/>
  <c r="AQ979" i="2"/>
  <c r="AU979" i="2"/>
  <c r="AQ980" i="2"/>
  <c r="AU980" i="2"/>
  <c r="AQ981" i="2"/>
  <c r="AU981" i="2"/>
  <c r="AQ982" i="2"/>
  <c r="AU982" i="2"/>
  <c r="AQ983" i="2"/>
  <c r="AU983" i="2"/>
  <c r="AQ984" i="2"/>
  <c r="AU984" i="2"/>
  <c r="AQ985" i="2"/>
  <c r="AU985" i="2"/>
  <c r="AU986" i="2"/>
  <c r="AQ987" i="2"/>
  <c r="AU987" i="2" s="1"/>
  <c r="AU988" i="2"/>
  <c r="AO990" i="2"/>
  <c r="AP990" i="2"/>
  <c r="AT990" i="2"/>
  <c r="K1045" i="2" l="1"/>
  <c r="AU951" i="2"/>
  <c r="AN990" i="2"/>
  <c r="AQ950" i="2"/>
  <c r="P956" i="2"/>
  <c r="P955" i="2"/>
  <c r="S955" i="2" s="1"/>
  <c r="W955" i="2" s="1"/>
  <c r="V954" i="2"/>
  <c r="V990" i="2" s="1"/>
  <c r="U954" i="2"/>
  <c r="U990" i="2" s="1"/>
  <c r="P954" i="2"/>
  <c r="S954" i="2" s="1"/>
  <c r="W954" i="2" s="1"/>
  <c r="P953" i="2"/>
  <c r="S953" i="2" s="1"/>
  <c r="W953" i="2" s="1"/>
  <c r="P952" i="2"/>
  <c r="S952" i="2" s="1"/>
  <c r="W952" i="2" s="1"/>
  <c r="P951" i="2"/>
  <c r="P950" i="2"/>
  <c r="P949" i="2"/>
  <c r="P948" i="2"/>
  <c r="P947" i="2"/>
  <c r="S947" i="2" s="1"/>
  <c r="W947" i="2" s="1"/>
  <c r="O949" i="2"/>
  <c r="O950" i="2" s="1"/>
  <c r="O951" i="2" s="1"/>
  <c r="O953" i="2" s="1"/>
  <c r="O954" i="2" s="1"/>
  <c r="O955" i="2" s="1"/>
  <c r="O956" i="2" s="1"/>
  <c r="S948" i="2"/>
  <c r="S949" i="2"/>
  <c r="W949" i="2" s="1"/>
  <c r="S950" i="2"/>
  <c r="W950" i="2" s="1"/>
  <c r="S951" i="2"/>
  <c r="W951" i="2" s="1"/>
  <c r="S956" i="2"/>
  <c r="W956" i="2" s="1"/>
  <c r="S957" i="2"/>
  <c r="W957" i="2" s="1"/>
  <c r="S958" i="2"/>
  <c r="W958" i="2"/>
  <c r="S959" i="2"/>
  <c r="W959" i="2"/>
  <c r="S960" i="2"/>
  <c r="W960" i="2"/>
  <c r="S961" i="2"/>
  <c r="W961" i="2"/>
  <c r="S962" i="2"/>
  <c r="W962" i="2" s="1"/>
  <c r="S963" i="2"/>
  <c r="W963" i="2" s="1"/>
  <c r="S964" i="2"/>
  <c r="W964" i="2" s="1"/>
  <c r="S965" i="2"/>
  <c r="W965" i="2"/>
  <c r="S966" i="2"/>
  <c r="W966" i="2"/>
  <c r="S967" i="2"/>
  <c r="W967" i="2"/>
  <c r="S968" i="2"/>
  <c r="W968" i="2"/>
  <c r="S969" i="2"/>
  <c r="W969" i="2"/>
  <c r="S970" i="2"/>
  <c r="W970" i="2"/>
  <c r="S971" i="2"/>
  <c r="W971" i="2"/>
  <c r="S972" i="2"/>
  <c r="W972" i="2"/>
  <c r="S973" i="2"/>
  <c r="W973" i="2"/>
  <c r="S974" i="2"/>
  <c r="W974" i="2"/>
  <c r="S975" i="2"/>
  <c r="W975" i="2" s="1"/>
  <c r="S976" i="2"/>
  <c r="W976" i="2"/>
  <c r="S977" i="2"/>
  <c r="W977" i="2"/>
  <c r="S978" i="2"/>
  <c r="W978" i="2"/>
  <c r="S979" i="2"/>
  <c r="W979" i="2"/>
  <c r="S980" i="2"/>
  <c r="W980" i="2"/>
  <c r="S981" i="2"/>
  <c r="W981" i="2"/>
  <c r="S982" i="2"/>
  <c r="W982" i="2"/>
  <c r="S983" i="2"/>
  <c r="W983" i="2" s="1"/>
  <c r="S984" i="2"/>
  <c r="W984" i="2"/>
  <c r="S985" i="2"/>
  <c r="W985" i="2"/>
  <c r="W986" i="2"/>
  <c r="S987" i="2"/>
  <c r="W987" i="2"/>
  <c r="W988" i="2"/>
  <c r="Q990" i="2"/>
  <c r="R990" i="2"/>
  <c r="D966" i="2"/>
  <c r="D965" i="2"/>
  <c r="D964" i="2"/>
  <c r="D963" i="2"/>
  <c r="D962" i="2"/>
  <c r="D961" i="2"/>
  <c r="G961" i="2" s="1"/>
  <c r="K961" i="2" s="1"/>
  <c r="D960" i="2"/>
  <c r="D959" i="2"/>
  <c r="G959" i="2" s="1"/>
  <c r="K959" i="2" s="1"/>
  <c r="D958" i="2"/>
  <c r="I957" i="2"/>
  <c r="I990" i="2" s="1"/>
  <c r="D957" i="2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G951" i="2" s="1"/>
  <c r="K951" i="2" s="1"/>
  <c r="D950" i="2"/>
  <c r="D949" i="2"/>
  <c r="G949" i="2" s="1"/>
  <c r="K949" i="2" s="1"/>
  <c r="D948" i="2"/>
  <c r="D947" i="2"/>
  <c r="G947" i="2"/>
  <c r="C948" i="2"/>
  <c r="C949" i="2" s="1"/>
  <c r="C950" i="2" s="1"/>
  <c r="C951" i="2" s="1"/>
  <c r="C952" i="2" s="1"/>
  <c r="C953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G948" i="2"/>
  <c r="K948" i="2" s="1"/>
  <c r="G950" i="2"/>
  <c r="K950" i="2" s="1"/>
  <c r="G957" i="2"/>
  <c r="G958" i="2"/>
  <c r="K958" i="2" s="1"/>
  <c r="G960" i="2"/>
  <c r="K960" i="2" s="1"/>
  <c r="G962" i="2"/>
  <c r="K962" i="2" s="1"/>
  <c r="G963" i="2"/>
  <c r="K963" i="2" s="1"/>
  <c r="G964" i="2"/>
  <c r="K964" i="2"/>
  <c r="G965" i="2"/>
  <c r="K965" i="2" s="1"/>
  <c r="G966" i="2"/>
  <c r="K966" i="2" s="1"/>
  <c r="G967" i="2"/>
  <c r="K967" i="2" s="1"/>
  <c r="G968" i="2"/>
  <c r="K968" i="2" s="1"/>
  <c r="G969" i="2"/>
  <c r="K969" i="2" s="1"/>
  <c r="G970" i="2"/>
  <c r="K970" i="2"/>
  <c r="G971" i="2"/>
  <c r="K971" i="2" s="1"/>
  <c r="G972" i="2"/>
  <c r="K972" i="2"/>
  <c r="G973" i="2"/>
  <c r="K973" i="2" s="1"/>
  <c r="G974" i="2"/>
  <c r="K974" i="2" s="1"/>
  <c r="K975" i="2"/>
  <c r="K976" i="2"/>
  <c r="K977" i="2"/>
  <c r="K978" i="2"/>
  <c r="K979" i="2"/>
  <c r="G980" i="2"/>
  <c r="K980" i="2"/>
  <c r="G987" i="2"/>
  <c r="K987" i="2"/>
  <c r="E990" i="2"/>
  <c r="F990" i="2"/>
  <c r="J990" i="2"/>
  <c r="AQ990" i="2" l="1"/>
  <c r="AU950" i="2"/>
  <c r="AU990" i="2" s="1"/>
  <c r="P990" i="2"/>
  <c r="S990" i="2"/>
  <c r="W948" i="2"/>
  <c r="W990" i="2" s="1"/>
  <c r="K957" i="2"/>
  <c r="G990" i="2"/>
  <c r="K947" i="2"/>
  <c r="K990" i="2" s="1"/>
  <c r="D990" i="2"/>
  <c r="AG955" i="2"/>
  <c r="AG953" i="2"/>
  <c r="AE952" i="2"/>
  <c r="AI952" i="2" s="1"/>
  <c r="AB950" i="2"/>
  <c r="AB949" i="2"/>
  <c r="AB948" i="2"/>
  <c r="AB947" i="2"/>
  <c r="AE947" i="2" s="1"/>
  <c r="AI947" i="2" s="1"/>
  <c r="AA948" i="2"/>
  <c r="AA949" i="2" s="1"/>
  <c r="AA950" i="2" s="1"/>
  <c r="AE949" i="2"/>
  <c r="AI949" i="2" s="1"/>
  <c r="AE951" i="2"/>
  <c r="AI951" i="2" s="1"/>
  <c r="AE953" i="2"/>
  <c r="AI953" i="2" s="1"/>
  <c r="AE954" i="2"/>
  <c r="AI954" i="2" s="1"/>
  <c r="AE955" i="2"/>
  <c r="AI955" i="2" s="1"/>
  <c r="AE956" i="2"/>
  <c r="AI956" i="2" s="1"/>
  <c r="AE957" i="2"/>
  <c r="AI957" i="2" s="1"/>
  <c r="AE958" i="2"/>
  <c r="AI958" i="2" s="1"/>
  <c r="AE959" i="2"/>
  <c r="AI959" i="2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/>
  <c r="AE968" i="2"/>
  <c r="AI968" i="2"/>
  <c r="AE969" i="2"/>
  <c r="AI969" i="2"/>
  <c r="AE970" i="2"/>
  <c r="AI970" i="2"/>
  <c r="AE971" i="2"/>
  <c r="AI971" i="2" s="1"/>
  <c r="AE972" i="2"/>
  <c r="AI972" i="2"/>
  <c r="AE973" i="2"/>
  <c r="AI973" i="2"/>
  <c r="AE974" i="2"/>
  <c r="AI974" i="2"/>
  <c r="AE975" i="2"/>
  <c r="AI975" i="2"/>
  <c r="AE976" i="2"/>
  <c r="AI976" i="2"/>
  <c r="AE977" i="2"/>
  <c r="AI977" i="2"/>
  <c r="AE978" i="2"/>
  <c r="AI978" i="2"/>
  <c r="AE979" i="2"/>
  <c r="AI979" i="2" s="1"/>
  <c r="AE980" i="2"/>
  <c r="AI980" i="2"/>
  <c r="AE981" i="2"/>
  <c r="AI981" i="2"/>
  <c r="AE982" i="2"/>
  <c r="AI982" i="2"/>
  <c r="AE983" i="2"/>
  <c r="AI983" i="2"/>
  <c r="AE984" i="2"/>
  <c r="AI984" i="2"/>
  <c r="AE985" i="2"/>
  <c r="AI985" i="2"/>
  <c r="AI986" i="2"/>
  <c r="AE987" i="2"/>
  <c r="AI987" i="2" s="1"/>
  <c r="AI988" i="2"/>
  <c r="AC990" i="2"/>
  <c r="AD990" i="2"/>
  <c r="AG990" i="2"/>
  <c r="AH990" i="2"/>
  <c r="AB990" i="2" l="1"/>
  <c r="AE950" i="2"/>
  <c r="AI950" i="2" s="1"/>
  <c r="AE948" i="2"/>
  <c r="AB908" i="2"/>
  <c r="AB909" i="2"/>
  <c r="AB906" i="2"/>
  <c r="AE906" i="2" s="1"/>
  <c r="AI906" i="2" s="1"/>
  <c r="AB905" i="2"/>
  <c r="AB904" i="2"/>
  <c r="AE904" i="2" s="1"/>
  <c r="AI904" i="2" s="1"/>
  <c r="AB903" i="2"/>
  <c r="AB902" i="2"/>
  <c r="AB901" i="2"/>
  <c r="AB900" i="2"/>
  <c r="AE900" i="2" s="1"/>
  <c r="AI900" i="2" s="1"/>
  <c r="AB899" i="2"/>
  <c r="AB898" i="2"/>
  <c r="AB897" i="2"/>
  <c r="AE897" i="2" s="1"/>
  <c r="AI897" i="2" s="1"/>
  <c r="AB896" i="2"/>
  <c r="AE896" i="2" s="1"/>
  <c r="AI896" i="2" s="1"/>
  <c r="AB895" i="2"/>
  <c r="AE895" i="2" s="1"/>
  <c r="AI895" i="2" s="1"/>
  <c r="AG894" i="2"/>
  <c r="AB894" i="2"/>
  <c r="AB893" i="2"/>
  <c r="AB892" i="2"/>
  <c r="AE892" i="2" s="1"/>
  <c r="AI892" i="2" s="1"/>
  <c r="AE893" i="2"/>
  <c r="AI893" i="2" s="1"/>
  <c r="AA894" i="2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E894" i="2"/>
  <c r="AI894" i="2" s="1"/>
  <c r="AE898" i="2"/>
  <c r="AI898" i="2" s="1"/>
  <c r="AE899" i="2"/>
  <c r="AI899" i="2" s="1"/>
  <c r="AE901" i="2"/>
  <c r="AI901" i="2" s="1"/>
  <c r="AE902" i="2"/>
  <c r="AI902" i="2" s="1"/>
  <c r="AE903" i="2"/>
  <c r="AI903" i="2" s="1"/>
  <c r="AE905" i="2"/>
  <c r="AI905" i="2" s="1"/>
  <c r="AE907" i="2"/>
  <c r="AI907" i="2" s="1"/>
  <c r="AE908" i="2"/>
  <c r="AI908" i="2" s="1"/>
  <c r="AE909" i="2"/>
  <c r="AI909" i="2" s="1"/>
  <c r="AE910" i="2"/>
  <c r="AI910" i="2" s="1"/>
  <c r="AE911" i="2"/>
  <c r="AI911" i="2"/>
  <c r="AE912" i="2"/>
  <c r="AI912" i="2"/>
  <c r="AE913" i="2"/>
  <c r="AI913" i="2" s="1"/>
  <c r="AE914" i="2"/>
  <c r="AI914" i="2" s="1"/>
  <c r="AE915" i="2"/>
  <c r="AI915" i="2"/>
  <c r="AE916" i="2"/>
  <c r="AI916" i="2"/>
  <c r="AE917" i="2"/>
  <c r="AI917" i="2" s="1"/>
  <c r="AE918" i="2"/>
  <c r="AI918" i="2" s="1"/>
  <c r="AE919" i="2"/>
  <c r="AI919" i="2"/>
  <c r="AE920" i="2"/>
  <c r="AI920" i="2"/>
  <c r="AE921" i="2"/>
  <c r="AI921" i="2" s="1"/>
  <c r="AE922" i="2"/>
  <c r="AI922" i="2" s="1"/>
  <c r="AE923" i="2"/>
  <c r="AI923" i="2"/>
  <c r="AE924" i="2"/>
  <c r="AI924" i="2"/>
  <c r="AE925" i="2"/>
  <c r="AI925" i="2" s="1"/>
  <c r="AE926" i="2"/>
  <c r="AI926" i="2" s="1"/>
  <c r="AE927" i="2"/>
  <c r="AI927" i="2"/>
  <c r="AE928" i="2"/>
  <c r="AI928" i="2"/>
  <c r="AE929" i="2"/>
  <c r="AI929" i="2" s="1"/>
  <c r="AE930" i="2"/>
  <c r="AI930" i="2" s="1"/>
  <c r="AI931" i="2"/>
  <c r="AE932" i="2"/>
  <c r="AI932" i="2"/>
  <c r="AI933" i="2"/>
  <c r="AC935" i="2"/>
  <c r="AD935" i="2"/>
  <c r="AG935" i="2"/>
  <c r="AH935" i="2"/>
  <c r="P913" i="2"/>
  <c r="S913" i="2" s="1"/>
  <c r="W913" i="2" s="1"/>
  <c r="P912" i="2"/>
  <c r="S912" i="2" s="1"/>
  <c r="W912" i="2" s="1"/>
  <c r="P911" i="2"/>
  <c r="P910" i="2"/>
  <c r="S910" i="2" s="1"/>
  <c r="W910" i="2" s="1"/>
  <c r="P909" i="2"/>
  <c r="S909" i="2" s="1"/>
  <c r="W909" i="2" s="1"/>
  <c r="P908" i="2"/>
  <c r="P907" i="2"/>
  <c r="S907" i="2" s="1"/>
  <c r="W907" i="2" s="1"/>
  <c r="P906" i="2"/>
  <c r="S906" i="2" s="1"/>
  <c r="W906" i="2" s="1"/>
  <c r="P905" i="2"/>
  <c r="P904" i="2"/>
  <c r="P903" i="2"/>
  <c r="S903" i="2" s="1"/>
  <c r="W903" i="2" s="1"/>
  <c r="P902" i="2"/>
  <c r="S902" i="2" s="1"/>
  <c r="W902" i="2" s="1"/>
  <c r="P901" i="2"/>
  <c r="S901" i="2" s="1"/>
  <c r="W901" i="2" s="1"/>
  <c r="U900" i="2"/>
  <c r="U935" i="2" s="1"/>
  <c r="P900" i="2"/>
  <c r="S900" i="2" s="1"/>
  <c r="W900" i="2" s="1"/>
  <c r="P899" i="2"/>
  <c r="S899" i="2" s="1"/>
  <c r="W899" i="2" s="1"/>
  <c r="P898" i="2"/>
  <c r="S898" i="2" s="1"/>
  <c r="W898" i="2" s="1"/>
  <c r="P897" i="2"/>
  <c r="S897" i="2" s="1"/>
  <c r="W897" i="2" s="1"/>
  <c r="P896" i="2"/>
  <c r="P895" i="2"/>
  <c r="P894" i="2"/>
  <c r="P893" i="2"/>
  <c r="P892" i="2"/>
  <c r="O893" i="2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S893" i="2"/>
  <c r="W893" i="2" s="1"/>
  <c r="S894" i="2"/>
  <c r="W894" i="2" s="1"/>
  <c r="S895" i="2"/>
  <c r="W895" i="2" s="1"/>
  <c r="S896" i="2"/>
  <c r="W896" i="2" s="1"/>
  <c r="S904" i="2"/>
  <c r="W904" i="2" s="1"/>
  <c r="S905" i="2"/>
  <c r="W905" i="2" s="1"/>
  <c r="S908" i="2"/>
  <c r="W908" i="2" s="1"/>
  <c r="S911" i="2"/>
  <c r="W911" i="2" s="1"/>
  <c r="S914" i="2"/>
  <c r="W914" i="2" s="1"/>
  <c r="S915" i="2"/>
  <c r="W915" i="2"/>
  <c r="S916" i="2"/>
  <c r="W916" i="2"/>
  <c r="S917" i="2"/>
  <c r="W917" i="2" s="1"/>
  <c r="S918" i="2"/>
  <c r="W918" i="2" s="1"/>
  <c r="S919" i="2"/>
  <c r="W919" i="2"/>
  <c r="S920" i="2"/>
  <c r="W920" i="2"/>
  <c r="S921" i="2"/>
  <c r="W921" i="2" s="1"/>
  <c r="S922" i="2"/>
  <c r="W922" i="2"/>
  <c r="S923" i="2"/>
  <c r="W923" i="2"/>
  <c r="S924" i="2"/>
  <c r="W924" i="2"/>
  <c r="S925" i="2"/>
  <c r="W925" i="2" s="1"/>
  <c r="S926" i="2"/>
  <c r="W926" i="2" s="1"/>
  <c r="S927" i="2"/>
  <c r="W927" i="2"/>
  <c r="S928" i="2"/>
  <c r="W928" i="2"/>
  <c r="S929" i="2"/>
  <c r="W929" i="2" s="1"/>
  <c r="S930" i="2"/>
  <c r="W930" i="2"/>
  <c r="W931" i="2"/>
  <c r="S932" i="2"/>
  <c r="W932" i="2"/>
  <c r="W933" i="2"/>
  <c r="Q935" i="2"/>
  <c r="R935" i="2"/>
  <c r="V935" i="2"/>
  <c r="I905" i="2"/>
  <c r="D905" i="2"/>
  <c r="D904" i="2"/>
  <c r="D903" i="2"/>
  <c r="G903" i="2" s="1"/>
  <c r="K903" i="2" s="1"/>
  <c r="D902" i="2"/>
  <c r="G902" i="2" s="1"/>
  <c r="K902" i="2" s="1"/>
  <c r="D901" i="2"/>
  <c r="D900" i="2"/>
  <c r="G900" i="2" s="1"/>
  <c r="K900" i="2" s="1"/>
  <c r="D899" i="2"/>
  <c r="G899" i="2" s="1"/>
  <c r="K899" i="2" s="1"/>
  <c r="D898" i="2"/>
  <c r="G898" i="2" s="1"/>
  <c r="K898" i="2" s="1"/>
  <c r="D897" i="2"/>
  <c r="G897" i="2" s="1"/>
  <c r="K897" i="2" s="1"/>
  <c r="D896" i="2"/>
  <c r="D895" i="2"/>
  <c r="D894" i="2"/>
  <c r="I893" i="2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4" i="2"/>
  <c r="K894" i="2" s="1"/>
  <c r="G895" i="2"/>
  <c r="K895" i="2" s="1"/>
  <c r="G896" i="2"/>
  <c r="K896" i="2" s="1"/>
  <c r="G901" i="2"/>
  <c r="K901" i="2" s="1"/>
  <c r="G904" i="2"/>
  <c r="K904" i="2" s="1"/>
  <c r="G905" i="2"/>
  <c r="K905" i="2" s="1"/>
  <c r="G906" i="2"/>
  <c r="K906" i="2"/>
  <c r="G907" i="2"/>
  <c r="K907" i="2"/>
  <c r="G908" i="2"/>
  <c r="K908" i="2"/>
  <c r="G909" i="2"/>
  <c r="K909" i="2"/>
  <c r="G910" i="2"/>
  <c r="K910" i="2"/>
  <c r="G911" i="2"/>
  <c r="K911" i="2"/>
  <c r="G912" i="2"/>
  <c r="K912" i="2"/>
  <c r="G913" i="2"/>
  <c r="K913" i="2"/>
  <c r="G914" i="2"/>
  <c r="K914" i="2"/>
  <c r="G915" i="2"/>
  <c r="K915" i="2"/>
  <c r="G916" i="2"/>
  <c r="K916" i="2"/>
  <c r="G917" i="2"/>
  <c r="K917" i="2"/>
  <c r="G918" i="2"/>
  <c r="K918" i="2"/>
  <c r="G919" i="2"/>
  <c r="K919" i="2"/>
  <c r="K920" i="2"/>
  <c r="K921" i="2"/>
  <c r="K922" i="2"/>
  <c r="K923" i="2"/>
  <c r="K924" i="2"/>
  <c r="G925" i="2"/>
  <c r="K925" i="2" s="1"/>
  <c r="G932" i="2"/>
  <c r="K932" i="2"/>
  <c r="E935" i="2"/>
  <c r="F935" i="2"/>
  <c r="J935" i="2"/>
  <c r="AE990" i="2" l="1"/>
  <c r="AI948" i="2"/>
  <c r="AI990" i="2" s="1"/>
  <c r="AI935" i="2"/>
  <c r="AE935" i="2"/>
  <c r="AB935" i="2"/>
  <c r="P935" i="2"/>
  <c r="S892" i="2"/>
  <c r="W892" i="2" s="1"/>
  <c r="W935" i="2" s="1"/>
  <c r="I935" i="2"/>
  <c r="G935" i="2"/>
  <c r="D935" i="2"/>
  <c r="K892" i="2"/>
  <c r="K935" i="2" s="1"/>
  <c r="P859" i="2"/>
  <c r="S859" i="2" s="1"/>
  <c r="W859" i="2" s="1"/>
  <c r="P858" i="2"/>
  <c r="P857" i="2"/>
  <c r="P856" i="2"/>
  <c r="P855" i="2"/>
  <c r="P854" i="2"/>
  <c r="P853" i="2"/>
  <c r="S853" i="2" s="1"/>
  <c r="W853" i="2" s="1"/>
  <c r="P852" i="2"/>
  <c r="S852" i="2" s="1"/>
  <c r="W852" i="2" s="1"/>
  <c r="P851" i="2"/>
  <c r="P850" i="2"/>
  <c r="S850" i="2" s="1"/>
  <c r="W850" i="2" s="1"/>
  <c r="P849" i="2"/>
  <c r="P848" i="2"/>
  <c r="P847" i="2"/>
  <c r="P846" i="2"/>
  <c r="P845" i="2"/>
  <c r="S845" i="2" s="1"/>
  <c r="W845" i="2" s="1"/>
  <c r="P844" i="2"/>
  <c r="S844" i="2" s="1"/>
  <c r="W844" i="2" s="1"/>
  <c r="P843" i="2"/>
  <c r="S843" i="2" s="1"/>
  <c r="W843" i="2" s="1"/>
  <c r="P842" i="2"/>
  <c r="S842" i="2" s="1"/>
  <c r="W842" i="2" s="1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S839" i="2"/>
  <c r="W839" i="2" s="1"/>
  <c r="U880" i="2"/>
  <c r="S846" i="2"/>
  <c r="W846" i="2" s="1"/>
  <c r="S847" i="2"/>
  <c r="W847" i="2" s="1"/>
  <c r="S848" i="2"/>
  <c r="W848" i="2" s="1"/>
  <c r="S849" i="2"/>
  <c r="W849" i="2" s="1"/>
  <c r="S851" i="2"/>
  <c r="W851" i="2" s="1"/>
  <c r="S854" i="2"/>
  <c r="W854" i="2" s="1"/>
  <c r="S855" i="2"/>
  <c r="W855" i="2" s="1"/>
  <c r="S856" i="2"/>
  <c r="W856" i="2" s="1"/>
  <c r="S857" i="2"/>
  <c r="W857" i="2" s="1"/>
  <c r="S858" i="2"/>
  <c r="W858" i="2" s="1"/>
  <c r="S860" i="2"/>
  <c r="W860" i="2"/>
  <c r="S861" i="2"/>
  <c r="W861" i="2"/>
  <c r="S862" i="2"/>
  <c r="W862" i="2"/>
  <c r="S863" i="2"/>
  <c r="W863" i="2" s="1"/>
  <c r="S864" i="2"/>
  <c r="W864" i="2"/>
  <c r="S865" i="2"/>
  <c r="W865" i="2"/>
  <c r="S866" i="2"/>
  <c r="W866" i="2" s="1"/>
  <c r="S867" i="2"/>
  <c r="W867" i="2"/>
  <c r="S868" i="2"/>
  <c r="W868" i="2"/>
  <c r="S869" i="2"/>
  <c r="W869" i="2"/>
  <c r="S870" i="2"/>
  <c r="W870" i="2"/>
  <c r="S871" i="2"/>
  <c r="W871" i="2"/>
  <c r="S872" i="2"/>
  <c r="W872" i="2" s="1"/>
  <c r="S873" i="2"/>
  <c r="W873" i="2"/>
  <c r="S874" i="2"/>
  <c r="W874" i="2"/>
  <c r="S875" i="2"/>
  <c r="W875" i="2"/>
  <c r="W876" i="2"/>
  <c r="S877" i="2"/>
  <c r="W877" i="2"/>
  <c r="W878" i="2"/>
  <c r="Q880" i="2"/>
  <c r="R880" i="2"/>
  <c r="V880" i="2"/>
  <c r="D850" i="2"/>
  <c r="G850" i="2" s="1"/>
  <c r="K850" i="2" s="1"/>
  <c r="D849" i="2"/>
  <c r="G849" i="2" s="1"/>
  <c r="K849" i="2" s="1"/>
  <c r="D848" i="2"/>
  <c r="G848" i="2" s="1"/>
  <c r="K848" i="2" s="1"/>
  <c r="D847" i="2"/>
  <c r="G847" i="2" s="1"/>
  <c r="K847" i="2" s="1"/>
  <c r="D846" i="2"/>
  <c r="G846" i="2" s="1"/>
  <c r="K846" i="2" s="1"/>
  <c r="D845" i="2"/>
  <c r="G845" i="2" s="1"/>
  <c r="K845" i="2" s="1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J837" i="2"/>
  <c r="J880" i="2" s="1"/>
  <c r="D837" i="2"/>
  <c r="I880" i="2"/>
  <c r="F880" i="2"/>
  <c r="E880" i="2"/>
  <c r="K877" i="2"/>
  <c r="G877" i="2"/>
  <c r="G870" i="2"/>
  <c r="K870" i="2" s="1"/>
  <c r="K869" i="2"/>
  <c r="K868" i="2"/>
  <c r="K867" i="2"/>
  <c r="K866" i="2"/>
  <c r="K865" i="2"/>
  <c r="G864" i="2"/>
  <c r="K864" i="2" s="1"/>
  <c r="K863" i="2"/>
  <c r="G863" i="2"/>
  <c r="G862" i="2"/>
  <c r="K862" i="2" s="1"/>
  <c r="G861" i="2"/>
  <c r="K861" i="2" s="1"/>
  <c r="G860" i="2"/>
  <c r="K860" i="2" s="1"/>
  <c r="K859" i="2"/>
  <c r="G859" i="2"/>
  <c r="G858" i="2"/>
  <c r="K858" i="2" s="1"/>
  <c r="G857" i="2"/>
  <c r="K857" i="2" s="1"/>
  <c r="G856" i="2"/>
  <c r="K856" i="2" s="1"/>
  <c r="G855" i="2"/>
  <c r="K855" i="2" s="1"/>
  <c r="G854" i="2"/>
  <c r="K854" i="2" s="1"/>
  <c r="G853" i="2"/>
  <c r="K853" i="2" s="1"/>
  <c r="G852" i="2"/>
  <c r="K852" i="2" s="1"/>
  <c r="G851" i="2"/>
  <c r="K851" i="2" s="1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S935" i="2" l="1"/>
  <c r="P880" i="2"/>
  <c r="S840" i="2"/>
  <c r="D880" i="2"/>
  <c r="G837" i="2"/>
  <c r="K837" i="2" s="1"/>
  <c r="G838" i="2"/>
  <c r="K838" i="2" s="1"/>
  <c r="AB842" i="2"/>
  <c r="AE842" i="2" s="1"/>
  <c r="AI842" i="2" s="1"/>
  <c r="AB841" i="2"/>
  <c r="AE841" i="2" s="1"/>
  <c r="AI841" i="2" s="1"/>
  <c r="AB840" i="2"/>
  <c r="AE840" i="2" s="1"/>
  <c r="AI840" i="2" s="1"/>
  <c r="AB839" i="2"/>
  <c r="AE839" i="2" s="1"/>
  <c r="AI839" i="2" s="1"/>
  <c r="AB838" i="2"/>
  <c r="AE838" i="2" s="1"/>
  <c r="AI838" i="2" s="1"/>
  <c r="AH837" i="2"/>
  <c r="AH880" i="2" s="1"/>
  <c r="AG837" i="2"/>
  <c r="AB837" i="2"/>
  <c r="AB880" i="2" s="1"/>
  <c r="AG880" i="2"/>
  <c r="AD880" i="2"/>
  <c r="AC880" i="2"/>
  <c r="AI878" i="2"/>
  <c r="AE877" i="2"/>
  <c r="AI877" i="2" s="1"/>
  <c r="AI876" i="2"/>
  <c r="AI875" i="2"/>
  <c r="AE875" i="2"/>
  <c r="AI874" i="2"/>
  <c r="AE874" i="2"/>
  <c r="AE873" i="2"/>
  <c r="AI873" i="2" s="1"/>
  <c r="AI872" i="2"/>
  <c r="AE872" i="2"/>
  <c r="AE871" i="2"/>
  <c r="AI871" i="2" s="1"/>
  <c r="AE870" i="2"/>
  <c r="AI870" i="2" s="1"/>
  <c r="AE869" i="2"/>
  <c r="AI869" i="2" s="1"/>
  <c r="AE868" i="2"/>
  <c r="AI868" i="2" s="1"/>
  <c r="AI867" i="2"/>
  <c r="AE867" i="2"/>
  <c r="AI866" i="2"/>
  <c r="AE866" i="2"/>
  <c r="AE865" i="2"/>
  <c r="AI865" i="2" s="1"/>
  <c r="AI864" i="2"/>
  <c r="AE864" i="2"/>
  <c r="AE863" i="2"/>
  <c r="AI863" i="2" s="1"/>
  <c r="AE862" i="2"/>
  <c r="AI862" i="2" s="1"/>
  <c r="AE861" i="2"/>
  <c r="AI861" i="2" s="1"/>
  <c r="AE860" i="2"/>
  <c r="AI860" i="2" s="1"/>
  <c r="AI859" i="2"/>
  <c r="AE859" i="2"/>
  <c r="AI858" i="2"/>
  <c r="AE858" i="2"/>
  <c r="AE857" i="2"/>
  <c r="AI857" i="2" s="1"/>
  <c r="AI856" i="2"/>
  <c r="AE856" i="2"/>
  <c r="AE855" i="2"/>
  <c r="AI855" i="2" s="1"/>
  <c r="AE854" i="2"/>
  <c r="AI854" i="2" s="1"/>
  <c r="AE853" i="2"/>
  <c r="AI853" i="2" s="1"/>
  <c r="AE852" i="2"/>
  <c r="AI852" i="2" s="1"/>
  <c r="AI851" i="2"/>
  <c r="AE851" i="2"/>
  <c r="AI850" i="2"/>
  <c r="AE850" i="2"/>
  <c r="AE849" i="2"/>
  <c r="AI849" i="2" s="1"/>
  <c r="AI848" i="2"/>
  <c r="AE848" i="2"/>
  <c r="AE847" i="2"/>
  <c r="AI847" i="2" s="1"/>
  <c r="AE846" i="2"/>
  <c r="AI846" i="2" s="1"/>
  <c r="AE845" i="2"/>
  <c r="AI845" i="2" s="1"/>
  <c r="AE844" i="2"/>
  <c r="AI844" i="2" s="1"/>
  <c r="AE843" i="2"/>
  <c r="AI843" i="2" s="1"/>
  <c r="AA838" i="2"/>
  <c r="AA839" i="2" s="1"/>
  <c r="AA840" i="2" s="1"/>
  <c r="AA841" i="2" s="1"/>
  <c r="AA842" i="2" s="1"/>
  <c r="W840" i="2" l="1"/>
  <c r="W880" i="2" s="1"/>
  <c r="S880" i="2"/>
  <c r="K880" i="2"/>
  <c r="G880" i="2"/>
  <c r="AE837" i="2"/>
  <c r="P794" i="2"/>
  <c r="S794" i="2" s="1"/>
  <c r="W794" i="2" s="1"/>
  <c r="P793" i="2"/>
  <c r="P792" i="2"/>
  <c r="S792" i="2" s="1"/>
  <c r="W792" i="2" s="1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S787" i="2" s="1"/>
  <c r="W787" i="2" s="1"/>
  <c r="P786" i="2"/>
  <c r="P785" i="2"/>
  <c r="U784" i="2"/>
  <c r="P784" i="2"/>
  <c r="P783" i="2"/>
  <c r="S783" i="2" s="1"/>
  <c r="W783" i="2" s="1"/>
  <c r="P782" i="2"/>
  <c r="S782" i="2" s="1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S784" i="2"/>
  <c r="W784" i="2" s="1"/>
  <c r="S785" i="2"/>
  <c r="W785" i="2" s="1"/>
  <c r="S786" i="2"/>
  <c r="W786" i="2" s="1"/>
  <c r="S793" i="2"/>
  <c r="W793" i="2" s="1"/>
  <c r="S795" i="2"/>
  <c r="W795" i="2" s="1"/>
  <c r="S796" i="2"/>
  <c r="W796" i="2" s="1"/>
  <c r="S797" i="2"/>
  <c r="W797" i="2" s="1"/>
  <c r="S798" i="2"/>
  <c r="W798" i="2" s="1"/>
  <c r="V825" i="2"/>
  <c r="S799" i="2"/>
  <c r="W799" i="2"/>
  <c r="S800" i="2"/>
  <c r="W800" i="2"/>
  <c r="S801" i="2"/>
  <c r="W801" i="2"/>
  <c r="S802" i="2"/>
  <c r="W802" i="2"/>
  <c r="S803" i="2"/>
  <c r="W803" i="2"/>
  <c r="S804" i="2"/>
  <c r="W804" i="2"/>
  <c r="S805" i="2"/>
  <c r="W805" i="2" s="1"/>
  <c r="S806" i="2"/>
  <c r="W806" i="2" s="1"/>
  <c r="S807" i="2"/>
  <c r="W807" i="2"/>
  <c r="S808" i="2"/>
  <c r="W808" i="2"/>
  <c r="S809" i="2"/>
  <c r="W809" i="2"/>
  <c r="S810" i="2"/>
  <c r="W810" i="2"/>
  <c r="S811" i="2"/>
  <c r="W811" i="2"/>
  <c r="S812" i="2"/>
  <c r="W812" i="2"/>
  <c r="S813" i="2"/>
  <c r="W813" i="2" s="1"/>
  <c r="S814" i="2"/>
  <c r="W814" i="2" s="1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AE880" i="2" l="1"/>
  <c r="AI837" i="2"/>
  <c r="AI880" i="2" s="1"/>
  <c r="W825" i="2"/>
  <c r="U825" i="2"/>
  <c r="S825" i="2"/>
  <c r="P825" i="2"/>
  <c r="AB737" i="2"/>
  <c r="AB736" i="2"/>
  <c r="AB735" i="2"/>
  <c r="AE735" i="2" s="1"/>
  <c r="AI735" i="2" s="1"/>
  <c r="AB734" i="2"/>
  <c r="AE734" i="2" s="1"/>
  <c r="AI734" i="2" s="1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B728" i="2"/>
  <c r="AB727" i="2"/>
  <c r="AE727" i="2"/>
  <c r="AI727" i="2" s="1"/>
  <c r="AA728" i="2"/>
  <c r="AE728" i="2"/>
  <c r="AI728" i="2" s="1"/>
  <c r="AA729" i="2"/>
  <c r="AA730" i="2" s="1"/>
  <c r="AA731" i="2" s="1"/>
  <c r="AA732" i="2" s="1"/>
  <c r="AA733" i="2" s="1"/>
  <c r="AA734" i="2" s="1"/>
  <c r="AA735" i="2" s="1"/>
  <c r="AA736" i="2" s="1"/>
  <c r="AA737" i="2" s="1"/>
  <c r="AE730" i="2"/>
  <c r="AI730" i="2" s="1"/>
  <c r="AE736" i="2"/>
  <c r="AI736" i="2" s="1"/>
  <c r="AE737" i="2"/>
  <c r="AI737" i="2" s="1"/>
  <c r="AE738" i="2"/>
  <c r="AI738" i="2"/>
  <c r="AE739" i="2"/>
  <c r="AI739" i="2" s="1"/>
  <c r="AE740" i="2"/>
  <c r="AI740" i="2"/>
  <c r="AE741" i="2"/>
  <c r="AI741" i="2"/>
  <c r="AE742" i="2"/>
  <c r="AI742" i="2" s="1"/>
  <c r="AE743" i="2"/>
  <c r="AI743" i="2"/>
  <c r="AE744" i="2"/>
  <c r="AI744" i="2" s="1"/>
  <c r="AE745" i="2"/>
  <c r="AI745" i="2"/>
  <c r="AE746" i="2"/>
  <c r="AI746" i="2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/>
  <c r="AE755" i="2"/>
  <c r="AI755" i="2"/>
  <c r="AE756" i="2"/>
  <c r="AI756" i="2" s="1"/>
  <c r="AE757" i="2"/>
  <c r="AI757" i="2"/>
  <c r="AE758" i="2"/>
  <c r="AI758" i="2"/>
  <c r="AE759" i="2"/>
  <c r="AI759" i="2"/>
  <c r="AE760" i="2"/>
  <c r="AI760" i="2" s="1"/>
  <c r="AE761" i="2"/>
  <c r="AI761" i="2"/>
  <c r="AE762" i="2"/>
  <c r="AI762" i="2"/>
  <c r="AE763" i="2"/>
  <c r="AI763" i="2"/>
  <c r="AE764" i="2"/>
  <c r="AI764" i="2" s="1"/>
  <c r="AE765" i="2"/>
  <c r="AI765" i="2"/>
  <c r="AI766" i="2"/>
  <c r="AE767" i="2"/>
  <c r="AI767" i="2" s="1"/>
  <c r="AI768" i="2"/>
  <c r="AC770" i="2"/>
  <c r="AD770" i="2"/>
  <c r="AG770" i="2"/>
  <c r="AH770" i="2"/>
  <c r="D745" i="2"/>
  <c r="G745" i="2" s="1"/>
  <c r="K745" i="2" s="1"/>
  <c r="D744" i="2"/>
  <c r="G744" i="2" s="1"/>
  <c r="K744" i="2" s="1"/>
  <c r="D743" i="2"/>
  <c r="G743" i="2" s="1"/>
  <c r="K743" i="2" s="1"/>
  <c r="D742" i="2"/>
  <c r="D741" i="2"/>
  <c r="D740" i="2"/>
  <c r="D739" i="2"/>
  <c r="G739" i="2" s="1"/>
  <c r="K739" i="2" s="1"/>
  <c r="D738" i="2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D729" i="2"/>
  <c r="D728" i="2"/>
  <c r="D727" i="2"/>
  <c r="G727" i="2"/>
  <c r="C728" i="2"/>
  <c r="C729" i="2" s="1"/>
  <c r="C730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8" i="2"/>
  <c r="K738" i="2" s="1"/>
  <c r="G740" i="2"/>
  <c r="K740" i="2" s="1"/>
  <c r="G741" i="2"/>
  <c r="K741" i="2" s="1"/>
  <c r="G742" i="2"/>
  <c r="K742" i="2" s="1"/>
  <c r="I770" i="2"/>
  <c r="G746" i="2"/>
  <c r="K746" i="2" s="1"/>
  <c r="G747" i="2"/>
  <c r="K747" i="2"/>
  <c r="G748" i="2"/>
  <c r="K748" i="2"/>
  <c r="G749" i="2"/>
  <c r="K749" i="2"/>
  <c r="G750" i="2"/>
  <c r="K750" i="2" s="1"/>
  <c r="G751" i="2"/>
  <c r="K751" i="2"/>
  <c r="G752" i="2"/>
  <c r="K752" i="2"/>
  <c r="G753" i="2"/>
  <c r="K753" i="2"/>
  <c r="G754" i="2"/>
  <c r="K754" i="2"/>
  <c r="K755" i="2"/>
  <c r="K756" i="2"/>
  <c r="K757" i="2"/>
  <c r="K758" i="2"/>
  <c r="K759" i="2"/>
  <c r="G760" i="2"/>
  <c r="K760" i="2"/>
  <c r="G767" i="2"/>
  <c r="K767" i="2" s="1"/>
  <c r="E770" i="2"/>
  <c r="F770" i="2"/>
  <c r="J770" i="2"/>
  <c r="AB770" i="2" l="1"/>
  <c r="AI770" i="2"/>
  <c r="AE770" i="2"/>
  <c r="D770" i="2"/>
  <c r="K727" i="2"/>
  <c r="K770" i="2" s="1"/>
  <c r="G770" i="2"/>
  <c r="V743" i="2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<sst xmlns="http://schemas.openxmlformats.org/spreadsheetml/2006/main" count="1936" uniqueCount="111">
  <si>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</si>
  <si>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</si>
  <si>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</si>
  <si>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</si>
  <si>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</si>
  <si>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</si>
  <si>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</si>
  <si>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</si>
  <si>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</si>
  <si>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</si>
  <si>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</si>
  <si>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</si>
  <si>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</si>
  <si>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</si>
  <si>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</si>
  <si>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</si>
  <si>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</si>
  <si>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</si>
  <si>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</si>
  <si>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</si>
  <si>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</si>
  <si>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</si>
  <si>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</si>
  <si>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</si>
  <si>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</si>
  <si>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</si>
  <si>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</si>
  <si>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</si>
  <si>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</si>
  <si>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</si>
  <si>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</si>
  <si>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</si>
  <si>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</si>
  <si>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</si>
  <si>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</si>
  <si>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</si>
  <si>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</si>
  <si>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</si>
  <si>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</si>
  <si>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</si>
  <si>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</si>
  <si>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</si>
  <si>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</si>
  <si>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</si>
  <si>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</si>
  <si>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</si>
  <si>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</si>
  <si>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</si>
  <si>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</si>
  <si>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</si>
  <si>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</si>
  <si>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</si>
  <si>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</si>
  <si>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</si>
  <si>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</si>
  <si>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</si>
  <si>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</si>
  <si>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</si>
  <si>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</si>
  <si>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</si>
  <si>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</si>
  <si>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</si>
  <si>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</si>
  <si>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</si>
  <si>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</si>
  <si>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</si>
  <si>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</si>
  <si>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</si>
  <si>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</si>
  <si>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</si>
  <si>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</si>
  <si>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</si>
  <si>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</si>
  <si>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</si>
  <si>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</si>
  <si>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</si>
  <si>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</si>
  <si>
    <t>5247-5365/5251-5267/5171-5181</t>
  </si>
  <si>
    <t>AUGUST 20. 2025</t>
  </si>
  <si>
    <t>08/20/2025</t>
  </si>
  <si>
    <t>AUGUST 21. 2025</t>
  </si>
  <si>
    <t>08/21/2025</t>
  </si>
  <si>
    <t>5366-5379/5301-5323/5182-5187</t>
  </si>
  <si>
    <t>/5268-5280/</t>
  </si>
  <si>
    <t>AUGUST 22. 2025</t>
  </si>
  <si>
    <t>08/22/2025</t>
  </si>
  <si>
    <t>5380-5393/5324-5345/5165-5200,4697-4900</t>
  </si>
  <si>
    <t>AUGUST 23. 2025</t>
  </si>
  <si>
    <t>08/23/2025</t>
  </si>
  <si>
    <t>5394-5400,5501-5513/5350-5349,5551-5555/5451-5454,5401-5405</t>
  </si>
  <si>
    <t>PORMENTO, ESTEMARK</t>
  </si>
  <si>
    <t>3-A</t>
  </si>
  <si>
    <t>3-B</t>
  </si>
  <si>
    <t>AUGUST 25. 2025</t>
  </si>
  <si>
    <t>08/25/2025</t>
  </si>
  <si>
    <t>5514-5519/5556-5561/5406-5413</t>
  </si>
  <si>
    <t>AUGUST 26. 2025</t>
  </si>
  <si>
    <t>08/26/2025</t>
  </si>
  <si>
    <t>5520-5536/5562-5584/5414-5416</t>
  </si>
  <si>
    <t>AUGUST 28. 2025</t>
  </si>
  <si>
    <t>08/28/2025</t>
  </si>
  <si>
    <t>5537-5548/5585-5586/5417-5423</t>
  </si>
  <si>
    <t>AUGUST 29. 2025</t>
  </si>
  <si>
    <t>08/29/2025</t>
  </si>
  <si>
    <t>5601-5606,5047-5099/5281-5284,5587-5600/5426-5455</t>
  </si>
  <si>
    <t>AUGUST 30. 2025</t>
  </si>
  <si>
    <t>08/30/2025</t>
  </si>
  <si>
    <t>AUGUST 31. 2025</t>
  </si>
  <si>
    <t>08/31/2025</t>
  </si>
  <si>
    <t>5607-5636/5286-5289/5456-5460</t>
  </si>
  <si>
    <t>5637-5642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</si>
</sst>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3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14" fillId="0" borderId="1" xfId="1" applyFont="1" applyBorder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9" zoomScaleNormal="100" workbookViewId="0">
      <selection activeCell="G40" sqref="G4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25" t="s">
        <v>38</v>
      </c>
      <c r="B6" s="125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40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 t="s">
        <v>77</v>
      </c>
      <c r="D28" s="16">
        <f t="shared" si="0"/>
        <v>505654</v>
      </c>
      <c r="F28" s="14">
        <v>133104</v>
      </c>
      <c r="G28" s="14">
        <v>197292</v>
      </c>
      <c r="H28" s="14">
        <v>175258</v>
      </c>
      <c r="I28" s="14"/>
      <c r="J28" s="17">
        <f t="shared" si="1"/>
        <v>505654</v>
      </c>
    </row>
    <row r="29" spans="1:10" x14ac:dyDescent="0.25">
      <c r="A29" s="10">
        <f t="shared" si="2"/>
        <v>20</v>
      </c>
      <c r="B29" s="56" t="s">
        <v>9</v>
      </c>
      <c r="C29" s="12" t="s">
        <v>83</v>
      </c>
      <c r="D29" s="16">
        <f t="shared" si="0"/>
        <v>67223</v>
      </c>
      <c r="F29" s="14"/>
      <c r="G29" s="14">
        <v>67223</v>
      </c>
      <c r="H29" s="14"/>
      <c r="I29" s="14"/>
      <c r="J29" s="17">
        <f t="shared" si="1"/>
        <v>67223</v>
      </c>
    </row>
    <row r="30" spans="1:10" x14ac:dyDescent="0.25">
      <c r="A30" s="10">
        <f t="shared" si="2"/>
        <v>21</v>
      </c>
      <c r="B30" s="11" t="s">
        <v>31</v>
      </c>
      <c r="C30" s="12" t="s">
        <v>82</v>
      </c>
      <c r="D30" s="16">
        <f t="shared" si="0"/>
        <v>794367.5</v>
      </c>
      <c r="F30" s="14">
        <v>310216</v>
      </c>
      <c r="G30" s="14">
        <v>224441.5</v>
      </c>
      <c r="H30" s="14">
        <v>259710</v>
      </c>
      <c r="I30" s="14"/>
      <c r="J30" s="17">
        <f t="shared" si="1"/>
        <v>794367.5</v>
      </c>
    </row>
    <row r="31" spans="1:10" x14ac:dyDescent="0.25">
      <c r="A31" s="10">
        <f t="shared" si="2"/>
        <v>22</v>
      </c>
      <c r="B31" s="43" t="s">
        <v>4</v>
      </c>
      <c r="C31" s="12" t="s">
        <v>86</v>
      </c>
      <c r="D31" s="16">
        <f t="shared" si="0"/>
        <v>413371.5</v>
      </c>
      <c r="E31" s="14"/>
      <c r="F31" s="14">
        <v>151394</v>
      </c>
      <c r="G31" s="14">
        <v>132256.5</v>
      </c>
      <c r="H31" s="14">
        <v>129721</v>
      </c>
      <c r="I31" s="14"/>
      <c r="J31" s="17">
        <f t="shared" si="1"/>
        <v>413371.5</v>
      </c>
    </row>
    <row r="32" spans="1:10" x14ac:dyDescent="0.25">
      <c r="A32" s="10">
        <f t="shared" si="2"/>
        <v>23</v>
      </c>
      <c r="B32" s="56" t="s">
        <v>5</v>
      </c>
      <c r="C32" s="119" t="s">
        <v>89</v>
      </c>
      <c r="D32" s="16">
        <f t="shared" si="0"/>
        <v>1008368</v>
      </c>
      <c r="E32" s="15"/>
      <c r="F32" s="15">
        <v>311017</v>
      </c>
      <c r="G32" s="14">
        <v>316629.5</v>
      </c>
      <c r="H32" s="54">
        <v>380721.5</v>
      </c>
      <c r="I32" s="54"/>
      <c r="J32" s="17">
        <f t="shared" si="1"/>
        <v>1008368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 t="s">
        <v>95</v>
      </c>
      <c r="D34" s="16">
        <f t="shared" si="0"/>
        <v>603557</v>
      </c>
      <c r="E34" s="14"/>
      <c r="F34" s="15">
        <v>154137</v>
      </c>
      <c r="G34" s="14">
        <v>148388</v>
      </c>
      <c r="H34" s="14">
        <v>301032</v>
      </c>
      <c r="I34" s="14"/>
      <c r="J34" s="17">
        <f t="shared" si="1"/>
        <v>603557</v>
      </c>
    </row>
    <row r="35" spans="1:10" x14ac:dyDescent="0.25">
      <c r="A35" s="10">
        <f t="shared" si="2"/>
        <v>26</v>
      </c>
      <c r="B35" s="43" t="s">
        <v>8</v>
      </c>
      <c r="C35" s="12" t="s">
        <v>98</v>
      </c>
      <c r="D35" s="16">
        <f t="shared" si="0"/>
        <v>569103.5</v>
      </c>
      <c r="E35" s="14"/>
      <c r="F35" s="14">
        <v>135833</v>
      </c>
      <c r="G35" s="14">
        <v>112072.5</v>
      </c>
      <c r="H35" s="14">
        <v>321198</v>
      </c>
      <c r="I35" s="14"/>
      <c r="J35" s="17">
        <f t="shared" si="1"/>
        <v>569103.5</v>
      </c>
    </row>
    <row r="36" spans="1:10" x14ac:dyDescent="0.25">
      <c r="A36" s="10">
        <f t="shared" si="2"/>
        <v>27</v>
      </c>
      <c r="B36" s="56" t="s">
        <v>9</v>
      </c>
      <c r="C36" s="44" t="s">
        <v>52</v>
      </c>
      <c r="D36" s="55" t="s">
        <v>52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 t="s">
        <v>101</v>
      </c>
      <c r="D37" s="16">
        <f t="shared" si="0"/>
        <v>1172761</v>
      </c>
      <c r="E37" s="14"/>
      <c r="F37" s="14">
        <v>843811</v>
      </c>
      <c r="G37" s="14">
        <v>191720</v>
      </c>
      <c r="H37" s="14">
        <v>137230</v>
      </c>
      <c r="I37" s="14"/>
      <c r="J37" s="17">
        <f t="shared" si="1"/>
        <v>1172761</v>
      </c>
    </row>
    <row r="38" spans="1:10" x14ac:dyDescent="0.25">
      <c r="A38" s="10">
        <f t="shared" si="2"/>
        <v>29</v>
      </c>
      <c r="B38" s="43" t="s">
        <v>4</v>
      </c>
      <c r="C38" s="12" t="s">
        <v>104</v>
      </c>
      <c r="D38" s="16">
        <f t="shared" ref="D38:D40" si="3">J38</f>
        <v>917011</v>
      </c>
      <c r="E38" s="14"/>
      <c r="F38" s="14">
        <v>150967</v>
      </c>
      <c r="G38" s="14">
        <v>121925</v>
      </c>
      <c r="H38" s="14">
        <v>644119</v>
      </c>
      <c r="I38" s="14"/>
      <c r="J38" s="17">
        <f t="shared" si="1"/>
        <v>917011</v>
      </c>
    </row>
    <row r="39" spans="1:10" x14ac:dyDescent="0.25">
      <c r="A39" s="10">
        <f t="shared" si="2"/>
        <v>30</v>
      </c>
      <c r="B39" s="56" t="s">
        <v>5</v>
      </c>
      <c r="C39" s="12" t="s">
        <v>109</v>
      </c>
      <c r="D39" s="16">
        <f t="shared" si="3"/>
        <v>1608876</v>
      </c>
      <c r="E39" s="14"/>
      <c r="F39" s="14">
        <v>551821</v>
      </c>
      <c r="G39" s="14">
        <v>369611</v>
      </c>
      <c r="H39" s="14">
        <v>687444</v>
      </c>
      <c r="I39" s="14"/>
      <c r="J39" s="17">
        <f t="shared" si="1"/>
        <v>1608876</v>
      </c>
    </row>
    <row r="40" spans="1:10" x14ac:dyDescent="0.25">
      <c r="A40" s="10">
        <f t="shared" si="2"/>
        <v>31</v>
      </c>
      <c r="B40" s="13" t="s">
        <v>6</v>
      </c>
      <c r="C40" s="12" t="s">
        <v>110</v>
      </c>
      <c r="D40" s="16">
        <f t="shared" si="3"/>
        <v>147839</v>
      </c>
      <c r="E40" s="14"/>
      <c r="F40" s="14">
        <v>147839</v>
      </c>
      <c r="G40" s="14"/>
      <c r="H40" s="14"/>
      <c r="I40" s="14"/>
      <c r="J40" s="17">
        <f t="shared" si="1"/>
        <v>147839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26" t="s">
        <v>10</v>
      </c>
      <c r="B42" s="127"/>
      <c r="C42" s="128"/>
      <c r="D42" s="48">
        <f>SUM(D2:D39)</f>
        <v>13843153.5</v>
      </c>
      <c r="J42" s="49">
        <f>SUM(J10:J41)</f>
        <v>13990992.5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1266" zoomScale="85" zoomScaleNormal="85" workbookViewId="0">
      <selection activeCell="G1320" sqref="G132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33" t="s">
        <v>18</v>
      </c>
      <c r="E10" s="133"/>
      <c r="F10" s="81"/>
      <c r="G10" s="27"/>
      <c r="I10" s="131" t="s">
        <v>19</v>
      </c>
      <c r="J10" s="132"/>
      <c r="K10" s="129" t="s">
        <v>20</v>
      </c>
      <c r="N10" s="25"/>
      <c r="O10" s="26"/>
      <c r="P10" s="133" t="s">
        <v>18</v>
      </c>
      <c r="Q10" s="133"/>
      <c r="R10" s="81"/>
      <c r="S10" s="27"/>
      <c r="U10" s="131" t="s">
        <v>19</v>
      </c>
      <c r="V10" s="132"/>
      <c r="W10" s="129" t="s">
        <v>20</v>
      </c>
      <c r="Z10" s="25"/>
      <c r="AA10" s="26"/>
      <c r="AB10" s="133" t="s">
        <v>18</v>
      </c>
      <c r="AC10" s="133"/>
      <c r="AD10" s="81"/>
      <c r="AE10" s="27"/>
      <c r="AG10" s="131" t="s">
        <v>19</v>
      </c>
      <c r="AH10" s="132"/>
      <c r="AI10" s="129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30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30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30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33" t="s">
        <v>18</v>
      </c>
      <c r="E65" s="133"/>
      <c r="F65" s="90"/>
      <c r="G65" s="27"/>
      <c r="I65" s="131" t="s">
        <v>19</v>
      </c>
      <c r="J65" s="132"/>
      <c r="K65" s="129" t="s">
        <v>20</v>
      </c>
      <c r="N65" s="25"/>
      <c r="O65" s="26"/>
      <c r="P65" s="133" t="s">
        <v>18</v>
      </c>
      <c r="Q65" s="133"/>
      <c r="R65" s="91"/>
      <c r="S65" s="27"/>
      <c r="U65" s="131" t="s">
        <v>19</v>
      </c>
      <c r="V65" s="132"/>
      <c r="W65" s="129" t="s">
        <v>20</v>
      </c>
      <c r="Z65" s="25"/>
      <c r="AA65" s="26"/>
      <c r="AB65" s="133" t="s">
        <v>18</v>
      </c>
      <c r="AC65" s="133"/>
      <c r="AD65" s="90"/>
      <c r="AE65" s="27"/>
      <c r="AG65" s="131" t="s">
        <v>19</v>
      </c>
      <c r="AH65" s="132"/>
      <c r="AI65" s="129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30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30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30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35"/>
      <c r="AO67" s="135"/>
      <c r="AP67" s="63"/>
      <c r="AQ67" s="62"/>
      <c r="AR67" s="135"/>
      <c r="AS67" s="135"/>
      <c r="AT67" s="134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34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33" t="s">
        <v>18</v>
      </c>
      <c r="E120" s="133"/>
      <c r="F120" s="92"/>
      <c r="G120" s="27"/>
      <c r="I120" s="131" t="s">
        <v>19</v>
      </c>
      <c r="J120" s="132"/>
      <c r="K120" s="129" t="s">
        <v>20</v>
      </c>
      <c r="N120" s="25"/>
      <c r="O120" s="26"/>
      <c r="P120" s="133" t="s">
        <v>18</v>
      </c>
      <c r="Q120" s="133"/>
      <c r="R120" s="92"/>
      <c r="S120" s="27"/>
      <c r="U120" s="131" t="s">
        <v>19</v>
      </c>
      <c r="V120" s="132"/>
      <c r="W120" s="129" t="s">
        <v>20</v>
      </c>
      <c r="Z120" s="25"/>
      <c r="AA120" s="26"/>
      <c r="AB120" s="133" t="s">
        <v>18</v>
      </c>
      <c r="AC120" s="133"/>
      <c r="AD120" s="92"/>
      <c r="AE120" s="27"/>
      <c r="AG120" s="131" t="s">
        <v>19</v>
      </c>
      <c r="AH120" s="132"/>
      <c r="AI120" s="12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30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30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3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33" t="s">
        <v>18</v>
      </c>
      <c r="E175" s="133"/>
      <c r="F175" s="93"/>
      <c r="G175" s="27"/>
      <c r="I175" s="131" t="s">
        <v>19</v>
      </c>
      <c r="J175" s="132"/>
      <c r="K175" s="129" t="s">
        <v>20</v>
      </c>
      <c r="N175" s="25"/>
      <c r="O175" s="26"/>
      <c r="P175" s="133" t="s">
        <v>18</v>
      </c>
      <c r="Q175" s="133"/>
      <c r="R175" s="94"/>
      <c r="S175" s="27"/>
      <c r="U175" s="131" t="s">
        <v>19</v>
      </c>
      <c r="V175" s="132"/>
      <c r="W175" s="129" t="s">
        <v>20</v>
      </c>
      <c r="Z175" s="25"/>
      <c r="AA175" s="26"/>
      <c r="AB175" s="133" t="s">
        <v>18</v>
      </c>
      <c r="AC175" s="133"/>
      <c r="AD175" s="93"/>
      <c r="AE175" s="27"/>
      <c r="AG175" s="131" t="s">
        <v>19</v>
      </c>
      <c r="AH175" s="132"/>
      <c r="AI175" s="129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30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30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30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35"/>
      <c r="AO181" s="135"/>
      <c r="AP181" s="63"/>
      <c r="AQ181" s="62"/>
      <c r="AR181" s="135"/>
      <c r="AS181" s="135"/>
      <c r="AT181" s="134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34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33" t="s">
        <v>18</v>
      </c>
      <c r="E230" s="133"/>
      <c r="F230" s="95"/>
      <c r="G230" s="27"/>
      <c r="I230" s="131" t="s">
        <v>19</v>
      </c>
      <c r="J230" s="132"/>
      <c r="K230" s="129" t="s">
        <v>20</v>
      </c>
      <c r="N230" s="25"/>
      <c r="O230" s="26"/>
      <c r="P230" s="133" t="s">
        <v>18</v>
      </c>
      <c r="Q230" s="133"/>
      <c r="R230" s="95"/>
      <c r="S230" s="27"/>
      <c r="U230" s="131" t="s">
        <v>19</v>
      </c>
      <c r="V230" s="132"/>
      <c r="W230" s="129" t="s">
        <v>20</v>
      </c>
      <c r="Z230" s="25"/>
      <c r="AA230" s="26"/>
      <c r="AB230" s="133" t="s">
        <v>18</v>
      </c>
      <c r="AC230" s="133"/>
      <c r="AD230" s="95"/>
      <c r="AE230" s="27"/>
      <c r="AG230" s="131" t="s">
        <v>19</v>
      </c>
      <c r="AH230" s="132"/>
      <c r="AI230" s="12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30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30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3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33" t="s">
        <v>18</v>
      </c>
      <c r="E285" s="133"/>
      <c r="F285" s="96"/>
      <c r="G285" s="27"/>
      <c r="I285" s="131" t="s">
        <v>19</v>
      </c>
      <c r="J285" s="132"/>
      <c r="K285" s="129" t="s">
        <v>20</v>
      </c>
      <c r="N285" s="25"/>
      <c r="O285" s="26"/>
      <c r="P285" s="133" t="s">
        <v>18</v>
      </c>
      <c r="Q285" s="133"/>
      <c r="R285" s="96"/>
      <c r="S285" s="27"/>
      <c r="U285" s="131" t="s">
        <v>19</v>
      </c>
      <c r="V285" s="132"/>
      <c r="W285" s="129" t="s">
        <v>20</v>
      </c>
      <c r="Z285" s="25"/>
      <c r="AA285" s="26"/>
      <c r="AB285" s="133" t="s">
        <v>18</v>
      </c>
      <c r="AC285" s="133"/>
      <c r="AD285" s="96"/>
      <c r="AE285" s="27"/>
      <c r="AG285" s="131" t="s">
        <v>19</v>
      </c>
      <c r="AH285" s="132"/>
      <c r="AI285" s="129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30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30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30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33" t="s">
        <v>18</v>
      </c>
      <c r="E340" s="133"/>
      <c r="F340" s="97"/>
      <c r="G340" s="27"/>
      <c r="I340" s="131" t="s">
        <v>19</v>
      </c>
      <c r="J340" s="132"/>
      <c r="K340" s="129" t="s">
        <v>20</v>
      </c>
      <c r="N340" s="25"/>
      <c r="O340" s="26"/>
      <c r="P340" s="133" t="s">
        <v>18</v>
      </c>
      <c r="Q340" s="133"/>
      <c r="R340" s="97"/>
      <c r="S340" s="27"/>
      <c r="U340" s="131" t="s">
        <v>19</v>
      </c>
      <c r="V340" s="132"/>
      <c r="W340" s="129" t="s">
        <v>20</v>
      </c>
      <c r="Z340" s="25"/>
      <c r="AA340" s="26"/>
      <c r="AB340" s="133" t="s">
        <v>18</v>
      </c>
      <c r="AC340" s="133"/>
      <c r="AD340" s="97"/>
      <c r="AE340" s="27"/>
      <c r="AG340" s="131" t="s">
        <v>19</v>
      </c>
      <c r="AH340" s="132"/>
      <c r="AI340" s="129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30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30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30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33" t="s">
        <v>18</v>
      </c>
      <c r="E395" s="133"/>
      <c r="F395" s="98"/>
      <c r="G395" s="27"/>
      <c r="I395" s="131" t="s">
        <v>19</v>
      </c>
      <c r="J395" s="132"/>
      <c r="K395" s="129" t="s">
        <v>20</v>
      </c>
      <c r="N395" s="25"/>
      <c r="O395" s="26"/>
      <c r="P395" s="133" t="s">
        <v>18</v>
      </c>
      <c r="Q395" s="133"/>
      <c r="R395" s="98"/>
      <c r="S395" s="27"/>
      <c r="U395" s="131" t="s">
        <v>19</v>
      </c>
      <c r="V395" s="132"/>
      <c r="W395" s="129" t="s">
        <v>20</v>
      </c>
      <c r="Z395" s="25"/>
      <c r="AA395" s="26"/>
      <c r="AB395" s="133" t="s">
        <v>18</v>
      </c>
      <c r="AC395" s="133"/>
      <c r="AD395" s="99"/>
      <c r="AE395" s="27"/>
      <c r="AG395" s="131" t="s">
        <v>19</v>
      </c>
      <c r="AH395" s="132"/>
      <c r="AI395" s="129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30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30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30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33" t="s">
        <v>18</v>
      </c>
      <c r="E450" s="133"/>
      <c r="F450" s="100"/>
      <c r="G450" s="27"/>
      <c r="I450" s="131" t="s">
        <v>19</v>
      </c>
      <c r="J450" s="132"/>
      <c r="K450" s="129" t="s">
        <v>20</v>
      </c>
      <c r="N450" s="25"/>
      <c r="O450" s="26"/>
      <c r="P450" s="133" t="s">
        <v>18</v>
      </c>
      <c r="Q450" s="133"/>
      <c r="R450" s="101"/>
      <c r="S450" s="27"/>
      <c r="U450" s="131" t="s">
        <v>19</v>
      </c>
      <c r="V450" s="132"/>
      <c r="W450" s="129" t="s">
        <v>20</v>
      </c>
      <c r="Z450" s="25"/>
      <c r="AA450" s="26"/>
      <c r="AB450" s="133" t="s">
        <v>18</v>
      </c>
      <c r="AC450" s="133"/>
      <c r="AD450" s="102"/>
      <c r="AE450" s="27"/>
      <c r="AG450" s="131" t="s">
        <v>19</v>
      </c>
      <c r="AH450" s="132"/>
      <c r="AI450" s="129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30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30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30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33" t="s">
        <v>18</v>
      </c>
      <c r="E505" s="133"/>
      <c r="F505" s="103"/>
      <c r="G505" s="27"/>
      <c r="I505" s="131" t="s">
        <v>19</v>
      </c>
      <c r="J505" s="132"/>
      <c r="K505" s="129" t="s">
        <v>20</v>
      </c>
      <c r="N505" s="25"/>
      <c r="O505" s="26"/>
      <c r="P505" s="133" t="s">
        <v>18</v>
      </c>
      <c r="Q505" s="133"/>
      <c r="R505" s="103"/>
      <c r="S505" s="27"/>
      <c r="U505" s="131" t="s">
        <v>19</v>
      </c>
      <c r="V505" s="132"/>
      <c r="W505" s="129" t="s">
        <v>20</v>
      </c>
      <c r="Z505" s="25"/>
      <c r="AA505" s="26"/>
      <c r="AB505" s="133" t="s">
        <v>18</v>
      </c>
      <c r="AC505" s="133"/>
      <c r="AD505" s="103"/>
      <c r="AE505" s="27"/>
      <c r="AG505" s="131" t="s">
        <v>19</v>
      </c>
      <c r="AH505" s="132"/>
      <c r="AI505" s="129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30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30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30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35"/>
      <c r="E560" s="135"/>
      <c r="F560" s="105"/>
      <c r="G560" s="105"/>
      <c r="H560" s="62"/>
      <c r="I560" s="135"/>
      <c r="J560" s="135"/>
      <c r="K560" s="134"/>
      <c r="N560" s="25"/>
      <c r="O560" s="26"/>
      <c r="P560" s="133" t="s">
        <v>18</v>
      </c>
      <c r="Q560" s="133"/>
      <c r="R560" s="106"/>
      <c r="S560" s="27"/>
      <c r="U560" s="131" t="s">
        <v>19</v>
      </c>
      <c r="V560" s="132"/>
      <c r="W560" s="129" t="s">
        <v>20</v>
      </c>
      <c r="Z560" s="25"/>
      <c r="AA560" s="26"/>
      <c r="AB560" s="133" t="s">
        <v>18</v>
      </c>
      <c r="AC560" s="133"/>
      <c r="AD560" s="106"/>
      <c r="AE560" s="27"/>
      <c r="AG560" s="131" t="s">
        <v>19</v>
      </c>
      <c r="AH560" s="132"/>
      <c r="AI560" s="129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34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30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30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33" t="s">
        <v>18</v>
      </c>
      <c r="E615" s="133"/>
      <c r="F615" s="107"/>
      <c r="G615" s="27"/>
      <c r="I615" s="131" t="s">
        <v>19</v>
      </c>
      <c r="J615" s="132"/>
      <c r="K615" s="129" t="s">
        <v>20</v>
      </c>
      <c r="N615" s="25"/>
      <c r="O615" s="26"/>
      <c r="P615" s="133" t="s">
        <v>18</v>
      </c>
      <c r="Q615" s="133"/>
      <c r="R615" s="107"/>
      <c r="S615" s="27"/>
      <c r="U615" s="131" t="s">
        <v>19</v>
      </c>
      <c r="V615" s="132"/>
      <c r="W615" s="129" t="s">
        <v>20</v>
      </c>
      <c r="Z615" s="25"/>
      <c r="AA615" s="26"/>
      <c r="AB615" s="133" t="s">
        <v>18</v>
      </c>
      <c r="AC615" s="133"/>
      <c r="AD615" s="107"/>
      <c r="AE615" s="27"/>
      <c r="AG615" s="131" t="s">
        <v>19</v>
      </c>
      <c r="AH615" s="132"/>
      <c r="AI615" s="129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30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30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30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33" t="s">
        <v>18</v>
      </c>
      <c r="E670" s="133"/>
      <c r="F670" s="108"/>
      <c r="G670" s="27"/>
      <c r="I670" s="131" t="s">
        <v>19</v>
      </c>
      <c r="J670" s="132"/>
      <c r="K670" s="129" t="s">
        <v>20</v>
      </c>
      <c r="N670" s="25"/>
      <c r="O670" s="26"/>
      <c r="P670" s="133" t="s">
        <v>18</v>
      </c>
      <c r="Q670" s="133"/>
      <c r="R670" s="108"/>
      <c r="S670" s="27"/>
      <c r="U670" s="131" t="s">
        <v>19</v>
      </c>
      <c r="V670" s="132"/>
      <c r="W670" s="129" t="s">
        <v>20</v>
      </c>
      <c r="Z670" s="25"/>
      <c r="AA670" s="26"/>
      <c r="AB670" s="133" t="s">
        <v>18</v>
      </c>
      <c r="AC670" s="133"/>
      <c r="AD670" s="108"/>
      <c r="AE670" s="27"/>
      <c r="AG670" s="131" t="s">
        <v>19</v>
      </c>
      <c r="AH670" s="132"/>
      <c r="AI670" s="129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30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30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30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33" t="s">
        <v>18</v>
      </c>
      <c r="E725" s="133"/>
      <c r="F725" s="111"/>
      <c r="G725" s="27"/>
      <c r="I725" s="131" t="s">
        <v>19</v>
      </c>
      <c r="J725" s="132"/>
      <c r="K725" s="129" t="s">
        <v>20</v>
      </c>
      <c r="N725" s="25"/>
      <c r="O725" s="26"/>
      <c r="P725" s="133" t="s">
        <v>18</v>
      </c>
      <c r="Q725" s="133"/>
      <c r="R725" s="110"/>
      <c r="S725" s="27"/>
      <c r="U725" s="131" t="s">
        <v>19</v>
      </c>
      <c r="V725" s="132"/>
      <c r="W725" s="129" t="s">
        <v>20</v>
      </c>
      <c r="Z725" s="25"/>
      <c r="AA725" s="26"/>
      <c r="AB725" s="133" t="s">
        <v>18</v>
      </c>
      <c r="AC725" s="133"/>
      <c r="AD725" s="111"/>
      <c r="AE725" s="27"/>
      <c r="AG725" s="131" t="s">
        <v>19</v>
      </c>
      <c r="AH725" s="132"/>
      <c r="AI725" s="129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3" t="s">
        <v>23</v>
      </c>
      <c r="E726" s="82" t="s">
        <v>24</v>
      </c>
      <c r="F726" s="84" t="s">
        <v>36</v>
      </c>
      <c r="G726" s="84" t="s">
        <v>25</v>
      </c>
      <c r="I726" s="29" t="s">
        <v>26</v>
      </c>
      <c r="J726" s="29" t="s">
        <v>27</v>
      </c>
      <c r="K726" s="130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30"/>
      <c r="Z726" s="28" t="s">
        <v>21</v>
      </c>
      <c r="AA726" s="28" t="s">
        <v>22</v>
      </c>
      <c r="AB726" s="83" t="s">
        <v>23</v>
      </c>
      <c r="AC726" s="84" t="s">
        <v>24</v>
      </c>
      <c r="AD726" s="84" t="s">
        <v>36</v>
      </c>
      <c r="AE726" s="84" t="s">
        <v>25</v>
      </c>
      <c r="AG726" s="29" t="s">
        <v>26</v>
      </c>
      <c r="AH726" s="29" t="s">
        <v>27</v>
      </c>
      <c r="AI726" s="130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5247</v>
      </c>
      <c r="D727" s="32">
        <f>2504+596+48</f>
        <v>3148</v>
      </c>
      <c r="E727" s="32"/>
      <c r="F727" s="32"/>
      <c r="G727" s="32">
        <f t="shared" ref="G727:G754" si="218">SUM(D727:E727)</f>
        <v>3148</v>
      </c>
      <c r="H727" s="12"/>
      <c r="I727" s="12"/>
      <c r="J727" s="12"/>
      <c r="K727" s="12">
        <f t="shared" ref="K727:K760" si="219">SUM(G727:J727)</f>
        <v>3148</v>
      </c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10">
        <v>1</v>
      </c>
      <c r="Z727" s="30" t="s">
        <v>76</v>
      </c>
      <c r="AA727" s="31">
        <v>5171</v>
      </c>
      <c r="AB727" s="32">
        <f>8764+614+2980+180+650</f>
        <v>13188</v>
      </c>
      <c r="AC727" s="32"/>
      <c r="AD727" s="32"/>
      <c r="AE727" s="32">
        <f>SUM(AB727:AC727)</f>
        <v>13188</v>
      </c>
      <c r="AF727" s="12"/>
      <c r="AG727" s="12"/>
      <c r="AH727" s="12"/>
      <c r="AI727" s="12">
        <f>SUM(AE727:AH727)</f>
        <v>13188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5248</v>
      </c>
      <c r="D728" s="32">
        <f>5008+614+1788+852+105</f>
        <v>8367</v>
      </c>
      <c r="E728" s="32"/>
      <c r="F728" s="32"/>
      <c r="G728" s="32">
        <f t="shared" si="218"/>
        <v>8367</v>
      </c>
      <c r="H728" s="12"/>
      <c r="I728" s="12"/>
      <c r="J728" s="12"/>
      <c r="K728" s="12">
        <f t="shared" si="219"/>
        <v>8367</v>
      </c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41" si="220">SUM(P728:Q728)</f>
        <v>6252</v>
      </c>
      <c r="T728" s="12"/>
      <c r="U728" s="12"/>
      <c r="V728" s="12"/>
      <c r="W728" s="12">
        <f t="shared" ref="W728:W741" si="221">SUM(S728:V728)</f>
        <v>6252</v>
      </c>
      <c r="Y728" s="10">
        <v>2</v>
      </c>
      <c r="Z728" s="30" t="s">
        <v>76</v>
      </c>
      <c r="AA728" s="31">
        <f>AA727+1</f>
        <v>5172</v>
      </c>
      <c r="AB728" s="32">
        <f>5008+614+76</f>
        <v>5698</v>
      </c>
      <c r="AC728" s="32"/>
      <c r="AD728" s="32"/>
      <c r="AE728" s="32">
        <f t="shared" ref="AE728:AE765" si="222">SUM(AB728:AC728)</f>
        <v>5698</v>
      </c>
      <c r="AF728" s="12"/>
      <c r="AG728" s="12"/>
      <c r="AH728" s="12"/>
      <c r="AI728" s="12">
        <f t="shared" ref="AI728:AI768" si="223">SUM(AE728:AH728)</f>
        <v>5698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5" si="224">C728+1</f>
        <v>5249</v>
      </c>
      <c r="D729" s="33">
        <f>5008+614+1192+95</f>
        <v>6909</v>
      </c>
      <c r="E729" s="33"/>
      <c r="F729" s="33"/>
      <c r="G729" s="33">
        <f t="shared" si="218"/>
        <v>6909</v>
      </c>
      <c r="H729" s="34"/>
      <c r="I729" s="34"/>
      <c r="J729" s="34"/>
      <c r="K729" s="34">
        <f t="shared" si="219"/>
        <v>6909</v>
      </c>
      <c r="M729" s="10">
        <v>3</v>
      </c>
      <c r="N729" s="30" t="s">
        <v>76</v>
      </c>
      <c r="O729" s="31">
        <f t="shared" ref="O729:O743" si="225">O728+1</f>
        <v>5253</v>
      </c>
      <c r="P729" s="32">
        <f>6260+2384+133</f>
        <v>8777</v>
      </c>
      <c r="Q729" s="32"/>
      <c r="R729" s="32"/>
      <c r="S729" s="32">
        <f t="shared" si="220"/>
        <v>8777</v>
      </c>
      <c r="T729" s="12"/>
      <c r="U729" s="12"/>
      <c r="V729" s="12"/>
      <c r="W729" s="12">
        <f t="shared" si="221"/>
        <v>8777</v>
      </c>
      <c r="Y729" s="10">
        <v>3</v>
      </c>
      <c r="Z729" s="30" t="s">
        <v>76</v>
      </c>
      <c r="AA729" s="31">
        <f t="shared" ref="AA729:AA737" si="226">AA728+1</f>
        <v>5173</v>
      </c>
      <c r="AB729" s="33">
        <f>6260+95</f>
        <v>6355</v>
      </c>
      <c r="AC729" s="33"/>
      <c r="AD729" s="32"/>
      <c r="AE729" s="32">
        <f t="shared" si="222"/>
        <v>6355</v>
      </c>
      <c r="AF729" s="12"/>
      <c r="AG729" s="12"/>
      <c r="AH729" s="12"/>
      <c r="AI729" s="12">
        <f t="shared" si="223"/>
        <v>6355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5250</v>
      </c>
      <c r="D730" s="32">
        <f>6260+1228+95</f>
        <v>7583</v>
      </c>
      <c r="E730" s="32"/>
      <c r="F730" s="32"/>
      <c r="G730" s="32">
        <f t="shared" si="218"/>
        <v>7583</v>
      </c>
      <c r="H730" s="12"/>
      <c r="I730" s="12"/>
      <c r="J730" s="12"/>
      <c r="K730" s="12">
        <f t="shared" si="219"/>
        <v>7583</v>
      </c>
      <c r="M730" s="10">
        <v>4</v>
      </c>
      <c r="N730" s="30" t="s">
        <v>76</v>
      </c>
      <c r="O730" s="31">
        <f t="shared" si="225"/>
        <v>5254</v>
      </c>
      <c r="P730" s="32">
        <f>3130+596+57</f>
        <v>3783</v>
      </c>
      <c r="Q730" s="32"/>
      <c r="R730" s="32"/>
      <c r="S730" s="32">
        <f t="shared" si="220"/>
        <v>3783</v>
      </c>
      <c r="T730" s="12"/>
      <c r="U730" s="12"/>
      <c r="V730" s="12"/>
      <c r="W730" s="12">
        <f t="shared" si="221"/>
        <v>3783</v>
      </c>
      <c r="Y730" s="10">
        <v>4</v>
      </c>
      <c r="Z730" s="30" t="s">
        <v>76</v>
      </c>
      <c r="AA730" s="31">
        <f t="shared" si="226"/>
        <v>5174</v>
      </c>
      <c r="AB730" s="32">
        <f>28170+1228+4768+458</f>
        <v>34624</v>
      </c>
      <c r="AC730" s="32">
        <v>-342</v>
      </c>
      <c r="AD730" s="32"/>
      <c r="AE730" s="32">
        <f t="shared" si="222"/>
        <v>34282</v>
      </c>
      <c r="AF730" s="12"/>
      <c r="AH730" s="12"/>
      <c r="AI730" s="12">
        <f t="shared" si="223"/>
        <v>34282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v>5351</v>
      </c>
      <c r="D731" s="32">
        <f>4382+596+76</f>
        <v>5054</v>
      </c>
      <c r="E731" s="32"/>
      <c r="F731" s="32"/>
      <c r="G731" s="32">
        <f t="shared" si="218"/>
        <v>5054</v>
      </c>
      <c r="H731" s="12"/>
      <c r="I731" s="12"/>
      <c r="J731" s="12"/>
      <c r="K731" s="12">
        <f t="shared" si="219"/>
        <v>5054</v>
      </c>
      <c r="M731" s="10">
        <v>5</v>
      </c>
      <c r="N731" s="30" t="s">
        <v>76</v>
      </c>
      <c r="O731" s="31">
        <f t="shared" si="225"/>
        <v>5255</v>
      </c>
      <c r="P731" s="32">
        <f>8138+1192+123.5</f>
        <v>9453.5</v>
      </c>
      <c r="Q731" s="32"/>
      <c r="R731" s="32"/>
      <c r="S731" s="32">
        <f t="shared" si="220"/>
        <v>9453.5</v>
      </c>
      <c r="T731" s="12"/>
      <c r="U731" s="12">
        <f>111*10+9+23</f>
        <v>1142</v>
      </c>
      <c r="V731" s="12"/>
      <c r="W731" s="12">
        <f t="shared" si="221"/>
        <v>10595.5</v>
      </c>
      <c r="Y731" s="10">
        <v>5</v>
      </c>
      <c r="Z731" s="30" t="s">
        <v>76</v>
      </c>
      <c r="AA731" s="31">
        <f t="shared" si="226"/>
        <v>5175</v>
      </c>
      <c r="AB731" s="32">
        <f>37560+8596+5960+687</f>
        <v>52803</v>
      </c>
      <c r="AC731" s="32"/>
      <c r="AD731" s="32"/>
      <c r="AE731" s="32">
        <f t="shared" si="222"/>
        <v>52803</v>
      </c>
      <c r="AF731" s="12"/>
      <c r="AG731" s="12"/>
      <c r="AH731" s="12"/>
      <c r="AI731" s="12">
        <f t="shared" si="223"/>
        <v>52803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5352</v>
      </c>
      <c r="D732" s="32">
        <f>3130+48</f>
        <v>3178</v>
      </c>
      <c r="E732" s="32"/>
      <c r="F732" s="32"/>
      <c r="G732" s="32">
        <f t="shared" si="218"/>
        <v>3178</v>
      </c>
      <c r="H732" s="12"/>
      <c r="I732" s="12"/>
      <c r="J732" s="12"/>
      <c r="K732" s="12">
        <f t="shared" si="219"/>
        <v>3178</v>
      </c>
      <c r="M732" s="10">
        <v>6</v>
      </c>
      <c r="N732" s="30" t="s">
        <v>76</v>
      </c>
      <c r="O732" s="31">
        <f t="shared" si="225"/>
        <v>5256</v>
      </c>
      <c r="P732" s="32">
        <f>3756+57</f>
        <v>3813</v>
      </c>
      <c r="Q732" s="32"/>
      <c r="R732" s="32"/>
      <c r="S732" s="32">
        <f t="shared" si="220"/>
        <v>3813</v>
      </c>
      <c r="T732" s="12"/>
      <c r="U732" s="12"/>
      <c r="V732" s="10"/>
      <c r="W732" s="12">
        <f t="shared" si="221"/>
        <v>3813</v>
      </c>
      <c r="Y732" s="10">
        <v>6</v>
      </c>
      <c r="Z732" s="30" t="s">
        <v>76</v>
      </c>
      <c r="AA732" s="31">
        <f t="shared" si="226"/>
        <v>5176</v>
      </c>
      <c r="AB732" s="32">
        <f>11894+1228+229</f>
        <v>13351</v>
      </c>
      <c r="AC732" s="32"/>
      <c r="AD732" s="32"/>
      <c r="AE732" s="32">
        <f t="shared" si="222"/>
        <v>13351</v>
      </c>
      <c r="AF732" s="12"/>
      <c r="AG732" s="12"/>
      <c r="AH732" s="10"/>
      <c r="AI732" s="12">
        <f t="shared" si="223"/>
        <v>13351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5353</v>
      </c>
      <c r="D733" s="32">
        <f>2504+38</f>
        <v>2542</v>
      </c>
      <c r="E733" s="32"/>
      <c r="F733" s="32"/>
      <c r="G733" s="32">
        <f t="shared" si="218"/>
        <v>2542</v>
      </c>
      <c r="H733" s="12"/>
      <c r="I733" s="12"/>
      <c r="J733" s="12"/>
      <c r="K733" s="12">
        <f t="shared" si="219"/>
        <v>2542</v>
      </c>
      <c r="M733" s="10">
        <v>7</v>
      </c>
      <c r="N733" s="30" t="s">
        <v>76</v>
      </c>
      <c r="O733" s="31">
        <f t="shared" si="225"/>
        <v>5257</v>
      </c>
      <c r="P733" s="32">
        <f>3130+614+47.5</f>
        <v>3791.5</v>
      </c>
      <c r="Q733" s="32"/>
      <c r="R733" s="32"/>
      <c r="S733" s="32">
        <f t="shared" si="220"/>
        <v>3791.5</v>
      </c>
      <c r="T733" s="12"/>
      <c r="U733" s="12"/>
      <c r="V733" s="12"/>
      <c r="W733" s="12">
        <f t="shared" si="221"/>
        <v>3791.5</v>
      </c>
      <c r="Y733" s="10">
        <v>7</v>
      </c>
      <c r="Z733" s="30" t="s">
        <v>76</v>
      </c>
      <c r="AA733" s="31">
        <f t="shared" si="226"/>
        <v>5177</v>
      </c>
      <c r="AB733" s="32">
        <f>20658+458+500</f>
        <v>21616</v>
      </c>
      <c r="AC733" s="32"/>
      <c r="AD733" s="32"/>
      <c r="AE733" s="32">
        <f t="shared" si="222"/>
        <v>21616</v>
      </c>
      <c r="AF733" s="12"/>
      <c r="AG733" s="58"/>
      <c r="AH733" s="12"/>
      <c r="AI733" s="12">
        <f t="shared" si="223"/>
        <v>21616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5354</v>
      </c>
      <c r="D734" s="32">
        <f>11894+181</f>
        <v>12075</v>
      </c>
      <c r="E734" s="32"/>
      <c r="F734" s="32"/>
      <c r="G734" s="32">
        <f t="shared" si="218"/>
        <v>12075</v>
      </c>
      <c r="H734" s="12"/>
      <c r="I734" s="12"/>
      <c r="J734" s="12"/>
      <c r="K734" s="12">
        <f t="shared" si="219"/>
        <v>12075</v>
      </c>
      <c r="M734" s="10">
        <v>8</v>
      </c>
      <c r="N734" s="30" t="s">
        <v>76</v>
      </c>
      <c r="O734" s="31">
        <f t="shared" si="225"/>
        <v>5258</v>
      </c>
      <c r="P734" s="32">
        <f>3130+614+2384+85.5</f>
        <v>6213.5</v>
      </c>
      <c r="Q734" s="32"/>
      <c r="R734" s="32"/>
      <c r="S734" s="32">
        <f t="shared" si="220"/>
        <v>6213.5</v>
      </c>
      <c r="T734" s="12"/>
      <c r="U734" s="12"/>
      <c r="V734" s="12"/>
      <c r="W734" s="12">
        <f t="shared" si="221"/>
        <v>6213.5</v>
      </c>
      <c r="Y734" s="10">
        <v>8</v>
      </c>
      <c r="Z734" s="30" t="s">
        <v>76</v>
      </c>
      <c r="AA734" s="31">
        <f t="shared" si="226"/>
        <v>5178</v>
      </c>
      <c r="AB734" s="32">
        <f>5008+1192+95</f>
        <v>6295</v>
      </c>
      <c r="AC734" s="32"/>
      <c r="AE734" s="32">
        <f t="shared" si="222"/>
        <v>6295</v>
      </c>
      <c r="AF734" s="12"/>
      <c r="AG734" s="12"/>
      <c r="AH734" s="12"/>
      <c r="AI734" s="12">
        <f t="shared" si="223"/>
        <v>6295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5355</v>
      </c>
      <c r="D735" s="32">
        <f>11894+181</f>
        <v>12075</v>
      </c>
      <c r="E735" s="32"/>
      <c r="F735" s="32"/>
      <c r="G735" s="32">
        <f t="shared" si="218"/>
        <v>12075</v>
      </c>
      <c r="H735" s="12"/>
      <c r="I735" s="12"/>
      <c r="J735" s="12"/>
      <c r="K735" s="12">
        <f t="shared" si="219"/>
        <v>12075</v>
      </c>
      <c r="M735" s="10">
        <v>9</v>
      </c>
      <c r="N735" s="30" t="s">
        <v>76</v>
      </c>
      <c r="O735" s="31">
        <f t="shared" si="225"/>
        <v>5259</v>
      </c>
      <c r="P735" s="32">
        <f>1252+1228+596+28.5</f>
        <v>3104.5</v>
      </c>
      <c r="Q735" s="32"/>
      <c r="R735" s="32"/>
      <c r="S735" s="32">
        <f t="shared" si="220"/>
        <v>3104.5</v>
      </c>
      <c r="T735" s="12"/>
      <c r="U735" s="12">
        <v>41</v>
      </c>
      <c r="V735" s="12"/>
      <c r="W735" s="12">
        <f t="shared" si="221"/>
        <v>3145.5</v>
      </c>
      <c r="Y735" s="10">
        <v>9</v>
      </c>
      <c r="Z735" s="30" t="s">
        <v>76</v>
      </c>
      <c r="AA735" s="31">
        <f t="shared" si="226"/>
        <v>5179</v>
      </c>
      <c r="AB735">
        <f>8764+133</f>
        <v>8897</v>
      </c>
      <c r="AC735" s="32"/>
      <c r="AD735" s="32"/>
      <c r="AE735" s="32">
        <f t="shared" si="222"/>
        <v>8897</v>
      </c>
      <c r="AF735" s="12"/>
      <c r="AH735" s="12"/>
      <c r="AI735" s="12">
        <f t="shared" si="223"/>
        <v>8897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5356</v>
      </c>
      <c r="D736" s="32">
        <f>1252+596+29</f>
        <v>1877</v>
      </c>
      <c r="E736" s="32"/>
      <c r="F736" s="32"/>
      <c r="G736" s="32">
        <f t="shared" si="218"/>
        <v>1877</v>
      </c>
      <c r="H736" s="12"/>
      <c r="I736" s="12"/>
      <c r="J736" s="12"/>
      <c r="K736" s="12">
        <f t="shared" si="219"/>
        <v>1877</v>
      </c>
      <c r="M736" s="10">
        <v>10</v>
      </c>
      <c r="N736" s="30" t="s">
        <v>76</v>
      </c>
      <c r="O736" s="31">
        <f t="shared" si="225"/>
        <v>5260</v>
      </c>
      <c r="P736" s="32">
        <f>2504+38</f>
        <v>2542</v>
      </c>
      <c r="Q736" s="32"/>
      <c r="R736" s="32"/>
      <c r="S736" s="32">
        <f t="shared" si="220"/>
        <v>2542</v>
      </c>
      <c r="T736" s="12"/>
      <c r="U736" s="12">
        <v>9</v>
      </c>
      <c r="V736" s="12"/>
      <c r="W736" s="12">
        <f t="shared" si="221"/>
        <v>2551</v>
      </c>
      <c r="Y736" s="10">
        <v>10</v>
      </c>
      <c r="Z736" s="30" t="s">
        <v>76</v>
      </c>
      <c r="AA736" s="31">
        <f t="shared" si="226"/>
        <v>5180</v>
      </c>
      <c r="AB736" s="32">
        <f>6260</f>
        <v>6260</v>
      </c>
      <c r="AC736" s="32"/>
      <c r="AD736" s="32"/>
      <c r="AE736" s="32">
        <f t="shared" si="222"/>
        <v>6260</v>
      </c>
      <c r="AF736" s="12"/>
      <c r="AG736" s="12"/>
      <c r="AH736" s="12"/>
      <c r="AI736" s="12">
        <f t="shared" si="223"/>
        <v>6260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5357</v>
      </c>
      <c r="D737" s="32">
        <f>2504</f>
        <v>2504</v>
      </c>
      <c r="E737" s="32"/>
      <c r="F737" s="32"/>
      <c r="G737" s="32">
        <f t="shared" si="218"/>
        <v>2504</v>
      </c>
      <c r="H737" s="12"/>
      <c r="I737" s="12"/>
      <c r="J737" s="12"/>
      <c r="K737" s="12">
        <f t="shared" si="219"/>
        <v>2504</v>
      </c>
      <c r="M737" s="10">
        <v>11</v>
      </c>
      <c r="N737" s="30" t="s">
        <v>76</v>
      </c>
      <c r="O737" s="31">
        <f t="shared" si="225"/>
        <v>5261</v>
      </c>
      <c r="P737" s="32">
        <f>626*11</f>
        <v>6886</v>
      </c>
      <c r="Q737" s="32"/>
      <c r="R737" s="32"/>
      <c r="S737" s="32">
        <f t="shared" si="220"/>
        <v>6886</v>
      </c>
      <c r="T737" s="12"/>
      <c r="U737" s="12"/>
      <c r="V737" s="12"/>
      <c r="W737" s="12">
        <f t="shared" si="221"/>
        <v>6886</v>
      </c>
      <c r="Y737" s="10">
        <v>11</v>
      </c>
      <c r="Z737" s="30" t="s">
        <v>76</v>
      </c>
      <c r="AA737" s="31">
        <f t="shared" si="226"/>
        <v>5181</v>
      </c>
      <c r="AB737" s="32">
        <f>5634+229+650</f>
        <v>6513</v>
      </c>
      <c r="AC737" s="32"/>
      <c r="AD737" s="32"/>
      <c r="AE737" s="32">
        <f t="shared" si="222"/>
        <v>6513</v>
      </c>
      <c r="AF737" s="12"/>
      <c r="AG737" s="12"/>
      <c r="AH737" s="12"/>
      <c r="AI737" s="12">
        <f t="shared" si="223"/>
        <v>6513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5358</v>
      </c>
      <c r="D738" s="32">
        <f>3130+48</f>
        <v>3178</v>
      </c>
      <c r="E738" s="32"/>
      <c r="F738" s="32"/>
      <c r="G738" s="32">
        <f t="shared" si="218"/>
        <v>3178</v>
      </c>
      <c r="H738" s="12"/>
      <c r="I738" s="12"/>
      <c r="J738" s="10"/>
      <c r="K738" s="12">
        <f t="shared" si="219"/>
        <v>3178</v>
      </c>
      <c r="M738" s="10">
        <v>12</v>
      </c>
      <c r="N738" s="30" t="s">
        <v>76</v>
      </c>
      <c r="O738" s="31">
        <f t="shared" si="225"/>
        <v>5262</v>
      </c>
      <c r="P738" s="32">
        <f>5008+596</f>
        <v>5604</v>
      </c>
      <c r="Q738" s="32"/>
      <c r="R738" s="32"/>
      <c r="S738" s="32">
        <f t="shared" si="220"/>
        <v>5604</v>
      </c>
      <c r="T738" s="12"/>
      <c r="U738" s="12"/>
      <c r="V738" s="12"/>
      <c r="W738" s="12">
        <f t="shared" si="221"/>
        <v>5604</v>
      </c>
      <c r="Y738" s="10">
        <v>12</v>
      </c>
      <c r="Z738" s="30"/>
      <c r="AA738" s="11" t="s">
        <v>28</v>
      </c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5359</v>
      </c>
      <c r="D739" s="32">
        <f>8764+1788+162</f>
        <v>10714</v>
      </c>
      <c r="E739" s="32"/>
      <c r="F739" s="32"/>
      <c r="G739" s="32">
        <f t="shared" si="218"/>
        <v>10714</v>
      </c>
      <c r="H739" s="12"/>
      <c r="I739" s="12">
        <v>135</v>
      </c>
      <c r="J739" s="12"/>
      <c r="K739" s="12">
        <f t="shared" si="219"/>
        <v>10849</v>
      </c>
      <c r="M739" s="10">
        <v>13</v>
      </c>
      <c r="N739" s="30" t="s">
        <v>76</v>
      </c>
      <c r="O739" s="31">
        <f t="shared" si="225"/>
        <v>5263</v>
      </c>
      <c r="P739" s="32">
        <f>1192+19</f>
        <v>1211</v>
      </c>
      <c r="Q739" s="32"/>
      <c r="R739" s="32"/>
      <c r="S739" s="32">
        <f t="shared" si="220"/>
        <v>1211</v>
      </c>
      <c r="T739" s="12"/>
      <c r="U739" s="12"/>
      <c r="V739" s="12"/>
      <c r="W739" s="12">
        <f t="shared" si="221"/>
        <v>1211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5360</v>
      </c>
      <c r="D740" s="32">
        <f>3756+614+1788+86</f>
        <v>6244</v>
      </c>
      <c r="E740" s="32"/>
      <c r="F740" s="32"/>
      <c r="G740" s="32">
        <f t="shared" si="218"/>
        <v>6244</v>
      </c>
      <c r="H740" s="12"/>
      <c r="I740" s="12">
        <v>31</v>
      </c>
      <c r="J740" s="12"/>
      <c r="K740" s="12">
        <f t="shared" si="219"/>
        <v>6275</v>
      </c>
      <c r="M740" s="10">
        <v>14</v>
      </c>
      <c r="N740" s="30" t="s">
        <v>76</v>
      </c>
      <c r="O740" s="31">
        <f t="shared" si="225"/>
        <v>5264</v>
      </c>
      <c r="P740" s="32">
        <f>2504+38</f>
        <v>2542</v>
      </c>
      <c r="Q740" s="32"/>
      <c r="R740" s="32"/>
      <c r="S740" s="32">
        <f t="shared" si="220"/>
        <v>2542</v>
      </c>
      <c r="T740" s="12"/>
      <c r="U740" s="12"/>
      <c r="V740" s="12"/>
      <c r="W740" s="12">
        <f t="shared" si="221"/>
        <v>2542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5361</v>
      </c>
      <c r="D741" s="32">
        <f>2504+38</f>
        <v>2542</v>
      </c>
      <c r="E741" s="32"/>
      <c r="F741" s="32"/>
      <c r="G741" s="32">
        <f t="shared" si="218"/>
        <v>2542</v>
      </c>
      <c r="H741" s="12"/>
      <c r="I741" s="12"/>
      <c r="J741" s="12"/>
      <c r="K741" s="12">
        <f t="shared" si="219"/>
        <v>2542</v>
      </c>
      <c r="M741" s="10">
        <v>15</v>
      </c>
      <c r="N741" s="30" t="s">
        <v>76</v>
      </c>
      <c r="O741" s="31">
        <f t="shared" si="225"/>
        <v>5265</v>
      </c>
      <c r="P741" s="32">
        <f>3756+57</f>
        <v>3813</v>
      </c>
      <c r="R741" s="32"/>
      <c r="S741" s="32">
        <f t="shared" si="220"/>
        <v>3813</v>
      </c>
      <c r="T741" s="12"/>
      <c r="U741" s="12"/>
      <c r="W741" s="12">
        <f t="shared" si="221"/>
        <v>3813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5362</v>
      </c>
      <c r="D742" s="32">
        <f>9390</f>
        <v>9390</v>
      </c>
      <c r="E742" s="32"/>
      <c r="F742" s="32"/>
      <c r="G742" s="32">
        <f t="shared" si="218"/>
        <v>9390</v>
      </c>
      <c r="H742" s="12"/>
      <c r="I742" s="12"/>
      <c r="J742" s="12"/>
      <c r="K742" s="12">
        <f t="shared" si="219"/>
        <v>9390</v>
      </c>
      <c r="M742" s="10">
        <v>16</v>
      </c>
      <c r="N742" s="30" t="s">
        <v>76</v>
      </c>
      <c r="O742" s="31">
        <f t="shared" si="225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5363</v>
      </c>
      <c r="D743" s="32">
        <f>25040+380</f>
        <v>25420</v>
      </c>
      <c r="E743" s="32"/>
      <c r="F743" s="32"/>
      <c r="G743" s="32">
        <f t="shared" si="218"/>
        <v>25420</v>
      </c>
      <c r="H743" s="12"/>
      <c r="I743" s="12"/>
      <c r="J743" s="12"/>
      <c r="K743" s="12">
        <f t="shared" si="219"/>
        <v>25420</v>
      </c>
      <c r="M743" s="10">
        <v>17</v>
      </c>
      <c r="N743" s="30" t="s">
        <v>76</v>
      </c>
      <c r="O743" s="31">
        <f t="shared" si="225"/>
        <v>5267</v>
      </c>
      <c r="P743" s="35">
        <f>106420+16092+1832+1950</f>
        <v>126294</v>
      </c>
      <c r="Q743" s="32">
        <v>-1872</v>
      </c>
      <c r="R743" s="32"/>
      <c r="S743" s="32">
        <f t="shared" ref="S743:S765" si="227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68" si="228">SUM(S743:V743)</f>
        <v>119937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5364</v>
      </c>
      <c r="D744" s="32">
        <f>1878+29</f>
        <v>1907</v>
      </c>
      <c r="E744" s="32"/>
      <c r="F744" s="32"/>
      <c r="G744" s="32">
        <f t="shared" si="218"/>
        <v>1907</v>
      </c>
      <c r="H744" s="12"/>
      <c r="I744" s="12"/>
      <c r="J744" s="12"/>
      <c r="K744" s="12">
        <f t="shared" si="219"/>
        <v>1907</v>
      </c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7"/>
        <v>0</v>
      </c>
      <c r="T744" s="12"/>
      <c r="U744" s="12"/>
      <c r="V744" s="12"/>
      <c r="W744" s="12">
        <f t="shared" si="228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5365</v>
      </c>
      <c r="D745" s="32">
        <f>5634+614+1192+852+105</f>
        <v>8397</v>
      </c>
      <c r="E745" s="32"/>
      <c r="F745" s="32"/>
      <c r="G745" s="32">
        <f t="shared" si="218"/>
        <v>8397</v>
      </c>
      <c r="H745" s="12"/>
      <c r="I745" s="12">
        <v>120</v>
      </c>
      <c r="J745" s="12"/>
      <c r="K745" s="12">
        <f t="shared" si="219"/>
        <v>8517</v>
      </c>
      <c r="M745" s="10">
        <v>19</v>
      </c>
      <c r="N745" s="30"/>
      <c r="O745" s="31"/>
      <c r="P745" s="32"/>
      <c r="Q745" s="32"/>
      <c r="R745" s="32"/>
      <c r="S745" s="32">
        <f t="shared" si="227"/>
        <v>0</v>
      </c>
      <c r="T745" s="12"/>
      <c r="U745" s="12"/>
      <c r="V745" s="12"/>
      <c r="W745" s="12">
        <f t="shared" si="228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11" t="s">
        <v>28</v>
      </c>
      <c r="D746" s="32"/>
      <c r="E746" s="32"/>
      <c r="F746" s="32"/>
      <c r="G746" s="32">
        <f t="shared" si="218"/>
        <v>0</v>
      </c>
      <c r="H746" s="12"/>
      <c r="I746" s="12"/>
      <c r="J746" s="12"/>
      <c r="K746" s="12">
        <f t="shared" si="219"/>
        <v>0</v>
      </c>
      <c r="M746" s="10">
        <v>20</v>
      </c>
      <c r="N746" s="30"/>
      <c r="O746" s="31"/>
      <c r="P746" s="32"/>
      <c r="Q746" s="32"/>
      <c r="R746" s="32"/>
      <c r="S746" s="32">
        <f t="shared" si="227"/>
        <v>0</v>
      </c>
      <c r="T746" s="12"/>
      <c r="U746" s="12"/>
      <c r="V746" s="12"/>
      <c r="W746" s="12">
        <f t="shared" si="228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D747" s="32"/>
      <c r="E747" s="32"/>
      <c r="F747" s="32"/>
      <c r="G747" s="32">
        <f t="shared" si="218"/>
        <v>0</v>
      </c>
      <c r="H747" s="10"/>
      <c r="I747" s="10"/>
      <c r="J747" s="10"/>
      <c r="K747" s="12">
        <f t="shared" si="219"/>
        <v>0</v>
      </c>
      <c r="M747" s="10">
        <v>21</v>
      </c>
      <c r="N747" s="30"/>
      <c r="O747" s="31"/>
      <c r="P747" s="46"/>
      <c r="Q747" s="31"/>
      <c r="R747" s="31"/>
      <c r="S747" s="32">
        <f t="shared" si="227"/>
        <v>0</v>
      </c>
      <c r="T747" s="10"/>
      <c r="U747" s="10"/>
      <c r="V747" s="10"/>
      <c r="W747" s="12">
        <f t="shared" si="228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218"/>
        <v>0</v>
      </c>
      <c r="H748" s="10"/>
      <c r="I748" s="10"/>
      <c r="J748" s="10"/>
      <c r="K748" s="12">
        <f t="shared" si="219"/>
        <v>0</v>
      </c>
      <c r="M748" s="10">
        <v>22</v>
      </c>
      <c r="N748" s="30"/>
      <c r="O748" s="31"/>
      <c r="P748" s="45"/>
      <c r="Q748" s="31"/>
      <c r="R748" s="31"/>
      <c r="S748" s="32">
        <f t="shared" si="227"/>
        <v>0</v>
      </c>
      <c r="T748" s="10"/>
      <c r="U748" s="10"/>
      <c r="V748" s="10"/>
      <c r="W748" s="12">
        <f t="shared" si="228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18"/>
        <v>0</v>
      </c>
      <c r="H749" s="10"/>
      <c r="I749" s="10"/>
      <c r="J749" s="12"/>
      <c r="K749" s="12">
        <f t="shared" si="219"/>
        <v>0</v>
      </c>
      <c r="M749" s="10">
        <v>23</v>
      </c>
      <c r="N749" s="30"/>
      <c r="O749" s="31"/>
      <c r="P749" s="47"/>
      <c r="Q749" s="31"/>
      <c r="R749" s="31"/>
      <c r="S749" s="32">
        <f t="shared" si="227"/>
        <v>0</v>
      </c>
      <c r="T749" s="10"/>
      <c r="U749" s="10"/>
      <c r="V749" s="10"/>
      <c r="W749" s="12">
        <f t="shared" si="228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18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7"/>
        <v>0</v>
      </c>
      <c r="T750" s="10"/>
      <c r="U750" s="10"/>
      <c r="V750" s="10"/>
      <c r="W750" s="12">
        <f t="shared" si="228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18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7"/>
        <v>0</v>
      </c>
      <c r="T751" s="10"/>
      <c r="U751" s="10"/>
      <c r="V751" s="10"/>
      <c r="W751" s="12">
        <f t="shared" si="228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18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O752" s="31"/>
      <c r="P752" s="47"/>
      <c r="Q752" s="31"/>
      <c r="R752" s="31"/>
      <c r="S752" s="32">
        <f t="shared" si="227"/>
        <v>0</v>
      </c>
      <c r="T752" s="10"/>
      <c r="U752" s="10"/>
      <c r="V752" s="10"/>
      <c r="W752" s="12">
        <f t="shared" si="228"/>
        <v>0</v>
      </c>
      <c r="Y752" s="10">
        <v>26</v>
      </c>
      <c r="Z752" s="30"/>
      <c r="AA752" s="31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57"/>
      <c r="D753" s="32"/>
      <c r="E753" s="32"/>
      <c r="F753" s="32"/>
      <c r="G753" s="32">
        <f t="shared" si="218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7"/>
        <v>0</v>
      </c>
      <c r="T753" s="10"/>
      <c r="U753" s="10"/>
      <c r="V753" s="10"/>
      <c r="W753" s="12">
        <f t="shared" si="228"/>
        <v>0</v>
      </c>
      <c r="Y753" s="10">
        <v>27</v>
      </c>
      <c r="Z753" s="30"/>
      <c r="AA753" s="31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18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7"/>
        <v>0</v>
      </c>
      <c r="T754" s="10"/>
      <c r="U754" s="10"/>
      <c r="V754" s="10"/>
      <c r="W754" s="12">
        <f t="shared" si="228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/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7"/>
        <v>0</v>
      </c>
      <c r="T755" s="10"/>
      <c r="U755" s="10"/>
      <c r="V755" s="10"/>
      <c r="W755" s="12">
        <f t="shared" si="228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/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7"/>
        <v>0</v>
      </c>
      <c r="T756" s="10"/>
      <c r="U756" s="10"/>
      <c r="V756" s="10"/>
      <c r="W756" s="12">
        <f t="shared" si="228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57"/>
      <c r="D757" s="32"/>
      <c r="E757" s="32"/>
      <c r="F757" s="32"/>
      <c r="G757" s="32"/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7"/>
        <v>0</v>
      </c>
      <c r="T757" s="10"/>
      <c r="U757" s="10"/>
      <c r="V757" s="10"/>
      <c r="W757" s="12">
        <f t="shared" si="228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/>
      <c r="H758" s="10"/>
      <c r="I758" s="10"/>
      <c r="J758" s="10"/>
      <c r="K758" s="12">
        <f t="shared" si="219"/>
        <v>0</v>
      </c>
      <c r="M758" s="10">
        <v>32</v>
      </c>
      <c r="N758" s="30"/>
      <c r="O758" s="31"/>
      <c r="P758" s="47"/>
      <c r="Q758" s="31"/>
      <c r="R758" s="31"/>
      <c r="S758" s="32">
        <f t="shared" si="227"/>
        <v>0</v>
      </c>
      <c r="T758" s="10"/>
      <c r="U758" s="10"/>
      <c r="V758" s="10"/>
      <c r="W758" s="12">
        <f t="shared" si="228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/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7"/>
        <v>0</v>
      </c>
      <c r="T759" s="10"/>
      <c r="U759" s="10"/>
      <c r="V759" s="10"/>
      <c r="W759" s="12">
        <f t="shared" si="228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57"/>
      <c r="D760" s="32"/>
      <c r="E760" s="32"/>
      <c r="F760" s="32"/>
      <c r="G760" s="32">
        <f t="shared" ref="G760" si="229">SUM(D760:E760)</f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7"/>
        <v>0</v>
      </c>
      <c r="T760" s="10"/>
      <c r="U760" s="10"/>
      <c r="V760" s="10"/>
      <c r="W760" s="12">
        <f t="shared" si="228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27"/>
        <v>0</v>
      </c>
      <c r="T761" s="10"/>
      <c r="U761" s="10"/>
      <c r="V761" s="10"/>
      <c r="W761" s="12">
        <f t="shared" si="228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27"/>
        <v>0</v>
      </c>
      <c r="T762" s="10"/>
      <c r="U762" s="10"/>
      <c r="V762" s="10"/>
      <c r="W762" s="12">
        <f t="shared" si="228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27"/>
        <v>0</v>
      </c>
      <c r="T763" s="10"/>
      <c r="U763" s="10"/>
      <c r="V763" s="10"/>
      <c r="W763" s="12">
        <f t="shared" si="228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27"/>
        <v>0</v>
      </c>
      <c r="T764" s="10"/>
      <c r="U764" s="10"/>
      <c r="V764" s="10"/>
      <c r="W764" s="12">
        <f t="shared" si="228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57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227"/>
        <v>0</v>
      </c>
      <c r="T765" s="10"/>
      <c r="U765" s="10"/>
      <c r="V765" s="10"/>
      <c r="W765" s="12">
        <f t="shared" si="228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8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30">SUM(D767:E767)</f>
        <v>0</v>
      </c>
      <c r="H767" s="10"/>
      <c r="I767" s="10"/>
      <c r="J767" s="10"/>
      <c r="K767" s="12">
        <f t="shared" ref="K767" si="231">SUM(G767:J767)</f>
        <v>0</v>
      </c>
      <c r="M767" s="10"/>
      <c r="N767" s="30"/>
      <c r="O767" s="31"/>
      <c r="P767" s="47"/>
      <c r="Q767" s="31"/>
      <c r="R767" s="31"/>
      <c r="S767" s="32">
        <f t="shared" ref="S767" si="232">SUM(P767:Q767)</f>
        <v>0</v>
      </c>
      <c r="T767" s="10"/>
      <c r="U767" s="10"/>
      <c r="V767" s="10"/>
      <c r="W767" s="12">
        <f t="shared" si="228"/>
        <v>0</v>
      </c>
      <c r="Y767" s="10"/>
      <c r="Z767" s="30"/>
      <c r="AA767" s="31"/>
      <c r="AB767" s="47"/>
      <c r="AC767" s="31"/>
      <c r="AD767" s="31"/>
      <c r="AE767" s="32">
        <f t="shared" ref="AE767" si="233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8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133104</v>
      </c>
      <c r="E770" s="38">
        <f t="shared" ref="E770:F770" si="234">SUM(E727:E767)</f>
        <v>0</v>
      </c>
      <c r="F770" s="38">
        <f t="shared" si="234"/>
        <v>0</v>
      </c>
      <c r="G770" s="38">
        <f>SUM(G727:G769)</f>
        <v>133104</v>
      </c>
      <c r="H770" s="4"/>
      <c r="I770" s="39">
        <f>SUM(I727:I769)</f>
        <v>286</v>
      </c>
      <c r="J770" s="39">
        <f>SUM(J727:J769)</f>
        <v>0</v>
      </c>
      <c r="K770" s="40">
        <f>SUM(K727:K769)</f>
        <v>133390</v>
      </c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Z770" s="57"/>
      <c r="AA770" s="57"/>
      <c r="AB770" s="38">
        <f>SUM(AB727:AB769)</f>
        <v>175600</v>
      </c>
      <c r="AC770" s="38">
        <f>SUM(AC727:AC751)</f>
        <v>-342</v>
      </c>
      <c r="AD770" s="38">
        <f>SUM(AD727:AD751)</f>
        <v>0</v>
      </c>
      <c r="AE770" s="38">
        <f>SUM(AE727:AE769)</f>
        <v>175258</v>
      </c>
      <c r="AF770" s="4"/>
      <c r="AG770" s="41">
        <f>SUM(AG727:AG769)</f>
        <v>0</v>
      </c>
      <c r="AH770" s="41">
        <f>SUM(AH727:AH751)</f>
        <v>0</v>
      </c>
      <c r="AI770" s="42">
        <f>SUM(AI727:AI769)</f>
        <v>175258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M772" t="s">
        <v>0</v>
      </c>
      <c r="N772" s="57"/>
      <c r="O772" s="57"/>
      <c r="P772" s="57"/>
      <c r="Q772" s="57"/>
      <c r="R772" s="57"/>
      <c r="S772" s="57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M773" t="s">
        <v>29</v>
      </c>
      <c r="N773" s="57"/>
      <c r="O773" s="57"/>
      <c r="P773" s="57"/>
      <c r="Q773" s="57"/>
      <c r="R773" s="57"/>
      <c r="S773" s="57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N774" s="57"/>
      <c r="O774" s="57"/>
      <c r="P774" s="57"/>
      <c r="Q774" s="57"/>
      <c r="R774" s="57"/>
      <c r="S774" s="57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M775" s="4" t="s">
        <v>15</v>
      </c>
      <c r="N775" s="57"/>
      <c r="O775" s="57"/>
      <c r="P775" s="57"/>
      <c r="Q775" s="57"/>
      <c r="R775" s="57"/>
      <c r="S775" s="57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N776" s="57"/>
      <c r="O776" s="57"/>
      <c r="P776" s="57"/>
      <c r="Q776" s="57"/>
      <c r="R776" s="57"/>
      <c r="S776" s="57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M777" t="s">
        <v>63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N779" s="57"/>
      <c r="O779" s="57"/>
      <c r="P779" s="57"/>
      <c r="Q779" s="57"/>
      <c r="R779" s="57"/>
      <c r="S779" s="57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35"/>
      <c r="E780" s="135"/>
      <c r="F780" s="86"/>
      <c r="G780" s="86"/>
      <c r="H780" s="62"/>
      <c r="I780" s="135"/>
      <c r="J780" s="135"/>
      <c r="K780" s="134"/>
      <c r="N780" s="25"/>
      <c r="O780" s="26"/>
      <c r="P780" s="133" t="s">
        <v>18</v>
      </c>
      <c r="Q780" s="133"/>
      <c r="R780" s="112"/>
      <c r="S780" s="27"/>
      <c r="U780" s="131" t="s">
        <v>19</v>
      </c>
      <c r="V780" s="132"/>
      <c r="W780" s="129" t="s">
        <v>20</v>
      </c>
      <c r="Y780" s="62"/>
      <c r="Z780" s="66"/>
      <c r="AA780" s="86"/>
      <c r="AB780" s="135"/>
      <c r="AC780" s="135"/>
      <c r="AD780" s="86"/>
      <c r="AE780" s="86"/>
      <c r="AF780" s="62"/>
      <c r="AG780" s="135"/>
      <c r="AH780" s="135"/>
      <c r="AI780" s="134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34"/>
      <c r="N781" s="28" t="s">
        <v>21</v>
      </c>
      <c r="O781" s="28" t="s">
        <v>22</v>
      </c>
      <c r="P781" s="83" t="s">
        <v>23</v>
      </c>
      <c r="Q781" s="84" t="s">
        <v>24</v>
      </c>
      <c r="R781" s="84" t="s">
        <v>36</v>
      </c>
      <c r="S781" s="84" t="s">
        <v>25</v>
      </c>
      <c r="U781" s="29" t="s">
        <v>26</v>
      </c>
      <c r="V781" s="29" t="s">
        <v>27</v>
      </c>
      <c r="W781" s="130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34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M782" s="10">
        <v>1</v>
      </c>
      <c r="N782" s="30" t="s">
        <v>79</v>
      </c>
      <c r="O782" s="31">
        <v>5268</v>
      </c>
      <c r="P782" s="32">
        <f>1878+1788+57</f>
        <v>3723</v>
      </c>
      <c r="Q782" s="32"/>
      <c r="R782" s="32"/>
      <c r="S782" s="32">
        <f>SUM(P782:Q782)</f>
        <v>3723</v>
      </c>
      <c r="T782" s="12"/>
      <c r="U782" s="12"/>
      <c r="V782" s="12"/>
      <c r="W782" s="12">
        <f>SUM(S782:V782)</f>
        <v>3723</v>
      </c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M783" s="10">
        <v>2</v>
      </c>
      <c r="N783" s="30" t="s">
        <v>79</v>
      </c>
      <c r="O783" s="31">
        <f>O782+1</f>
        <v>5269</v>
      </c>
      <c r="P783" s="32">
        <f>1878+28.5</f>
        <v>1906.5</v>
      </c>
      <c r="Q783" s="32"/>
      <c r="R783" s="32"/>
      <c r="S783" s="32">
        <f t="shared" ref="S783:S796" si="235">SUM(P783:Q783)</f>
        <v>1906.5</v>
      </c>
      <c r="T783" s="12"/>
      <c r="U783" s="12"/>
      <c r="V783" s="12"/>
      <c r="W783" s="12">
        <f t="shared" ref="W783:W796" si="236">SUM(S783:V783)</f>
        <v>1906.5</v>
      </c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M784" s="10">
        <v>3</v>
      </c>
      <c r="N784" s="30" t="s">
        <v>79</v>
      </c>
      <c r="O784" s="31">
        <f t="shared" ref="O784:O794" si="237">O783+1</f>
        <v>5270</v>
      </c>
      <c r="P784" s="32">
        <f>5008+1228+596+85.5</f>
        <v>6917.5</v>
      </c>
      <c r="Q784" s="32"/>
      <c r="R784" s="32"/>
      <c r="S784" s="32">
        <f t="shared" si="235"/>
        <v>6917.5</v>
      </c>
      <c r="T784" s="12"/>
      <c r="U784" s="12">
        <f>36+18</f>
        <v>54</v>
      </c>
      <c r="V784" s="12"/>
      <c r="W784" s="12">
        <f t="shared" si="236"/>
        <v>6971.5</v>
      </c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M785" s="10">
        <v>4</v>
      </c>
      <c r="N785" s="30" t="s">
        <v>79</v>
      </c>
      <c r="O785" s="31">
        <f t="shared" si="237"/>
        <v>5271</v>
      </c>
      <c r="P785" s="32">
        <f>2504+38</f>
        <v>2542</v>
      </c>
      <c r="Q785" s="32"/>
      <c r="R785" s="32"/>
      <c r="S785" s="32">
        <f t="shared" si="235"/>
        <v>2542</v>
      </c>
      <c r="T785" s="12"/>
      <c r="U785" s="12"/>
      <c r="V785" s="12"/>
      <c r="W785" s="12">
        <f t="shared" si="236"/>
        <v>2542</v>
      </c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M786" s="10">
        <v>5</v>
      </c>
      <c r="N786" s="30" t="s">
        <v>79</v>
      </c>
      <c r="O786" s="31">
        <f t="shared" si="237"/>
        <v>5272</v>
      </c>
      <c r="P786" s="32">
        <f>1878+28.5</f>
        <v>1906.5</v>
      </c>
      <c r="Q786" s="32"/>
      <c r="R786" s="32"/>
      <c r="S786" s="32">
        <f t="shared" si="235"/>
        <v>1906.5</v>
      </c>
      <c r="T786" s="12"/>
      <c r="U786" s="12"/>
      <c r="V786" s="12"/>
      <c r="W786" s="12">
        <f t="shared" si="236"/>
        <v>1906.5</v>
      </c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M787" s="10">
        <v>6</v>
      </c>
      <c r="N787" s="30" t="s">
        <v>79</v>
      </c>
      <c r="O787" s="31">
        <f t="shared" si="237"/>
        <v>5273</v>
      </c>
      <c r="P787" s="32">
        <f>7512+114</f>
        <v>7626</v>
      </c>
      <c r="Q787" s="32"/>
      <c r="R787" s="32"/>
      <c r="S787" s="32">
        <f t="shared" si="235"/>
        <v>7626</v>
      </c>
      <c r="T787" s="12"/>
      <c r="U787" s="12"/>
      <c r="V787" s="10"/>
      <c r="W787" s="12">
        <f t="shared" si="236"/>
        <v>7626</v>
      </c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M788" s="10">
        <v>7</v>
      </c>
      <c r="N788" s="30" t="s">
        <v>79</v>
      </c>
      <c r="O788" s="31">
        <f t="shared" si="237"/>
        <v>5274</v>
      </c>
      <c r="P788" s="32">
        <f>1252+19</f>
        <v>1271</v>
      </c>
      <c r="Q788" s="32"/>
      <c r="R788" s="32"/>
      <c r="S788" s="32">
        <f t="shared" si="235"/>
        <v>1271</v>
      </c>
      <c r="T788" s="12"/>
      <c r="U788" s="12"/>
      <c r="V788" s="12"/>
      <c r="W788" s="12">
        <f t="shared" si="236"/>
        <v>1271</v>
      </c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M789" s="10">
        <v>8</v>
      </c>
      <c r="N789" s="30" t="s">
        <v>79</v>
      </c>
      <c r="O789" s="31">
        <f t="shared" si="237"/>
        <v>5275</v>
      </c>
      <c r="P789" s="32">
        <f>3130+47.5</f>
        <v>3177.5</v>
      </c>
      <c r="Q789" s="32"/>
      <c r="R789" s="32"/>
      <c r="S789" s="32">
        <f t="shared" si="235"/>
        <v>3177.5</v>
      </c>
      <c r="T789" s="12"/>
      <c r="U789" s="12"/>
      <c r="V789" s="12"/>
      <c r="W789" s="12">
        <f t="shared" si="236"/>
        <v>3177.5</v>
      </c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M790" s="10">
        <v>9</v>
      </c>
      <c r="N790" s="30" t="s">
        <v>79</v>
      </c>
      <c r="O790" s="31">
        <f t="shared" si="237"/>
        <v>5276</v>
      </c>
      <c r="P790" s="32">
        <f>3756+614+57</f>
        <v>4427</v>
      </c>
      <c r="Q790" s="32"/>
      <c r="R790" s="32"/>
      <c r="S790" s="32">
        <f t="shared" si="235"/>
        <v>4427</v>
      </c>
      <c r="T790" s="12"/>
      <c r="U790" s="12"/>
      <c r="V790" s="12"/>
      <c r="W790" s="12">
        <f t="shared" si="236"/>
        <v>4427</v>
      </c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M791" s="10">
        <v>10</v>
      </c>
      <c r="N791" s="30" t="s">
        <v>79</v>
      </c>
      <c r="O791" s="31">
        <f t="shared" si="237"/>
        <v>5277</v>
      </c>
      <c r="P791" s="32">
        <f>5008+2384+832+114</f>
        <v>8338</v>
      </c>
      <c r="Q791" s="32"/>
      <c r="R791" s="32"/>
      <c r="S791" s="32">
        <f t="shared" si="235"/>
        <v>8338</v>
      </c>
      <c r="T791" s="12"/>
      <c r="U791" s="12"/>
      <c r="V791" s="12"/>
      <c r="W791" s="12">
        <f t="shared" si="236"/>
        <v>8338</v>
      </c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M792" s="10">
        <v>11</v>
      </c>
      <c r="N792" s="30" t="s">
        <v>79</v>
      </c>
      <c r="O792" s="31">
        <f t="shared" si="237"/>
        <v>5278</v>
      </c>
      <c r="P792" s="32">
        <f>3756+596+66.5</f>
        <v>4418.5</v>
      </c>
      <c r="Q792" s="32"/>
      <c r="R792" s="32"/>
      <c r="S792" s="32">
        <f t="shared" si="235"/>
        <v>4418.5</v>
      </c>
      <c r="T792" s="12"/>
      <c r="U792" s="12"/>
      <c r="V792" s="12"/>
      <c r="W792" s="12">
        <f t="shared" si="236"/>
        <v>4418.5</v>
      </c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M793" s="10">
        <v>12</v>
      </c>
      <c r="N793" s="30" t="s">
        <v>79</v>
      </c>
      <c r="O793" s="31">
        <f t="shared" si="237"/>
        <v>5279</v>
      </c>
      <c r="P793" s="32">
        <f>3130+1192+66.5</f>
        <v>4388.5</v>
      </c>
      <c r="Q793" s="32"/>
      <c r="R793" s="32"/>
      <c r="S793" s="32">
        <f t="shared" si="235"/>
        <v>4388.5</v>
      </c>
      <c r="T793" s="12"/>
      <c r="U793" s="12"/>
      <c r="V793" s="12"/>
      <c r="W793" s="12">
        <f t="shared" si="236"/>
        <v>4388.5</v>
      </c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M794" s="10">
        <v>13</v>
      </c>
      <c r="N794" s="30" t="s">
        <v>79</v>
      </c>
      <c r="O794" s="31">
        <f t="shared" si="237"/>
        <v>5280</v>
      </c>
      <c r="P794" s="32">
        <f>12520+2980+852+229</f>
        <v>16581</v>
      </c>
      <c r="Q794" s="32"/>
      <c r="R794" s="32"/>
      <c r="S794" s="32">
        <f t="shared" si="235"/>
        <v>16581</v>
      </c>
      <c r="T794" s="12"/>
      <c r="U794" s="12"/>
      <c r="V794" s="12"/>
      <c r="W794" s="12">
        <f t="shared" si="236"/>
        <v>16581</v>
      </c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M795" s="10">
        <v>14</v>
      </c>
      <c r="N795" s="30"/>
      <c r="O795" s="11" t="s">
        <v>28</v>
      </c>
      <c r="P795" s="32"/>
      <c r="Q795" s="32"/>
      <c r="R795" s="32"/>
      <c r="S795" s="32">
        <f t="shared" si="235"/>
        <v>0</v>
      </c>
      <c r="T795" s="12"/>
      <c r="U795" s="12"/>
      <c r="V795" s="12"/>
      <c r="W795" s="12">
        <f t="shared" si="236"/>
        <v>0</v>
      </c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M796" s="10">
        <v>15</v>
      </c>
      <c r="N796" s="30"/>
      <c r="O796" s="31"/>
      <c r="P796" s="32"/>
      <c r="R796" s="32"/>
      <c r="S796" s="32">
        <f t="shared" si="235"/>
        <v>0</v>
      </c>
      <c r="T796" s="12"/>
      <c r="U796" s="12"/>
      <c r="W796" s="12">
        <f t="shared" si="236"/>
        <v>0</v>
      </c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M797" s="10">
        <v>16</v>
      </c>
      <c r="N797" s="30"/>
      <c r="O797" s="31"/>
      <c r="P797" s="32"/>
      <c r="Q797" s="32"/>
      <c r="R797" s="32"/>
      <c r="S797" s="32">
        <f>SUM(P797:Q797)</f>
        <v>0</v>
      </c>
      <c r="T797" s="12"/>
      <c r="U797" s="12"/>
      <c r="V797" s="12"/>
      <c r="W797" s="12">
        <f>SUM(S797:V797)</f>
        <v>0</v>
      </c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M798" s="10">
        <v>17</v>
      </c>
      <c r="N798" s="30"/>
      <c r="O798" s="31"/>
      <c r="P798" s="35"/>
      <c r="Q798" s="32"/>
      <c r="R798" s="32"/>
      <c r="S798" s="32">
        <f t="shared" ref="S798:S820" si="238">SUM(P798:Q798)</f>
        <v>0</v>
      </c>
      <c r="T798" s="12"/>
      <c r="U798" s="12"/>
      <c r="V798" s="12"/>
      <c r="W798" s="12">
        <f t="shared" ref="W798:W823" si="239">SUM(S798:V798)</f>
        <v>0</v>
      </c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M799" s="10">
        <v>18</v>
      </c>
      <c r="N799" s="30"/>
      <c r="P799" s="32"/>
      <c r="Q799" s="32"/>
      <c r="R799" s="32"/>
      <c r="S799" s="32">
        <f t="shared" si="238"/>
        <v>0</v>
      </c>
      <c r="T799" s="12"/>
      <c r="U799" s="12"/>
      <c r="V799" s="12"/>
      <c r="W799" s="12">
        <f t="shared" si="239"/>
        <v>0</v>
      </c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M800" s="10">
        <v>19</v>
      </c>
      <c r="N800" s="30"/>
      <c r="O800" s="31"/>
      <c r="P800" s="32"/>
      <c r="Q800" s="32"/>
      <c r="R800" s="32"/>
      <c r="S800" s="32">
        <f t="shared" si="238"/>
        <v>0</v>
      </c>
      <c r="T800" s="12"/>
      <c r="U800" s="12"/>
      <c r="V800" s="12"/>
      <c r="W800" s="12">
        <f t="shared" si="239"/>
        <v>0</v>
      </c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M801" s="10">
        <v>20</v>
      </c>
      <c r="N801" s="30"/>
      <c r="O801" s="31"/>
      <c r="P801" s="32"/>
      <c r="Q801" s="32"/>
      <c r="R801" s="32"/>
      <c r="S801" s="32">
        <f t="shared" si="238"/>
        <v>0</v>
      </c>
      <c r="T801" s="12"/>
      <c r="U801" s="12"/>
      <c r="V801" s="12"/>
      <c r="W801" s="12">
        <f t="shared" si="239"/>
        <v>0</v>
      </c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M802" s="10">
        <v>21</v>
      </c>
      <c r="N802" s="30"/>
      <c r="O802" s="31"/>
      <c r="P802" s="46"/>
      <c r="Q802" s="31"/>
      <c r="R802" s="31"/>
      <c r="S802" s="32">
        <f t="shared" si="238"/>
        <v>0</v>
      </c>
      <c r="T802" s="10"/>
      <c r="U802" s="10"/>
      <c r="V802" s="10"/>
      <c r="W802" s="12">
        <f t="shared" si="239"/>
        <v>0</v>
      </c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M803" s="10">
        <v>22</v>
      </c>
      <c r="N803" s="30"/>
      <c r="O803" s="31"/>
      <c r="P803" s="45"/>
      <c r="Q803" s="31"/>
      <c r="R803" s="31"/>
      <c r="S803" s="32">
        <f t="shared" si="238"/>
        <v>0</v>
      </c>
      <c r="T803" s="10"/>
      <c r="U803" s="10"/>
      <c r="V803" s="10"/>
      <c r="W803" s="12">
        <f t="shared" si="239"/>
        <v>0</v>
      </c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M804" s="10">
        <v>23</v>
      </c>
      <c r="N804" s="30"/>
      <c r="O804" s="31"/>
      <c r="P804" s="47"/>
      <c r="Q804" s="31"/>
      <c r="R804" s="31"/>
      <c r="S804" s="32">
        <f t="shared" si="238"/>
        <v>0</v>
      </c>
      <c r="T804" s="10"/>
      <c r="U804" s="10"/>
      <c r="V804" s="10"/>
      <c r="W804" s="12">
        <f t="shared" si="239"/>
        <v>0</v>
      </c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M805" s="10">
        <v>24</v>
      </c>
      <c r="N805" s="30"/>
      <c r="O805" s="31"/>
      <c r="P805" s="47"/>
      <c r="Q805" s="31"/>
      <c r="R805" s="31"/>
      <c r="S805" s="32">
        <f t="shared" si="238"/>
        <v>0</v>
      </c>
      <c r="T805" s="10"/>
      <c r="U805" s="10"/>
      <c r="V805" s="10"/>
      <c r="W805" s="12">
        <f t="shared" si="239"/>
        <v>0</v>
      </c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M806" s="10">
        <v>25</v>
      </c>
      <c r="N806" s="30"/>
      <c r="O806" s="31"/>
      <c r="P806" s="47"/>
      <c r="Q806" s="31"/>
      <c r="R806" s="31"/>
      <c r="S806" s="32">
        <f t="shared" si="238"/>
        <v>0</v>
      </c>
      <c r="T806" s="10"/>
      <c r="U806" s="10"/>
      <c r="V806" s="10"/>
      <c r="W806" s="12">
        <f t="shared" si="239"/>
        <v>0</v>
      </c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M807" s="10">
        <v>26</v>
      </c>
      <c r="N807" s="30"/>
      <c r="O807" s="31"/>
      <c r="P807" s="47"/>
      <c r="Q807" s="31"/>
      <c r="R807" s="31"/>
      <c r="S807" s="32">
        <f t="shared" si="238"/>
        <v>0</v>
      </c>
      <c r="T807" s="10"/>
      <c r="U807" s="10"/>
      <c r="V807" s="10"/>
      <c r="W807" s="12">
        <f t="shared" si="239"/>
        <v>0</v>
      </c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M808" s="10">
        <v>27</v>
      </c>
      <c r="N808" s="30"/>
      <c r="O808" s="31"/>
      <c r="P808" s="47"/>
      <c r="Q808" s="31"/>
      <c r="R808" s="31"/>
      <c r="S808" s="32">
        <f t="shared" si="238"/>
        <v>0</v>
      </c>
      <c r="T808" s="10"/>
      <c r="U808" s="10"/>
      <c r="V808" s="10"/>
      <c r="W808" s="12">
        <f t="shared" si="239"/>
        <v>0</v>
      </c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M809" s="10">
        <v>28</v>
      </c>
      <c r="N809" s="30"/>
      <c r="O809" s="31"/>
      <c r="P809" s="47"/>
      <c r="Q809" s="31"/>
      <c r="R809" s="31"/>
      <c r="S809" s="32">
        <f t="shared" si="238"/>
        <v>0</v>
      </c>
      <c r="T809" s="10"/>
      <c r="U809" s="10"/>
      <c r="V809" s="10"/>
      <c r="W809" s="12">
        <f t="shared" si="239"/>
        <v>0</v>
      </c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M810" s="10">
        <v>29</v>
      </c>
      <c r="N810" s="30"/>
      <c r="O810" s="31"/>
      <c r="P810" s="47"/>
      <c r="Q810" s="31"/>
      <c r="R810" s="31"/>
      <c r="S810" s="32">
        <f t="shared" si="238"/>
        <v>0</v>
      </c>
      <c r="T810" s="10"/>
      <c r="U810" s="10"/>
      <c r="V810" s="10"/>
      <c r="W810" s="12">
        <f t="shared" si="239"/>
        <v>0</v>
      </c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M811" s="10">
        <v>30</v>
      </c>
      <c r="N811" s="30"/>
      <c r="O811" s="31"/>
      <c r="P811" s="47"/>
      <c r="Q811" s="31"/>
      <c r="R811" s="31"/>
      <c r="S811" s="32">
        <f t="shared" si="238"/>
        <v>0</v>
      </c>
      <c r="T811" s="10"/>
      <c r="U811" s="10"/>
      <c r="V811" s="10"/>
      <c r="W811" s="12">
        <f t="shared" si="239"/>
        <v>0</v>
      </c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M812" s="10">
        <v>31</v>
      </c>
      <c r="N812" s="30"/>
      <c r="P812" s="47"/>
      <c r="Q812" s="31"/>
      <c r="R812" s="31"/>
      <c r="S812" s="32">
        <f t="shared" si="238"/>
        <v>0</v>
      </c>
      <c r="T812" s="10"/>
      <c r="U812" s="10"/>
      <c r="V812" s="10"/>
      <c r="W812" s="12">
        <f t="shared" si="239"/>
        <v>0</v>
      </c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M813" s="10">
        <v>32</v>
      </c>
      <c r="N813" s="30"/>
      <c r="O813" s="31"/>
      <c r="P813" s="47"/>
      <c r="Q813" s="31"/>
      <c r="R813" s="31"/>
      <c r="S813" s="32">
        <f t="shared" si="238"/>
        <v>0</v>
      </c>
      <c r="T813" s="10"/>
      <c r="U813" s="10"/>
      <c r="V813" s="10"/>
      <c r="W813" s="12">
        <f t="shared" si="239"/>
        <v>0</v>
      </c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M814" s="10">
        <v>33</v>
      </c>
      <c r="N814" s="30"/>
      <c r="O814" s="31"/>
      <c r="P814" s="47"/>
      <c r="Q814" s="31"/>
      <c r="R814" s="31"/>
      <c r="S814" s="32">
        <f t="shared" si="238"/>
        <v>0</v>
      </c>
      <c r="T814" s="10"/>
      <c r="U814" s="10"/>
      <c r="V814" s="10"/>
      <c r="W814" s="12">
        <f t="shared" si="239"/>
        <v>0</v>
      </c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M815" s="10">
        <v>34</v>
      </c>
      <c r="N815" s="30"/>
      <c r="O815" s="31"/>
      <c r="P815" s="47"/>
      <c r="Q815" s="31"/>
      <c r="R815" s="31"/>
      <c r="S815" s="32">
        <f t="shared" si="238"/>
        <v>0</v>
      </c>
      <c r="T815" s="10"/>
      <c r="U815" s="10"/>
      <c r="V815" s="10"/>
      <c r="W815" s="12">
        <f t="shared" si="239"/>
        <v>0</v>
      </c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M816" s="10">
        <v>35</v>
      </c>
      <c r="N816" s="30"/>
      <c r="O816" s="31"/>
      <c r="P816" s="47"/>
      <c r="Q816" s="31"/>
      <c r="R816" s="31"/>
      <c r="S816" s="32">
        <f t="shared" si="238"/>
        <v>0</v>
      </c>
      <c r="T816" s="10"/>
      <c r="U816" s="10"/>
      <c r="V816" s="10"/>
      <c r="W816" s="12">
        <f t="shared" si="239"/>
        <v>0</v>
      </c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M817" s="10">
        <v>36</v>
      </c>
      <c r="N817" s="30"/>
      <c r="O817" s="31"/>
      <c r="P817" s="47"/>
      <c r="Q817" s="31"/>
      <c r="R817" s="31"/>
      <c r="S817" s="32">
        <f t="shared" si="238"/>
        <v>0</v>
      </c>
      <c r="T817" s="10"/>
      <c r="U817" s="10"/>
      <c r="V817" s="10"/>
      <c r="W817" s="12">
        <f t="shared" si="239"/>
        <v>0</v>
      </c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M818" s="10">
        <v>37</v>
      </c>
      <c r="N818" s="30"/>
      <c r="P818" s="47"/>
      <c r="Q818" s="31"/>
      <c r="R818" s="31"/>
      <c r="S818" s="32">
        <f t="shared" si="238"/>
        <v>0</v>
      </c>
      <c r="T818" s="10"/>
      <c r="U818" s="10"/>
      <c r="V818" s="10"/>
      <c r="W818" s="12">
        <f t="shared" si="239"/>
        <v>0</v>
      </c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M819" s="10">
        <v>38</v>
      </c>
      <c r="N819" s="30"/>
      <c r="O819" s="31"/>
      <c r="P819" s="47"/>
      <c r="Q819" s="31"/>
      <c r="R819" s="31"/>
      <c r="S819" s="32">
        <f t="shared" si="238"/>
        <v>0</v>
      </c>
      <c r="T819" s="10"/>
      <c r="U819" s="10"/>
      <c r="V819" s="10"/>
      <c r="W819" s="12">
        <f t="shared" si="239"/>
        <v>0</v>
      </c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M820" s="10">
        <v>39</v>
      </c>
      <c r="N820" s="30"/>
      <c r="O820" s="31"/>
      <c r="P820" s="47"/>
      <c r="Q820" s="31"/>
      <c r="R820" s="31"/>
      <c r="S820" s="32">
        <f t="shared" si="238"/>
        <v>0</v>
      </c>
      <c r="T820" s="10"/>
      <c r="U820" s="10"/>
      <c r="V820" s="10"/>
      <c r="W820" s="12">
        <f t="shared" si="239"/>
        <v>0</v>
      </c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9"/>
        <v>0</v>
      </c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M822" s="10"/>
      <c r="N822" s="30"/>
      <c r="O822" s="31"/>
      <c r="P822" s="47"/>
      <c r="Q822" s="31"/>
      <c r="R822" s="31"/>
      <c r="S822" s="32">
        <f t="shared" ref="S822" si="240">SUM(P822:Q822)</f>
        <v>0</v>
      </c>
      <c r="T822" s="10"/>
      <c r="U822" s="10"/>
      <c r="V822" s="10"/>
      <c r="W822" s="12">
        <f t="shared" si="239"/>
        <v>0</v>
      </c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9"/>
        <v>0</v>
      </c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N825" s="57"/>
      <c r="O825" s="57"/>
      <c r="P825" s="38">
        <f>SUM(P782:P824)</f>
        <v>67223</v>
      </c>
      <c r="Q825" s="38">
        <f>SUM(Q782:Q806)</f>
        <v>0</v>
      </c>
      <c r="R825" s="38">
        <f>SUM(R782:R806)</f>
        <v>0</v>
      </c>
      <c r="S825" s="38">
        <f>SUM(S782:S824)</f>
        <v>67223</v>
      </c>
      <c r="T825" s="4"/>
      <c r="U825" s="41">
        <f>SUM(U782:U824)</f>
        <v>54</v>
      </c>
      <c r="V825" s="41">
        <f>SUM(V782:V806)</f>
        <v>0</v>
      </c>
      <c r="W825" s="42">
        <f>SUM(W782:W824)</f>
        <v>67277</v>
      </c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50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50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50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80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80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80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33" t="s">
        <v>18</v>
      </c>
      <c r="E835" s="133"/>
      <c r="F835" s="114"/>
      <c r="G835" s="27"/>
      <c r="I835" s="131" t="s">
        <v>19</v>
      </c>
      <c r="J835" s="132"/>
      <c r="K835" s="129" t="s">
        <v>20</v>
      </c>
      <c r="N835" s="25"/>
      <c r="O835" s="26"/>
      <c r="P835" s="133" t="s">
        <v>18</v>
      </c>
      <c r="Q835" s="133"/>
      <c r="R835" s="114"/>
      <c r="S835" s="27"/>
      <c r="U835" s="131" t="s">
        <v>19</v>
      </c>
      <c r="V835" s="132"/>
      <c r="W835" s="129" t="s">
        <v>20</v>
      </c>
      <c r="Z835" s="25"/>
      <c r="AA835" s="26"/>
      <c r="AB835" s="133" t="s">
        <v>18</v>
      </c>
      <c r="AC835" s="133"/>
      <c r="AD835" s="113"/>
      <c r="AE835" s="27"/>
      <c r="AG835" s="131" t="s">
        <v>19</v>
      </c>
      <c r="AH835" s="132"/>
      <c r="AI835" s="129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83" t="s">
        <v>23</v>
      </c>
      <c r="E836" s="82" t="s">
        <v>24</v>
      </c>
      <c r="F836" s="84" t="s">
        <v>36</v>
      </c>
      <c r="G836" s="84" t="s">
        <v>25</v>
      </c>
      <c r="I836" s="29" t="s">
        <v>26</v>
      </c>
      <c r="J836" s="29" t="s">
        <v>27</v>
      </c>
      <c r="K836" s="130"/>
      <c r="N836" s="28" t="s">
        <v>21</v>
      </c>
      <c r="O836" s="28" t="s">
        <v>22</v>
      </c>
      <c r="P836" s="83" t="s">
        <v>23</v>
      </c>
      <c r="Q836" s="84" t="s">
        <v>24</v>
      </c>
      <c r="R836" s="84" t="s">
        <v>36</v>
      </c>
      <c r="S836" s="84" t="s">
        <v>25</v>
      </c>
      <c r="U836" s="29" t="s">
        <v>26</v>
      </c>
      <c r="V836" s="29" t="s">
        <v>27</v>
      </c>
      <c r="W836" s="130"/>
      <c r="Z836" s="28" t="s">
        <v>21</v>
      </c>
      <c r="AA836" s="28" t="s">
        <v>22</v>
      </c>
      <c r="AB836" s="83" t="s">
        <v>23</v>
      </c>
      <c r="AC836" s="84" t="s">
        <v>24</v>
      </c>
      <c r="AD836" s="84" t="s">
        <v>36</v>
      </c>
      <c r="AE836" s="84" t="s">
        <v>25</v>
      </c>
      <c r="AG836" s="29" t="s">
        <v>26</v>
      </c>
      <c r="AH836" s="29" t="s">
        <v>27</v>
      </c>
      <c r="AI836" s="130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81</v>
      </c>
      <c r="C837" s="31">
        <v>5366</v>
      </c>
      <c r="D837" s="32">
        <f>269806+4122</f>
        <v>273928</v>
      </c>
      <c r="E837" s="32">
        <v>-4041</v>
      </c>
      <c r="F837" s="32"/>
      <c r="G837" s="32">
        <f t="shared" ref="G837:G864" si="241">SUM(D837:E837)</f>
        <v>269887</v>
      </c>
      <c r="H837" s="12"/>
      <c r="I837" s="12"/>
      <c r="J837" s="12">
        <f>-1320+-234+-36075+-840+-3663</f>
        <v>-42132</v>
      </c>
      <c r="K837" s="12">
        <f t="shared" ref="K837:K870" si="242">SUM(G837:J837)</f>
        <v>227755</v>
      </c>
      <c r="M837" s="10">
        <v>1</v>
      </c>
      <c r="N837" s="30" t="s">
        <v>81</v>
      </c>
      <c r="O837" s="31">
        <v>5301</v>
      </c>
      <c r="P837" s="32">
        <f>3130+832+47.5</f>
        <v>4009.5</v>
      </c>
      <c r="Q837" s="32"/>
      <c r="R837" s="32"/>
      <c r="S837" s="32">
        <f>SUM(P837:Q837)</f>
        <v>4009.5</v>
      </c>
      <c r="T837" s="12"/>
      <c r="U837" s="12"/>
      <c r="V837" s="12"/>
      <c r="W837" s="12">
        <f>SUM(S837:V837)</f>
        <v>4009.5</v>
      </c>
      <c r="Y837" s="10">
        <v>1</v>
      </c>
      <c r="Z837" s="30" t="s">
        <v>81</v>
      </c>
      <c r="AA837" s="31">
        <v>5182</v>
      </c>
      <c r="AB837" s="32">
        <f>103916+6140+29800+2290</f>
        <v>142146</v>
      </c>
      <c r="AC837" s="32"/>
      <c r="AD837" s="32"/>
      <c r="AE837" s="32">
        <f>SUM(AB837:AC837)</f>
        <v>142146</v>
      </c>
      <c r="AF837" s="12"/>
      <c r="AG837" s="12">
        <f>19536+780</f>
        <v>20316</v>
      </c>
      <c r="AH837" s="12">
        <f>-1110</f>
        <v>-1110</v>
      </c>
      <c r="AI837" s="12">
        <f>SUM(AE837:AH837)</f>
        <v>161352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81</v>
      </c>
      <c r="C838" s="31">
        <f>C837+1</f>
        <v>5367</v>
      </c>
      <c r="D838" s="32">
        <f>1252+19</f>
        <v>1271</v>
      </c>
      <c r="E838" s="32"/>
      <c r="F838" s="32"/>
      <c r="G838" s="32">
        <f t="shared" si="241"/>
        <v>1271</v>
      </c>
      <c r="H838" s="12"/>
      <c r="I838" s="12"/>
      <c r="J838" s="12"/>
      <c r="K838" s="12">
        <f t="shared" si="242"/>
        <v>1271</v>
      </c>
      <c r="M838" s="10">
        <v>2</v>
      </c>
      <c r="N838" s="30" t="s">
        <v>81</v>
      </c>
      <c r="O838" s="31">
        <f>O837+1</f>
        <v>5302</v>
      </c>
      <c r="P838" s="32">
        <f>3130+1192</f>
        <v>4322</v>
      </c>
      <c r="Q838" s="32"/>
      <c r="R838" s="32"/>
      <c r="S838" s="32">
        <f t="shared" ref="S838:S851" si="243">SUM(P838:Q838)</f>
        <v>4322</v>
      </c>
      <c r="T838" s="12"/>
      <c r="U838" s="12"/>
      <c r="V838" s="12"/>
      <c r="W838" s="12">
        <f t="shared" ref="W838:W851" si="244">SUM(S838:V838)</f>
        <v>4322</v>
      </c>
      <c r="Y838" s="10">
        <v>2</v>
      </c>
      <c r="Z838" s="30" t="s">
        <v>81</v>
      </c>
      <c r="AA838" s="31">
        <f>AA837+1</f>
        <v>5183</v>
      </c>
      <c r="AB838" s="32">
        <f>28170+1228+2384+832+229</f>
        <v>32843</v>
      </c>
      <c r="AC838" s="32">
        <v>-318</v>
      </c>
      <c r="AD838" s="32"/>
      <c r="AE838" s="32">
        <f t="shared" ref="AE838:AE875" si="245">SUM(AB838:AC838)</f>
        <v>32525</v>
      </c>
      <c r="AF838" s="12"/>
      <c r="AG838" s="12"/>
      <c r="AH838" s="12"/>
      <c r="AI838" s="12">
        <f t="shared" ref="AI838:AI878" si="246">SUM(AE838:AH838)</f>
        <v>32525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81</v>
      </c>
      <c r="C839" s="31">
        <f t="shared" ref="C839:C850" si="247">C838+1</f>
        <v>5368</v>
      </c>
      <c r="D839" s="33">
        <f>7512+614+1192</f>
        <v>9318</v>
      </c>
      <c r="E839" s="33"/>
      <c r="F839" s="33"/>
      <c r="G839" s="33">
        <f t="shared" si="241"/>
        <v>9318</v>
      </c>
      <c r="H839" s="34"/>
      <c r="I839" s="34"/>
      <c r="J839" s="34"/>
      <c r="K839" s="34">
        <f t="shared" si="242"/>
        <v>9318</v>
      </c>
      <c r="M839" s="10">
        <v>3</v>
      </c>
      <c r="N839" s="30" t="s">
        <v>81</v>
      </c>
      <c r="O839" s="31">
        <f t="shared" ref="O839:O859" si="248">O838+1</f>
        <v>5303</v>
      </c>
      <c r="P839" s="32">
        <f>5634+76+1348</f>
        <v>7058</v>
      </c>
      <c r="Q839" s="32"/>
      <c r="R839" s="32"/>
      <c r="S839" s="32">
        <f t="shared" si="243"/>
        <v>7058</v>
      </c>
      <c r="T839" s="12"/>
      <c r="U839" s="12"/>
      <c r="V839" s="12"/>
      <c r="W839" s="12">
        <f t="shared" si="244"/>
        <v>7058</v>
      </c>
      <c r="Y839" s="10">
        <v>3</v>
      </c>
      <c r="Z839" s="30" t="s">
        <v>81</v>
      </c>
      <c r="AA839" s="31">
        <f t="shared" ref="AA839:AA842" si="249">AA838+1</f>
        <v>5184</v>
      </c>
      <c r="AB839" s="33">
        <f>67608+3070+8344+1374</f>
        <v>80396</v>
      </c>
      <c r="AC839" s="33">
        <v>-798</v>
      </c>
      <c r="AD839" s="32"/>
      <c r="AE839" s="32">
        <f t="shared" si="245"/>
        <v>79598</v>
      </c>
      <c r="AF839" s="12"/>
      <c r="AG839" s="12"/>
      <c r="AH839" s="12"/>
      <c r="AI839" s="12">
        <f t="shared" si="246"/>
        <v>79598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81</v>
      </c>
      <c r="C840" s="31">
        <f t="shared" si="247"/>
        <v>5369</v>
      </c>
      <c r="D840" s="32">
        <f>3756+57</f>
        <v>3813</v>
      </c>
      <c r="E840" s="32"/>
      <c r="F840" s="32"/>
      <c r="G840" s="32">
        <f t="shared" si="241"/>
        <v>3813</v>
      </c>
      <c r="H840" s="12"/>
      <c r="I840" s="12"/>
      <c r="J840" s="12"/>
      <c r="K840" s="12">
        <f t="shared" si="242"/>
        <v>3813</v>
      </c>
      <c r="M840" s="10">
        <v>4</v>
      </c>
      <c r="N840" s="30" t="s">
        <v>81</v>
      </c>
      <c r="O840" s="31">
        <f t="shared" si="248"/>
        <v>5304</v>
      </c>
      <c r="P840" s="32">
        <f>125040+5960+458</f>
        <v>131458</v>
      </c>
      <c r="Q840" s="32"/>
      <c r="R840" s="32"/>
      <c r="S840" s="32">
        <f t="shared" si="243"/>
        <v>131458</v>
      </c>
      <c r="T840" s="12"/>
      <c r="U840" s="12"/>
      <c r="V840" s="12"/>
      <c r="W840" s="12">
        <f t="shared" si="244"/>
        <v>131458</v>
      </c>
      <c r="Y840" s="10">
        <v>4</v>
      </c>
      <c r="Z840" s="30" t="s">
        <v>81</v>
      </c>
      <c r="AA840" s="31">
        <f t="shared" si="249"/>
        <v>5185</v>
      </c>
      <c r="AB840" s="32">
        <f>1348</f>
        <v>1348</v>
      </c>
      <c r="AC840" s="32"/>
      <c r="AD840" s="32"/>
      <c r="AE840" s="32">
        <f t="shared" si="245"/>
        <v>1348</v>
      </c>
      <c r="AF840" s="12"/>
      <c r="AH840" s="12"/>
      <c r="AI840" s="12">
        <f t="shared" si="246"/>
        <v>1348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81</v>
      </c>
      <c r="C841" s="31">
        <f t="shared" si="247"/>
        <v>5370</v>
      </c>
      <c r="D841" s="32">
        <f>8138+596+133</f>
        <v>8867</v>
      </c>
      <c r="E841" s="32"/>
      <c r="F841" s="32"/>
      <c r="G841" s="32">
        <f t="shared" si="241"/>
        <v>8867</v>
      </c>
      <c r="H841" s="12"/>
      <c r="I841" s="12">
        <v>27</v>
      </c>
      <c r="J841" s="12"/>
      <c r="K841" s="12">
        <f t="shared" si="242"/>
        <v>8894</v>
      </c>
      <c r="M841" s="10">
        <v>5</v>
      </c>
      <c r="N841" s="30" t="s">
        <v>81</v>
      </c>
      <c r="O841" s="31">
        <f t="shared" si="248"/>
        <v>5305</v>
      </c>
      <c r="P841" s="32">
        <f>3130+47.5</f>
        <v>3177.5</v>
      </c>
      <c r="Q841" s="32"/>
      <c r="R841" s="32"/>
      <c r="S841" s="32">
        <f t="shared" si="243"/>
        <v>3177.5</v>
      </c>
      <c r="T841" s="12"/>
      <c r="U841" s="12"/>
      <c r="V841" s="12"/>
      <c r="W841" s="12">
        <f t="shared" si="244"/>
        <v>3177.5</v>
      </c>
      <c r="Y841" s="10">
        <v>5</v>
      </c>
      <c r="Z841" s="30" t="s">
        <v>81</v>
      </c>
      <c r="AA841" s="31">
        <f t="shared" si="249"/>
        <v>5186</v>
      </c>
      <c r="AB841" s="32">
        <f>1842+229</f>
        <v>2071</v>
      </c>
      <c r="AC841" s="32"/>
      <c r="AD841" s="32"/>
      <c r="AE841" s="32">
        <f t="shared" si="245"/>
        <v>2071</v>
      </c>
      <c r="AF841" s="12"/>
      <c r="AG841" s="12"/>
      <c r="AH841" s="12"/>
      <c r="AI841" s="12">
        <f t="shared" si="246"/>
        <v>2071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81</v>
      </c>
      <c r="C842" s="31">
        <f t="shared" si="247"/>
        <v>5371</v>
      </c>
      <c r="D842" s="32">
        <f>626+10</f>
        <v>636</v>
      </c>
      <c r="E842" s="32"/>
      <c r="F842" s="32"/>
      <c r="G842" s="32">
        <f t="shared" si="241"/>
        <v>636</v>
      </c>
      <c r="H842" s="12"/>
      <c r="I842" s="12"/>
      <c r="J842" s="12"/>
      <c r="K842" s="12">
        <f t="shared" si="242"/>
        <v>636</v>
      </c>
      <c r="M842" s="10">
        <v>6</v>
      </c>
      <c r="N842" s="30" t="s">
        <v>81</v>
      </c>
      <c r="O842" s="31">
        <f t="shared" si="248"/>
        <v>5306</v>
      </c>
      <c r="P842" s="32">
        <f>4382+1192+85.5</f>
        <v>5659.5</v>
      </c>
      <c r="Q842" s="32"/>
      <c r="R842" s="32"/>
      <c r="S842" s="32">
        <f t="shared" si="243"/>
        <v>5659.5</v>
      </c>
      <c r="T842" s="12"/>
      <c r="U842" s="12">
        <v>54</v>
      </c>
      <c r="V842" s="10"/>
      <c r="W842" s="12">
        <f t="shared" si="244"/>
        <v>5713.5</v>
      </c>
      <c r="Y842" s="10">
        <v>6</v>
      </c>
      <c r="Z842" s="30" t="s">
        <v>81</v>
      </c>
      <c r="AA842" s="31">
        <f t="shared" si="249"/>
        <v>5187</v>
      </c>
      <c r="AB842" s="32">
        <f>2022</f>
        <v>2022</v>
      </c>
      <c r="AC842" s="32"/>
      <c r="AD842" s="32"/>
      <c r="AE842" s="32">
        <f t="shared" si="245"/>
        <v>2022</v>
      </c>
      <c r="AF842" s="12"/>
      <c r="AG842" s="12"/>
      <c r="AH842" s="10"/>
      <c r="AI842" s="12">
        <f t="shared" si="246"/>
        <v>2022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81</v>
      </c>
      <c r="C843" s="31">
        <f t="shared" si="247"/>
        <v>5372</v>
      </c>
      <c r="D843" s="32">
        <f>1252+19</f>
        <v>1271</v>
      </c>
      <c r="E843" s="32"/>
      <c r="F843" s="32"/>
      <c r="G843" s="32">
        <f t="shared" si="241"/>
        <v>1271</v>
      </c>
      <c r="H843" s="12"/>
      <c r="I843" s="12"/>
      <c r="J843" s="12"/>
      <c r="K843" s="12">
        <f t="shared" si="242"/>
        <v>1271</v>
      </c>
      <c r="M843" s="10">
        <v>7</v>
      </c>
      <c r="N843" s="30" t="s">
        <v>81</v>
      </c>
      <c r="O843" s="31">
        <f t="shared" si="248"/>
        <v>5307</v>
      </c>
      <c r="P843" s="32">
        <f>3756+1192+76</f>
        <v>5024</v>
      </c>
      <c r="Q843" s="32"/>
      <c r="R843" s="32"/>
      <c r="S843" s="32">
        <f t="shared" si="243"/>
        <v>5024</v>
      </c>
      <c r="T843" s="12"/>
      <c r="U843" s="12"/>
      <c r="V843" s="12"/>
      <c r="W843" s="12">
        <f t="shared" si="244"/>
        <v>5024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45"/>
        <v>0</v>
      </c>
      <c r="AF843" s="12"/>
      <c r="AG843" s="58"/>
      <c r="AH843" s="12"/>
      <c r="AI843" s="12">
        <f t="shared" si="24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81</v>
      </c>
      <c r="C844" s="31">
        <f t="shared" si="247"/>
        <v>5373</v>
      </c>
      <c r="D844" s="32">
        <f>2504+38</f>
        <v>2542</v>
      </c>
      <c r="E844" s="32"/>
      <c r="F844" s="32"/>
      <c r="G844" s="32">
        <f t="shared" si="241"/>
        <v>2542</v>
      </c>
      <c r="H844" s="12"/>
      <c r="I844" s="12"/>
      <c r="J844" s="12"/>
      <c r="K844" s="12">
        <f t="shared" si="242"/>
        <v>2542</v>
      </c>
      <c r="M844" s="10">
        <v>8</v>
      </c>
      <c r="N844" s="30" t="s">
        <v>81</v>
      </c>
      <c r="O844" s="31">
        <f t="shared" si="248"/>
        <v>5308</v>
      </c>
      <c r="P844" s="32">
        <f>1252+1192+38</f>
        <v>2482</v>
      </c>
      <c r="Q844" s="32"/>
      <c r="R844" s="32"/>
      <c r="S844" s="32">
        <f t="shared" si="243"/>
        <v>2482</v>
      </c>
      <c r="T844" s="12"/>
      <c r="U844" s="12"/>
      <c r="V844" s="12"/>
      <c r="W844" s="12">
        <f t="shared" si="244"/>
        <v>2482</v>
      </c>
      <c r="Y844" s="10">
        <v>8</v>
      </c>
      <c r="Z844" s="30"/>
      <c r="AA844" s="31"/>
      <c r="AB844" s="32"/>
      <c r="AC844" s="32"/>
      <c r="AE844" s="32">
        <f t="shared" si="245"/>
        <v>0</v>
      </c>
      <c r="AF844" s="12"/>
      <c r="AG844" s="12"/>
      <c r="AH844" s="12"/>
      <c r="AI844" s="12">
        <f t="shared" si="24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81</v>
      </c>
      <c r="C845" s="31">
        <f t="shared" si="247"/>
        <v>5374</v>
      </c>
      <c r="D845" s="32">
        <f>2504+38</f>
        <v>2542</v>
      </c>
      <c r="E845" s="32"/>
      <c r="F845" s="32"/>
      <c r="G845" s="32">
        <f t="shared" si="241"/>
        <v>2542</v>
      </c>
      <c r="H845" s="12"/>
      <c r="I845" s="12"/>
      <c r="J845" s="12"/>
      <c r="K845" s="12">
        <f t="shared" si="242"/>
        <v>2542</v>
      </c>
      <c r="M845" s="10">
        <v>9</v>
      </c>
      <c r="N845" s="30" t="s">
        <v>81</v>
      </c>
      <c r="O845" s="31">
        <f t="shared" si="248"/>
        <v>5309</v>
      </c>
      <c r="P845" s="32">
        <f>7512+2384+1005+832+152</f>
        <v>11885</v>
      </c>
      <c r="Q845" s="32"/>
      <c r="R845" s="32"/>
      <c r="S845" s="32">
        <f t="shared" si="243"/>
        <v>11885</v>
      </c>
      <c r="T845" s="12"/>
      <c r="U845" s="12"/>
      <c r="V845" s="12"/>
      <c r="W845" s="12">
        <f t="shared" si="244"/>
        <v>11885</v>
      </c>
      <c r="Y845" s="10">
        <v>9</v>
      </c>
      <c r="Z845" s="30"/>
      <c r="AA845" s="31"/>
      <c r="AC845" s="32"/>
      <c r="AD845" s="32"/>
      <c r="AE845" s="32">
        <f t="shared" si="245"/>
        <v>0</v>
      </c>
      <c r="AF845" s="12"/>
      <c r="AH845" s="12"/>
      <c r="AI845" s="12">
        <f t="shared" si="24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81</v>
      </c>
      <c r="C846" s="31">
        <f t="shared" si="247"/>
        <v>5375</v>
      </c>
      <c r="D846" s="32">
        <f>1252+19</f>
        <v>1271</v>
      </c>
      <c r="E846" s="32"/>
      <c r="F846" s="32"/>
      <c r="G846" s="32">
        <f t="shared" si="241"/>
        <v>1271</v>
      </c>
      <c r="H846" s="12"/>
      <c r="I846" s="12"/>
      <c r="J846" s="12"/>
      <c r="K846" s="12">
        <f t="shared" si="242"/>
        <v>1271</v>
      </c>
      <c r="M846" s="10">
        <v>10</v>
      </c>
      <c r="N846" s="30" t="s">
        <v>81</v>
      </c>
      <c r="O846" s="31">
        <f t="shared" si="248"/>
        <v>5310</v>
      </c>
      <c r="P846" s="32">
        <f>7512+114</f>
        <v>7626</v>
      </c>
      <c r="Q846" s="32"/>
      <c r="R846" s="32"/>
      <c r="S846" s="32">
        <f t="shared" si="243"/>
        <v>7626</v>
      </c>
      <c r="T846" s="12"/>
      <c r="U846" s="12"/>
      <c r="V846" s="12"/>
      <c r="W846" s="12">
        <f t="shared" si="244"/>
        <v>7626</v>
      </c>
      <c r="Y846" s="10">
        <v>10</v>
      </c>
      <c r="Z846" s="30"/>
      <c r="AA846" s="31"/>
      <c r="AB846" s="32"/>
      <c r="AC846" s="32"/>
      <c r="AD846" s="32"/>
      <c r="AE846" s="32">
        <f t="shared" si="245"/>
        <v>0</v>
      </c>
      <c r="AF846" s="12"/>
      <c r="AG846" s="12"/>
      <c r="AH846" s="12"/>
      <c r="AI846" s="12">
        <f t="shared" si="24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81</v>
      </c>
      <c r="C847" s="31">
        <f t="shared" si="247"/>
        <v>5376</v>
      </c>
      <c r="D847" s="32">
        <f>1878+596+38</f>
        <v>2512</v>
      </c>
      <c r="E847" s="32"/>
      <c r="F847" s="32"/>
      <c r="G847" s="32">
        <f t="shared" si="241"/>
        <v>2512</v>
      </c>
      <c r="H847" s="12"/>
      <c r="I847" s="12"/>
      <c r="J847" s="12"/>
      <c r="K847" s="12">
        <f t="shared" si="242"/>
        <v>2512</v>
      </c>
      <c r="M847" s="10">
        <v>11</v>
      </c>
      <c r="N847" s="30" t="s">
        <v>81</v>
      </c>
      <c r="O847" s="31">
        <f t="shared" si="248"/>
        <v>5311</v>
      </c>
      <c r="P847" s="32">
        <f>6886+1788+133</f>
        <v>8807</v>
      </c>
      <c r="Q847" s="32"/>
      <c r="R847" s="32"/>
      <c r="S847" s="32">
        <f t="shared" si="243"/>
        <v>8807</v>
      </c>
      <c r="T847" s="12"/>
      <c r="U847" s="12"/>
      <c r="V847" s="12"/>
      <c r="W847" s="12">
        <f t="shared" si="244"/>
        <v>8807</v>
      </c>
      <c r="Y847" s="10">
        <v>11</v>
      </c>
      <c r="Z847" s="30"/>
      <c r="AA847" s="31"/>
      <c r="AB847" s="32"/>
      <c r="AC847" s="32"/>
      <c r="AD847" s="32"/>
      <c r="AE847" s="32">
        <f t="shared" si="245"/>
        <v>0</v>
      </c>
      <c r="AF847" s="12"/>
      <c r="AG847" s="12"/>
      <c r="AH847" s="12"/>
      <c r="AI847" s="12">
        <f t="shared" si="24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81</v>
      </c>
      <c r="C848" s="31">
        <f t="shared" si="247"/>
        <v>5377</v>
      </c>
      <c r="D848" s="32">
        <f>626+596+19</f>
        <v>1241</v>
      </c>
      <c r="E848" s="32"/>
      <c r="F848" s="32"/>
      <c r="G848" s="32">
        <f t="shared" si="241"/>
        <v>1241</v>
      </c>
      <c r="H848" s="12"/>
      <c r="I848" s="12"/>
      <c r="J848" s="10"/>
      <c r="K848" s="12">
        <f t="shared" si="242"/>
        <v>1241</v>
      </c>
      <c r="M848" s="10">
        <v>12</v>
      </c>
      <c r="N848" s="30" t="s">
        <v>81</v>
      </c>
      <c r="O848" s="31">
        <f t="shared" si="248"/>
        <v>5312</v>
      </c>
      <c r="P848" s="32">
        <f>3756+57</f>
        <v>3813</v>
      </c>
      <c r="Q848" s="32"/>
      <c r="R848" s="32"/>
      <c r="S848" s="32">
        <f t="shared" si="243"/>
        <v>3813</v>
      </c>
      <c r="T848" s="12"/>
      <c r="U848" s="12"/>
      <c r="V848" s="12"/>
      <c r="W848" s="12">
        <f t="shared" si="244"/>
        <v>3813</v>
      </c>
      <c r="Y848" s="10">
        <v>12</v>
      </c>
      <c r="Z848" s="30"/>
      <c r="AB848" s="32"/>
      <c r="AC848" s="32"/>
      <c r="AD848" s="32"/>
      <c r="AE848" s="32">
        <f t="shared" si="245"/>
        <v>0</v>
      </c>
      <c r="AF848" s="12"/>
      <c r="AG848" s="12"/>
      <c r="AH848" s="12"/>
      <c r="AI848" s="12">
        <f t="shared" si="24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81</v>
      </c>
      <c r="C849" s="31">
        <f t="shared" si="247"/>
        <v>5378</v>
      </c>
      <c r="D849" s="32">
        <f>3130+674</f>
        <v>3804</v>
      </c>
      <c r="E849" s="32"/>
      <c r="F849" s="32"/>
      <c r="G849" s="32">
        <f t="shared" si="241"/>
        <v>3804</v>
      </c>
      <c r="H849" s="12"/>
      <c r="I849" s="12"/>
      <c r="J849" s="12"/>
      <c r="K849" s="12">
        <f t="shared" si="242"/>
        <v>3804</v>
      </c>
      <c r="M849" s="10">
        <v>13</v>
      </c>
      <c r="N849" s="30" t="s">
        <v>81</v>
      </c>
      <c r="O849" s="31">
        <f t="shared" si="248"/>
        <v>5313</v>
      </c>
      <c r="P849" s="32">
        <f>3130+47.5</f>
        <v>3177.5</v>
      </c>
      <c r="Q849" s="32"/>
      <c r="R849" s="32"/>
      <c r="S849" s="32">
        <f t="shared" si="243"/>
        <v>3177.5</v>
      </c>
      <c r="T849" s="12"/>
      <c r="U849" s="12"/>
      <c r="V849" s="12"/>
      <c r="W849" s="12">
        <f t="shared" si="244"/>
        <v>3177.5</v>
      </c>
      <c r="Y849" s="10">
        <v>13</v>
      </c>
      <c r="Z849" s="30"/>
      <c r="AA849" s="31"/>
      <c r="AB849" s="32"/>
      <c r="AC849" s="32"/>
      <c r="AD849" s="32"/>
      <c r="AE849" s="32">
        <f t="shared" si="245"/>
        <v>0</v>
      </c>
      <c r="AF849" s="12"/>
      <c r="AG849" s="12"/>
      <c r="AH849" s="12"/>
      <c r="AI849" s="12">
        <f t="shared" si="24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81</v>
      </c>
      <c r="C850" s="31">
        <f t="shared" si="247"/>
        <v>5379</v>
      </c>
      <c r="D850" s="32">
        <f>626+596+19</f>
        <v>1241</v>
      </c>
      <c r="E850" s="32"/>
      <c r="F850" s="32"/>
      <c r="G850" s="32">
        <f t="shared" si="241"/>
        <v>1241</v>
      </c>
      <c r="H850" s="12"/>
      <c r="I850" s="12"/>
      <c r="J850" s="12"/>
      <c r="K850" s="12">
        <f t="shared" si="242"/>
        <v>1241</v>
      </c>
      <c r="M850" s="10">
        <v>14</v>
      </c>
      <c r="N850" s="30" t="s">
        <v>81</v>
      </c>
      <c r="O850" s="31">
        <f t="shared" si="248"/>
        <v>5314</v>
      </c>
      <c r="P850" s="32">
        <f>1252+832+19</f>
        <v>2103</v>
      </c>
      <c r="Q850" s="32"/>
      <c r="R850" s="32"/>
      <c r="S850" s="32">
        <f t="shared" si="243"/>
        <v>2103</v>
      </c>
      <c r="T850" s="12"/>
      <c r="U850" s="12"/>
      <c r="V850" s="12"/>
      <c r="W850" s="12">
        <f t="shared" si="244"/>
        <v>2103</v>
      </c>
      <c r="Y850" s="10">
        <v>14</v>
      </c>
      <c r="Z850" s="30"/>
      <c r="AA850" s="31"/>
      <c r="AB850" s="32"/>
      <c r="AC850" s="32"/>
      <c r="AD850" s="32"/>
      <c r="AE850" s="32">
        <f t="shared" si="245"/>
        <v>0</v>
      </c>
      <c r="AF850" s="12"/>
      <c r="AG850" s="12"/>
      <c r="AH850" s="12"/>
      <c r="AI850" s="12">
        <f t="shared" si="24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41"/>
        <v>0</v>
      </c>
      <c r="H851" s="12"/>
      <c r="I851" s="12"/>
      <c r="J851" s="12"/>
      <c r="K851" s="12">
        <f t="shared" si="242"/>
        <v>0</v>
      </c>
      <c r="M851" s="10">
        <v>15</v>
      </c>
      <c r="N851" s="30" t="s">
        <v>81</v>
      </c>
      <c r="O851" s="31">
        <f t="shared" si="248"/>
        <v>5315</v>
      </c>
      <c r="P851" s="32">
        <f>2504+1228+38</f>
        <v>3770</v>
      </c>
      <c r="R851" s="32"/>
      <c r="S851" s="32">
        <f t="shared" si="243"/>
        <v>3770</v>
      </c>
      <c r="T851" s="12"/>
      <c r="U851" s="12">
        <v>6.75</v>
      </c>
      <c r="W851" s="12">
        <f t="shared" si="244"/>
        <v>3776.75</v>
      </c>
      <c r="Y851" s="10">
        <v>15</v>
      </c>
      <c r="Z851" s="30"/>
      <c r="AA851" s="31"/>
      <c r="AB851" s="32"/>
      <c r="AC851" s="32"/>
      <c r="AD851" s="32"/>
      <c r="AE851" s="32">
        <f t="shared" si="245"/>
        <v>0</v>
      </c>
      <c r="AF851" s="12"/>
      <c r="AG851" s="12"/>
      <c r="AH851" s="12"/>
      <c r="AI851" s="12">
        <f t="shared" si="24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41"/>
        <v>0</v>
      </c>
      <c r="H852" s="12"/>
      <c r="I852" s="12"/>
      <c r="J852" s="12"/>
      <c r="K852" s="12">
        <f t="shared" si="242"/>
        <v>0</v>
      </c>
      <c r="M852" s="10">
        <v>16</v>
      </c>
      <c r="N852" s="30" t="s">
        <v>81</v>
      </c>
      <c r="O852" s="31">
        <f t="shared" si="248"/>
        <v>5316</v>
      </c>
      <c r="P852" s="32">
        <f>626*12</f>
        <v>7512</v>
      </c>
      <c r="Q852" s="32"/>
      <c r="R852" s="32"/>
      <c r="S852" s="32">
        <f>SUM(P852:Q852)</f>
        <v>7512</v>
      </c>
      <c r="T852" s="12"/>
      <c r="U852" s="12"/>
      <c r="V852" s="12"/>
      <c r="W852" s="12">
        <f>SUM(S852:V852)</f>
        <v>7512</v>
      </c>
      <c r="Y852" s="10">
        <v>16</v>
      </c>
      <c r="Z852" s="30"/>
      <c r="AA852" s="31"/>
      <c r="AB852" s="32"/>
      <c r="AC852" s="32"/>
      <c r="AD852" s="32"/>
      <c r="AE852" s="32">
        <f t="shared" si="245"/>
        <v>0</v>
      </c>
      <c r="AF852" s="12"/>
      <c r="AG852" s="12"/>
      <c r="AH852" s="12"/>
      <c r="AI852" s="12">
        <f t="shared" si="24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41"/>
        <v>0</v>
      </c>
      <c r="H853" s="12"/>
      <c r="I853" s="12"/>
      <c r="J853" s="12"/>
      <c r="K853" s="12">
        <f t="shared" si="242"/>
        <v>0</v>
      </c>
      <c r="M853" s="10">
        <v>17</v>
      </c>
      <c r="N853" s="30" t="s">
        <v>81</v>
      </c>
      <c r="O853" s="31">
        <f t="shared" si="248"/>
        <v>5317</v>
      </c>
      <c r="P853" s="35">
        <f>1252+614+19</f>
        <v>1885</v>
      </c>
      <c r="Q853" s="32"/>
      <c r="R853" s="32"/>
      <c r="S853" s="32">
        <f t="shared" ref="S853:S875" si="250">SUM(P853:Q853)</f>
        <v>1885</v>
      </c>
      <c r="T853" s="12"/>
      <c r="U853" s="12"/>
      <c r="V853" s="12"/>
      <c r="W853" s="12">
        <f t="shared" ref="W853:W878" si="251">SUM(S853:V853)</f>
        <v>1885</v>
      </c>
      <c r="Y853" s="10">
        <v>17</v>
      </c>
      <c r="Z853" s="30"/>
      <c r="AA853" s="31"/>
      <c r="AB853" s="35"/>
      <c r="AC853" s="32"/>
      <c r="AD853" s="32"/>
      <c r="AE853" s="32">
        <f t="shared" si="245"/>
        <v>0</v>
      </c>
      <c r="AF853" s="12"/>
      <c r="AG853" s="12"/>
      <c r="AH853" s="12"/>
      <c r="AI853" s="12">
        <f t="shared" si="24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41"/>
        <v>0</v>
      </c>
      <c r="H854" s="12"/>
      <c r="I854" s="12"/>
      <c r="J854" s="12"/>
      <c r="K854" s="12">
        <f t="shared" si="242"/>
        <v>0</v>
      </c>
      <c r="M854" s="10">
        <v>18</v>
      </c>
      <c r="N854" s="30" t="s">
        <v>81</v>
      </c>
      <c r="O854" s="31">
        <f t="shared" si="248"/>
        <v>5318</v>
      </c>
      <c r="P854" s="32">
        <f>3756+57</f>
        <v>3813</v>
      </c>
      <c r="Q854" s="32"/>
      <c r="R854" s="32"/>
      <c r="S854" s="32">
        <f t="shared" si="250"/>
        <v>3813</v>
      </c>
      <c r="T854" s="12"/>
      <c r="U854" s="12"/>
      <c r="V854" s="12"/>
      <c r="W854" s="12">
        <f t="shared" si="251"/>
        <v>3813</v>
      </c>
      <c r="Y854" s="10">
        <v>18</v>
      </c>
      <c r="Z854" s="30"/>
      <c r="AA854" s="31"/>
      <c r="AB854" s="32"/>
      <c r="AC854" s="32"/>
      <c r="AD854" s="32"/>
      <c r="AE854" s="32">
        <f t="shared" si="245"/>
        <v>0</v>
      </c>
      <c r="AF854" s="12"/>
      <c r="AG854" s="12"/>
      <c r="AH854" s="12"/>
      <c r="AI854" s="12">
        <f t="shared" si="24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41"/>
        <v>0</v>
      </c>
      <c r="H855" s="12"/>
      <c r="I855" s="12"/>
      <c r="J855" s="12"/>
      <c r="K855" s="12">
        <f t="shared" si="242"/>
        <v>0</v>
      </c>
      <c r="M855" s="10">
        <v>19</v>
      </c>
      <c r="N855" s="30" t="s">
        <v>81</v>
      </c>
      <c r="O855" s="31">
        <f t="shared" si="248"/>
        <v>5319</v>
      </c>
      <c r="P855" s="32">
        <f>2504</f>
        <v>2504</v>
      </c>
      <c r="Q855" s="32"/>
      <c r="R855" s="32"/>
      <c r="S855" s="32">
        <f t="shared" si="250"/>
        <v>2504</v>
      </c>
      <c r="T855" s="12"/>
      <c r="U855" s="12"/>
      <c r="V855" s="12"/>
      <c r="W855" s="12">
        <f t="shared" si="251"/>
        <v>2504</v>
      </c>
      <c r="Y855" s="10">
        <v>19</v>
      </c>
      <c r="Z855" s="30"/>
      <c r="AA855" s="31"/>
      <c r="AB855" s="32"/>
      <c r="AC855" s="32"/>
      <c r="AD855" s="32"/>
      <c r="AE855" s="32">
        <f t="shared" si="245"/>
        <v>0</v>
      </c>
      <c r="AF855" s="12"/>
      <c r="AG855" s="12"/>
      <c r="AH855" s="12"/>
      <c r="AI855" s="12">
        <f t="shared" si="24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D856" s="32"/>
      <c r="E856" s="32"/>
      <c r="F856" s="32"/>
      <c r="G856" s="32">
        <f t="shared" si="241"/>
        <v>0</v>
      </c>
      <c r="H856" s="12"/>
      <c r="I856" s="12"/>
      <c r="J856" s="12"/>
      <c r="K856" s="12">
        <f t="shared" si="242"/>
        <v>0</v>
      </c>
      <c r="M856" s="10">
        <v>20</v>
      </c>
      <c r="N856" s="30" t="s">
        <v>81</v>
      </c>
      <c r="O856" s="31">
        <f t="shared" si="248"/>
        <v>5320</v>
      </c>
      <c r="P856" s="32">
        <f>1878</f>
        <v>1878</v>
      </c>
      <c r="Q856" s="32"/>
      <c r="R856" s="32"/>
      <c r="S856" s="32">
        <f t="shared" si="250"/>
        <v>1878</v>
      </c>
      <c r="T856" s="12"/>
      <c r="U856" s="12"/>
      <c r="V856" s="12"/>
      <c r="W856" s="12">
        <f t="shared" si="251"/>
        <v>1878</v>
      </c>
      <c r="Y856" s="10">
        <v>20</v>
      </c>
      <c r="Z856" s="30"/>
      <c r="AA856" s="31"/>
      <c r="AB856" s="32"/>
      <c r="AC856" s="32"/>
      <c r="AD856" s="32"/>
      <c r="AE856" s="32">
        <f t="shared" si="245"/>
        <v>0</v>
      </c>
      <c r="AF856" s="12"/>
      <c r="AG856" s="12"/>
      <c r="AH856" s="12"/>
      <c r="AI856" s="12">
        <f t="shared" si="24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57"/>
      <c r="D857" s="32"/>
      <c r="E857" s="32"/>
      <c r="F857" s="32"/>
      <c r="G857" s="32">
        <f t="shared" si="241"/>
        <v>0</v>
      </c>
      <c r="H857" s="10"/>
      <c r="I857" s="10"/>
      <c r="J857" s="10"/>
      <c r="K857" s="12">
        <f t="shared" si="242"/>
        <v>0</v>
      </c>
      <c r="M857" s="10">
        <v>21</v>
      </c>
      <c r="N857" s="30" t="s">
        <v>81</v>
      </c>
      <c r="O857" s="31">
        <f t="shared" si="248"/>
        <v>5321</v>
      </c>
      <c r="P857" s="46">
        <f>626+9.5</f>
        <v>635.5</v>
      </c>
      <c r="Q857" s="31"/>
      <c r="R857" s="31"/>
      <c r="S857" s="32">
        <f t="shared" si="250"/>
        <v>635.5</v>
      </c>
      <c r="T857" s="10"/>
      <c r="U857" s="10"/>
      <c r="V857" s="10"/>
      <c r="W857" s="12">
        <f t="shared" si="251"/>
        <v>635.5</v>
      </c>
      <c r="Y857" s="10">
        <v>21</v>
      </c>
      <c r="Z857" s="30"/>
      <c r="AA857" s="31"/>
      <c r="AB857" s="46"/>
      <c r="AC857" s="31"/>
      <c r="AD857" s="31"/>
      <c r="AE857" s="32">
        <f t="shared" si="245"/>
        <v>0</v>
      </c>
      <c r="AF857" s="10"/>
      <c r="AG857" s="10"/>
      <c r="AH857" s="10"/>
      <c r="AI857" s="12">
        <f t="shared" si="24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41"/>
        <v>0</v>
      </c>
      <c r="H858" s="10"/>
      <c r="I858" s="10"/>
      <c r="J858" s="10"/>
      <c r="K858" s="12">
        <f t="shared" si="242"/>
        <v>0</v>
      </c>
      <c r="M858" s="10">
        <v>22</v>
      </c>
      <c r="N858" s="30" t="s">
        <v>81</v>
      </c>
      <c r="O858" s="31">
        <f t="shared" si="248"/>
        <v>5322</v>
      </c>
      <c r="P858" s="45">
        <f>1228</f>
        <v>1228</v>
      </c>
      <c r="Q858" s="31"/>
      <c r="R858" s="31"/>
      <c r="S858" s="32">
        <f t="shared" si="250"/>
        <v>1228</v>
      </c>
      <c r="T858" s="10"/>
      <c r="U858" s="10"/>
      <c r="V858" s="10"/>
      <c r="W858" s="12">
        <f t="shared" si="251"/>
        <v>1228</v>
      </c>
      <c r="Y858" s="10">
        <v>22</v>
      </c>
      <c r="Z858" s="30"/>
      <c r="AA858" s="31"/>
      <c r="AB858" s="45"/>
      <c r="AC858" s="31"/>
      <c r="AD858" s="31"/>
      <c r="AE858" s="32">
        <f t="shared" si="245"/>
        <v>0</v>
      </c>
      <c r="AF858" s="10"/>
      <c r="AG858" s="10"/>
      <c r="AH858" s="10"/>
      <c r="AI858" s="12">
        <f t="shared" si="24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41"/>
        <v>0</v>
      </c>
      <c r="H859" s="10"/>
      <c r="I859" s="10"/>
      <c r="J859" s="12"/>
      <c r="K859" s="12">
        <f t="shared" si="242"/>
        <v>0</v>
      </c>
      <c r="M859" s="10">
        <v>23</v>
      </c>
      <c r="N859" s="30" t="s">
        <v>81</v>
      </c>
      <c r="O859" s="31">
        <f t="shared" si="248"/>
        <v>5323</v>
      </c>
      <c r="P859" s="47">
        <f>614</f>
        <v>614</v>
      </c>
      <c r="Q859" s="31"/>
      <c r="R859" s="31"/>
      <c r="S859" s="32">
        <f t="shared" si="250"/>
        <v>614</v>
      </c>
      <c r="T859" s="10"/>
      <c r="U859" s="10"/>
      <c r="V859" s="10"/>
      <c r="W859" s="12">
        <f t="shared" si="251"/>
        <v>614</v>
      </c>
      <c r="Y859" s="10">
        <v>23</v>
      </c>
      <c r="Z859" s="30"/>
      <c r="AA859" s="31"/>
      <c r="AB859" s="47"/>
      <c r="AE859" s="32">
        <f t="shared" si="245"/>
        <v>0</v>
      </c>
      <c r="AF859" s="10"/>
      <c r="AG859" s="10"/>
      <c r="AH859" s="10"/>
      <c r="AI859" s="12">
        <f t="shared" si="24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41"/>
        <v>0</v>
      </c>
      <c r="H860" s="10"/>
      <c r="I860" s="10"/>
      <c r="J860" s="10"/>
      <c r="K860" s="12">
        <f t="shared" si="242"/>
        <v>0</v>
      </c>
      <c r="M860" s="10">
        <v>24</v>
      </c>
      <c r="N860" s="30"/>
      <c r="O860" s="11" t="s">
        <v>28</v>
      </c>
      <c r="P860" s="47"/>
      <c r="Q860" s="31"/>
      <c r="R860" s="31"/>
      <c r="S860" s="32">
        <f t="shared" si="250"/>
        <v>0</v>
      </c>
      <c r="T860" s="10"/>
      <c r="U860" s="10"/>
      <c r="V860" s="10"/>
      <c r="W860" s="12">
        <f t="shared" si="251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45"/>
        <v>0</v>
      </c>
      <c r="AF860" s="10"/>
      <c r="AG860" s="10"/>
      <c r="AH860" s="10"/>
      <c r="AI860" s="12">
        <f t="shared" si="24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41"/>
        <v>0</v>
      </c>
      <c r="H861" s="10"/>
      <c r="I861" s="10"/>
      <c r="J861" s="10"/>
      <c r="K861" s="12">
        <f t="shared" si="242"/>
        <v>0</v>
      </c>
      <c r="M861" s="10">
        <v>25</v>
      </c>
      <c r="N861" s="30"/>
      <c r="O861" s="31"/>
      <c r="P861" s="47"/>
      <c r="Q861" s="31"/>
      <c r="R861" s="31"/>
      <c r="S861" s="32">
        <f t="shared" si="250"/>
        <v>0</v>
      </c>
      <c r="T861" s="10"/>
      <c r="U861" s="10"/>
      <c r="V861" s="10"/>
      <c r="W861" s="12">
        <f t="shared" si="251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45"/>
        <v>0</v>
      </c>
      <c r="AF861" s="10"/>
      <c r="AG861" s="10"/>
      <c r="AH861" s="10"/>
      <c r="AI861" s="12">
        <f t="shared" si="24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41"/>
        <v>0</v>
      </c>
      <c r="H862" s="10"/>
      <c r="I862" s="10"/>
      <c r="J862" s="10"/>
      <c r="K862" s="12">
        <f t="shared" si="242"/>
        <v>0</v>
      </c>
      <c r="M862" s="10">
        <v>26</v>
      </c>
      <c r="N862" s="30"/>
      <c r="O862" s="31"/>
      <c r="P862" s="47"/>
      <c r="Q862" s="31"/>
      <c r="R862" s="31"/>
      <c r="S862" s="32">
        <f t="shared" si="250"/>
        <v>0</v>
      </c>
      <c r="T862" s="10"/>
      <c r="U862" s="10"/>
      <c r="V862" s="10"/>
      <c r="W862" s="12">
        <f t="shared" si="251"/>
        <v>0</v>
      </c>
      <c r="Y862" s="10">
        <v>26</v>
      </c>
      <c r="Z862" s="30"/>
      <c r="AA862" s="31"/>
      <c r="AB862" s="47"/>
      <c r="AC862" s="31"/>
      <c r="AD862" s="31"/>
      <c r="AE862" s="32">
        <f t="shared" si="245"/>
        <v>0</v>
      </c>
      <c r="AF862" s="10"/>
      <c r="AG862" s="10"/>
      <c r="AH862" s="10"/>
      <c r="AI862" s="12">
        <f t="shared" si="24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57"/>
      <c r="D863" s="32"/>
      <c r="E863" s="32"/>
      <c r="F863" s="32"/>
      <c r="G863" s="32">
        <f t="shared" si="241"/>
        <v>0</v>
      </c>
      <c r="H863" s="10"/>
      <c r="I863" s="10"/>
      <c r="J863" s="10"/>
      <c r="K863" s="12">
        <f t="shared" si="242"/>
        <v>0</v>
      </c>
      <c r="M863" s="10">
        <v>27</v>
      </c>
      <c r="N863" s="30"/>
      <c r="O863" s="31"/>
      <c r="P863" s="47"/>
      <c r="Q863" s="31"/>
      <c r="R863" s="31"/>
      <c r="S863" s="32">
        <f t="shared" si="250"/>
        <v>0</v>
      </c>
      <c r="T863" s="10"/>
      <c r="U863" s="10"/>
      <c r="V863" s="10"/>
      <c r="W863" s="12">
        <f t="shared" si="251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45"/>
        <v>0</v>
      </c>
      <c r="AF863" s="10"/>
      <c r="AG863" s="10"/>
      <c r="AH863" s="10"/>
      <c r="AI863" s="12">
        <f t="shared" si="24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41"/>
        <v>0</v>
      </c>
      <c r="H864" s="10"/>
      <c r="I864" s="10"/>
      <c r="J864" s="10"/>
      <c r="K864" s="12">
        <f t="shared" si="242"/>
        <v>0</v>
      </c>
      <c r="M864" s="10">
        <v>28</v>
      </c>
      <c r="N864" s="30"/>
      <c r="O864" s="31"/>
      <c r="P864" s="47"/>
      <c r="Q864" s="31"/>
      <c r="R864" s="31"/>
      <c r="S864" s="32">
        <f t="shared" si="250"/>
        <v>0</v>
      </c>
      <c r="T864" s="10"/>
      <c r="U864" s="10"/>
      <c r="V864" s="10"/>
      <c r="W864" s="12">
        <f t="shared" si="251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45"/>
        <v>0</v>
      </c>
      <c r="AF864" s="10"/>
      <c r="AG864" s="10"/>
      <c r="AH864" s="10"/>
      <c r="AI864" s="12">
        <f t="shared" si="24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/>
      <c r="H865" s="10"/>
      <c r="I865" s="10"/>
      <c r="J865" s="10"/>
      <c r="K865" s="12">
        <f t="shared" si="242"/>
        <v>0</v>
      </c>
      <c r="M865" s="10">
        <v>29</v>
      </c>
      <c r="N865" s="30"/>
      <c r="O865" s="31"/>
      <c r="P865" s="47"/>
      <c r="Q865" s="31"/>
      <c r="R865" s="31"/>
      <c r="S865" s="32">
        <f t="shared" si="250"/>
        <v>0</v>
      </c>
      <c r="T865" s="10"/>
      <c r="U865" s="10"/>
      <c r="V865" s="10"/>
      <c r="W865" s="12">
        <f t="shared" si="251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45"/>
        <v>0</v>
      </c>
      <c r="AF865" s="10"/>
      <c r="AG865" s="10"/>
      <c r="AH865" s="10"/>
      <c r="AI865" s="12">
        <f t="shared" si="24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/>
      <c r="H866" s="10"/>
      <c r="I866" s="10"/>
      <c r="J866" s="10"/>
      <c r="K866" s="12">
        <f t="shared" si="242"/>
        <v>0</v>
      </c>
      <c r="M866" s="10">
        <v>30</v>
      </c>
      <c r="N866" s="30"/>
      <c r="O866" s="31"/>
      <c r="P866" s="47"/>
      <c r="Q866" s="31"/>
      <c r="R866" s="31"/>
      <c r="S866" s="32">
        <f t="shared" si="250"/>
        <v>0</v>
      </c>
      <c r="T866" s="10"/>
      <c r="U866" s="10"/>
      <c r="V866" s="10"/>
      <c r="W866" s="12">
        <f t="shared" si="251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45"/>
        <v>0</v>
      </c>
      <c r="AF866" s="10"/>
      <c r="AG866" s="10"/>
      <c r="AH866" s="10"/>
      <c r="AI866" s="12">
        <f t="shared" si="24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/>
      <c r="H867" s="10"/>
      <c r="I867" s="10"/>
      <c r="J867" s="10"/>
      <c r="K867" s="12">
        <f t="shared" si="242"/>
        <v>0</v>
      </c>
      <c r="M867" s="10">
        <v>31</v>
      </c>
      <c r="N867" s="30"/>
      <c r="P867" s="47"/>
      <c r="Q867" s="31"/>
      <c r="R867" s="31"/>
      <c r="S867" s="32">
        <f t="shared" si="250"/>
        <v>0</v>
      </c>
      <c r="T867" s="10"/>
      <c r="U867" s="10"/>
      <c r="V867" s="10"/>
      <c r="W867" s="12">
        <f t="shared" si="251"/>
        <v>0</v>
      </c>
      <c r="Y867" s="10">
        <v>31</v>
      </c>
      <c r="Z867" s="30"/>
      <c r="AB867" s="47"/>
      <c r="AC867" s="31"/>
      <c r="AD867" s="31"/>
      <c r="AE867" s="32">
        <f t="shared" si="245"/>
        <v>0</v>
      </c>
      <c r="AF867" s="10"/>
      <c r="AG867" s="10"/>
      <c r="AH867" s="10"/>
      <c r="AI867" s="12">
        <f t="shared" si="24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31"/>
      <c r="D868" s="32"/>
      <c r="E868" s="32"/>
      <c r="F868" s="32"/>
      <c r="G868" s="32"/>
      <c r="H868" s="10"/>
      <c r="I868" s="10"/>
      <c r="J868" s="10"/>
      <c r="K868" s="12">
        <f t="shared" si="242"/>
        <v>0</v>
      </c>
      <c r="M868" s="10">
        <v>32</v>
      </c>
      <c r="N868" s="30"/>
      <c r="P868" s="47"/>
      <c r="Q868" s="31"/>
      <c r="R868" s="31"/>
      <c r="S868" s="32">
        <f t="shared" si="250"/>
        <v>0</v>
      </c>
      <c r="T868" s="10"/>
      <c r="U868" s="10"/>
      <c r="V868" s="10"/>
      <c r="W868" s="12">
        <f t="shared" si="251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45"/>
        <v>0</v>
      </c>
      <c r="AF868" s="10"/>
      <c r="AG868" s="10"/>
      <c r="AH868" s="10"/>
      <c r="AI868" s="12">
        <f t="shared" si="24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/>
      <c r="H869" s="10"/>
      <c r="I869" s="10"/>
      <c r="J869" s="10"/>
      <c r="K869" s="12">
        <f t="shared" si="242"/>
        <v>0</v>
      </c>
      <c r="M869" s="10">
        <v>33</v>
      </c>
      <c r="N869" s="30"/>
      <c r="O869" s="31"/>
      <c r="P869" s="47"/>
      <c r="Q869" s="31"/>
      <c r="R869" s="31"/>
      <c r="S869" s="32">
        <f t="shared" si="250"/>
        <v>0</v>
      </c>
      <c r="T869" s="10"/>
      <c r="U869" s="10"/>
      <c r="V869" s="10"/>
      <c r="W869" s="12">
        <f t="shared" si="251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45"/>
        <v>0</v>
      </c>
      <c r="AF869" s="10"/>
      <c r="AG869" s="10"/>
      <c r="AH869" s="10"/>
      <c r="AI869" s="12">
        <f t="shared" si="24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57"/>
      <c r="D870" s="32"/>
      <c r="E870" s="32"/>
      <c r="F870" s="32"/>
      <c r="G870" s="32">
        <f t="shared" ref="G870" si="252">SUM(D870:E870)</f>
        <v>0</v>
      </c>
      <c r="H870" s="10"/>
      <c r="I870" s="10"/>
      <c r="J870" s="10"/>
      <c r="K870" s="12">
        <f t="shared" si="242"/>
        <v>0</v>
      </c>
      <c r="M870" s="10">
        <v>34</v>
      </c>
      <c r="N870" s="30"/>
      <c r="O870" s="31"/>
      <c r="P870" s="47"/>
      <c r="Q870" s="31"/>
      <c r="R870" s="31"/>
      <c r="S870" s="32">
        <f t="shared" si="250"/>
        <v>0</v>
      </c>
      <c r="T870" s="10"/>
      <c r="U870" s="10"/>
      <c r="V870" s="10"/>
      <c r="W870" s="12">
        <f t="shared" si="251"/>
        <v>0</v>
      </c>
      <c r="Y870" s="10">
        <v>34</v>
      </c>
      <c r="Z870" s="30"/>
      <c r="AB870" s="47"/>
      <c r="AC870" s="31"/>
      <c r="AD870" s="31"/>
      <c r="AE870" s="32">
        <f t="shared" si="245"/>
        <v>0</v>
      </c>
      <c r="AF870" s="10"/>
      <c r="AG870" s="10"/>
      <c r="AH870" s="10"/>
      <c r="AI870" s="12">
        <f t="shared" si="24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50"/>
        <v>0</v>
      </c>
      <c r="T871" s="10"/>
      <c r="U871" s="10"/>
      <c r="V871" s="10"/>
      <c r="W871" s="12">
        <f t="shared" si="251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45"/>
        <v>0</v>
      </c>
      <c r="AF871" s="10"/>
      <c r="AG871" s="10"/>
      <c r="AH871" s="10"/>
      <c r="AI871" s="12">
        <f t="shared" si="24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50"/>
        <v>0</v>
      </c>
      <c r="T872" s="10"/>
      <c r="U872" s="10"/>
      <c r="V872" s="10"/>
      <c r="W872" s="12">
        <f t="shared" si="251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45"/>
        <v>0</v>
      </c>
      <c r="AF872" s="10"/>
      <c r="AG872" s="10"/>
      <c r="AH872" s="10"/>
      <c r="AI872" s="12">
        <f t="shared" si="24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50"/>
        <v>0</v>
      </c>
      <c r="T873" s="10"/>
      <c r="U873" s="10"/>
      <c r="V873" s="10"/>
      <c r="W873" s="12">
        <f t="shared" si="251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45"/>
        <v>0</v>
      </c>
      <c r="AF873" s="10"/>
      <c r="AG873" s="10"/>
      <c r="AH873" s="10"/>
      <c r="AI873" s="12">
        <f t="shared" si="24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50"/>
        <v>0</v>
      </c>
      <c r="T874" s="10"/>
      <c r="U874" s="10"/>
      <c r="V874" s="10"/>
      <c r="W874" s="12">
        <f t="shared" si="251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45"/>
        <v>0</v>
      </c>
      <c r="AF874" s="10"/>
      <c r="AG874" s="10"/>
      <c r="AH874" s="10"/>
      <c r="AI874" s="12">
        <f t="shared" si="24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57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50"/>
        <v>0</v>
      </c>
      <c r="T875" s="10"/>
      <c r="U875" s="10"/>
      <c r="V875" s="10"/>
      <c r="W875" s="12">
        <f t="shared" si="251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45"/>
        <v>0</v>
      </c>
      <c r="AF875" s="10"/>
      <c r="AG875" s="10"/>
      <c r="AH875" s="10"/>
      <c r="AI875" s="12">
        <f t="shared" si="24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1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4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53">SUM(D877:E877)</f>
        <v>0</v>
      </c>
      <c r="H877" s="10"/>
      <c r="I877" s="10"/>
      <c r="J877" s="10"/>
      <c r="K877" s="12">
        <f t="shared" ref="K877" si="254">SUM(G877:J877)</f>
        <v>0</v>
      </c>
      <c r="M877" s="10"/>
      <c r="N877" s="30"/>
      <c r="O877" s="31"/>
      <c r="P877" s="47"/>
      <c r="Q877" s="31"/>
      <c r="R877" s="31"/>
      <c r="S877" s="32">
        <f t="shared" ref="S877" si="255">SUM(P877:Q877)</f>
        <v>0</v>
      </c>
      <c r="T877" s="10"/>
      <c r="U877" s="10"/>
      <c r="V877" s="10"/>
      <c r="W877" s="12">
        <f t="shared" si="251"/>
        <v>0</v>
      </c>
      <c r="Y877" s="10"/>
      <c r="Z877" s="30"/>
      <c r="AA877" s="31"/>
      <c r="AB877" s="47"/>
      <c r="AC877" s="31"/>
      <c r="AD877" s="31"/>
      <c r="AE877" s="32">
        <f t="shared" ref="AE877" si="256">SUM(AB877:AC877)</f>
        <v>0</v>
      </c>
      <c r="AF877" s="10"/>
      <c r="AG877" s="10"/>
      <c r="AH877" s="10"/>
      <c r="AI877" s="12">
        <f t="shared" si="24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1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4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314257</v>
      </c>
      <c r="E880" s="38">
        <f t="shared" ref="E880:F880" si="257">SUM(E837:E877)</f>
        <v>-4041</v>
      </c>
      <c r="F880" s="38">
        <f t="shared" si="257"/>
        <v>0</v>
      </c>
      <c r="G880" s="38">
        <f>SUM(G837:G879)</f>
        <v>310216</v>
      </c>
      <c r="H880" s="4"/>
      <c r="I880" s="39">
        <f>SUM(I837:I879)</f>
        <v>27</v>
      </c>
      <c r="J880" s="39">
        <f>SUM(J837:J879)</f>
        <v>-42132</v>
      </c>
      <c r="K880" s="40">
        <f>SUM(K837:K879)</f>
        <v>268111</v>
      </c>
      <c r="N880" s="57"/>
      <c r="O880" s="57"/>
      <c r="P880" s="38">
        <f>SUM(P837:P879)</f>
        <v>224441.5</v>
      </c>
      <c r="Q880" s="38">
        <f>SUM(Q837:Q861)</f>
        <v>0</v>
      </c>
      <c r="R880" s="38">
        <f>SUM(R837:R861)</f>
        <v>0</v>
      </c>
      <c r="S880" s="38">
        <f>SUM(S837:S879)</f>
        <v>224441.5</v>
      </c>
      <c r="T880" s="4"/>
      <c r="U880" s="41">
        <f>SUM(U837:U879)</f>
        <v>60.75</v>
      </c>
      <c r="V880" s="41">
        <f>SUM(V837:V861)</f>
        <v>0</v>
      </c>
      <c r="W880" s="42">
        <f>SUM(W837:W879)</f>
        <v>224502.25</v>
      </c>
      <c r="Z880" s="57"/>
      <c r="AA880" s="57"/>
      <c r="AB880" s="38">
        <f>SUM(AB837:AB879)</f>
        <v>260826</v>
      </c>
      <c r="AC880" s="38">
        <f>SUM(AC837:AC861)</f>
        <v>-1116</v>
      </c>
      <c r="AD880" s="38">
        <f>SUM(AD837:AD861)</f>
        <v>0</v>
      </c>
      <c r="AE880" s="38">
        <f>SUM(AE837:AE879)</f>
        <v>259710</v>
      </c>
      <c r="AF880" s="4"/>
      <c r="AG880" s="41">
        <f>SUM(AG837:AG879)</f>
        <v>20316</v>
      </c>
      <c r="AH880" s="41">
        <f>SUM(AH837:AH861)</f>
        <v>-1110</v>
      </c>
      <c r="AI880" s="42">
        <f>SUM(AI837:AI879)</f>
        <v>278916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33" t="s">
        <v>18</v>
      </c>
      <c r="E890" s="133"/>
      <c r="F890" s="115"/>
      <c r="G890" s="27"/>
      <c r="I890" s="131" t="s">
        <v>19</v>
      </c>
      <c r="J890" s="132"/>
      <c r="K890" s="129" t="s">
        <v>20</v>
      </c>
      <c r="N890" s="25"/>
      <c r="O890" s="26"/>
      <c r="P890" s="133" t="s">
        <v>18</v>
      </c>
      <c r="Q890" s="133"/>
      <c r="R890" s="115"/>
      <c r="S890" s="27"/>
      <c r="U890" s="131" t="s">
        <v>19</v>
      </c>
      <c r="V890" s="132"/>
      <c r="W890" s="129" t="s">
        <v>20</v>
      </c>
      <c r="Z890" s="25"/>
      <c r="AA890" s="26"/>
      <c r="AB890" s="133" t="s">
        <v>18</v>
      </c>
      <c r="AC890" s="133"/>
      <c r="AD890" s="115"/>
      <c r="AE890" s="27"/>
      <c r="AG890" s="131" t="s">
        <v>19</v>
      </c>
      <c r="AH890" s="132"/>
      <c r="AI890" s="129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83" t="s">
        <v>23</v>
      </c>
      <c r="E891" s="82" t="s">
        <v>24</v>
      </c>
      <c r="F891" s="84" t="s">
        <v>36</v>
      </c>
      <c r="G891" s="84" t="s">
        <v>25</v>
      </c>
      <c r="I891" s="29" t="s">
        <v>26</v>
      </c>
      <c r="J891" s="29" t="s">
        <v>27</v>
      </c>
      <c r="K891" s="130"/>
      <c r="N891" s="28" t="s">
        <v>21</v>
      </c>
      <c r="O891" s="28" t="s">
        <v>22</v>
      </c>
      <c r="P891" s="83" t="s">
        <v>23</v>
      </c>
      <c r="Q891" s="84" t="s">
        <v>24</v>
      </c>
      <c r="R891" s="84" t="s">
        <v>36</v>
      </c>
      <c r="S891" s="84" t="s">
        <v>25</v>
      </c>
      <c r="U891" s="29" t="s">
        <v>26</v>
      </c>
      <c r="V891" s="29" t="s">
        <v>27</v>
      </c>
      <c r="W891" s="130"/>
      <c r="Z891" s="28" t="s">
        <v>21</v>
      </c>
      <c r="AA891" s="28" t="s">
        <v>22</v>
      </c>
      <c r="AB891" s="83" t="s">
        <v>23</v>
      </c>
      <c r="AC891" s="84" t="s">
        <v>24</v>
      </c>
      <c r="AD891" s="84" t="s">
        <v>36</v>
      </c>
      <c r="AE891" s="84" t="s">
        <v>25</v>
      </c>
      <c r="AG891" s="29" t="s">
        <v>26</v>
      </c>
      <c r="AH891" s="29" t="s">
        <v>27</v>
      </c>
      <c r="AI891" s="130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5380</v>
      </c>
      <c r="D892" s="32">
        <f>1252+19</f>
        <v>1271</v>
      </c>
      <c r="E892" s="32"/>
      <c r="F892" s="32"/>
      <c r="G892" s="32">
        <f t="shared" ref="G892:G919" si="258">SUM(D892:E892)</f>
        <v>1271</v>
      </c>
      <c r="H892" s="12"/>
      <c r="I892" s="12"/>
      <c r="J892" s="12"/>
      <c r="K892" s="12">
        <f t="shared" ref="K892:K925" si="259">SUM(G892:J892)</f>
        <v>1271</v>
      </c>
      <c r="M892" s="10">
        <v>1</v>
      </c>
      <c r="N892" s="30" t="s">
        <v>85</v>
      </c>
      <c r="O892" s="31">
        <v>5324</v>
      </c>
      <c r="P892" s="32">
        <f>1252+19</f>
        <v>1271</v>
      </c>
      <c r="Q892" s="32"/>
      <c r="R892" s="32"/>
      <c r="S892" s="32">
        <f>SUM(P892:Q892)</f>
        <v>1271</v>
      </c>
      <c r="T892" s="12"/>
      <c r="U892" s="12"/>
      <c r="V892" s="12"/>
      <c r="W892" s="12">
        <f>SUM(S892:V892)</f>
        <v>1271</v>
      </c>
      <c r="Y892" s="10">
        <v>1</v>
      </c>
      <c r="Z892" s="30" t="s">
        <v>85</v>
      </c>
      <c r="AA892" s="31">
        <v>5165</v>
      </c>
      <c r="AB892" s="32">
        <f>626+614+9</f>
        <v>1249</v>
      </c>
      <c r="AC892" s="32"/>
      <c r="AD892" s="32"/>
      <c r="AE892" s="32">
        <f>SUM(AB892:AC892)</f>
        <v>1249</v>
      </c>
      <c r="AF892" s="12"/>
      <c r="AG892" s="12"/>
      <c r="AH892" s="12"/>
      <c r="AI892" s="12">
        <f>SUM(AE892:AH892)</f>
        <v>1249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f>C892+1</f>
        <v>5381</v>
      </c>
      <c r="D893" s="32">
        <f>6260+2456+1370+1192+852+674+416+114+750+503</f>
        <v>14587</v>
      </c>
      <c r="E893" s="32"/>
      <c r="F893" s="32"/>
      <c r="G893" s="32">
        <f t="shared" si="258"/>
        <v>14587</v>
      </c>
      <c r="H893" s="12"/>
      <c r="I893" s="12">
        <f>666+222+444+111+108+30</f>
        <v>1581</v>
      </c>
      <c r="J893" s="12"/>
      <c r="K893" s="12">
        <f t="shared" si="259"/>
        <v>16168</v>
      </c>
      <c r="M893" s="10">
        <v>2</v>
      </c>
      <c r="N893" s="30" t="s">
        <v>85</v>
      </c>
      <c r="O893" s="31">
        <f>O892+1</f>
        <v>5325</v>
      </c>
      <c r="P893" s="32">
        <f>626+596+19</f>
        <v>1241</v>
      </c>
      <c r="Q893" s="32"/>
      <c r="R893" s="32"/>
      <c r="S893" s="32">
        <f t="shared" ref="S893:S906" si="260">SUM(P893:Q893)</f>
        <v>1241</v>
      </c>
      <c r="T893" s="12"/>
      <c r="U893" s="12"/>
      <c r="V893" s="12"/>
      <c r="W893" s="12">
        <f t="shared" ref="W893:W906" si="261">SUM(S893:V893)</f>
        <v>1241</v>
      </c>
      <c r="Y893" s="10">
        <v>2</v>
      </c>
      <c r="Z893" s="30" t="s">
        <v>85</v>
      </c>
      <c r="AA893" s="31">
        <v>5188</v>
      </c>
      <c r="AB893" s="32">
        <f>10642+2456+5960+852+832+229</f>
        <v>20971</v>
      </c>
      <c r="AC893" s="32"/>
      <c r="AD893" s="32"/>
      <c r="AE893" s="32">
        <f t="shared" ref="AE893:AE930" si="262">SUM(AB893:AC893)</f>
        <v>20971</v>
      </c>
      <c r="AF893" s="12"/>
      <c r="AG893" s="12">
        <v>121</v>
      </c>
      <c r="AH893" s="12"/>
      <c r="AI893" s="12">
        <f t="shared" ref="AI893:AI933" si="263">SUM(AE893:AH893)</f>
        <v>21092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05" si="264">C893+1</f>
        <v>5382</v>
      </c>
      <c r="D894" s="33">
        <f>1667+1175+1175+1582+1300</f>
        <v>6899</v>
      </c>
      <c r="E894" s="33"/>
      <c r="F894" s="33"/>
      <c r="G894" s="33">
        <f t="shared" si="258"/>
        <v>6899</v>
      </c>
      <c r="H894" s="34"/>
      <c r="I894" s="34"/>
      <c r="J894" s="34"/>
      <c r="K894" s="34">
        <f t="shared" si="259"/>
        <v>6899</v>
      </c>
      <c r="M894" s="10">
        <v>3</v>
      </c>
      <c r="N894" s="30" t="s">
        <v>85</v>
      </c>
      <c r="O894" s="31">
        <f t="shared" ref="O894:O913" si="265">O893+1</f>
        <v>5326</v>
      </c>
      <c r="P894" s="32">
        <f>5008+596+85.5</f>
        <v>5689.5</v>
      </c>
      <c r="Q894" s="32"/>
      <c r="R894" s="32"/>
      <c r="S894" s="32">
        <f t="shared" si="260"/>
        <v>5689.5</v>
      </c>
      <c r="T894" s="12"/>
      <c r="U894" s="12"/>
      <c r="V894" s="12"/>
      <c r="W894" s="12">
        <f t="shared" si="261"/>
        <v>5689.5</v>
      </c>
      <c r="Y894" s="10">
        <v>3</v>
      </c>
      <c r="Z894" s="30" t="s">
        <v>85</v>
      </c>
      <c r="AA894" s="31">
        <f t="shared" ref="AA894:AA905" si="266">AA893+1</f>
        <v>5189</v>
      </c>
      <c r="AB894" s="33">
        <f>12520+2456+832</f>
        <v>15808</v>
      </c>
      <c r="AC894" s="33"/>
      <c r="AD894" s="32"/>
      <c r="AE894" s="32">
        <f t="shared" si="262"/>
        <v>15808</v>
      </c>
      <c r="AF894" s="12"/>
      <c r="AG894" s="12">
        <f>76+10</f>
        <v>86</v>
      </c>
      <c r="AH894" s="12"/>
      <c r="AI894" s="12">
        <f t="shared" si="263"/>
        <v>15894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64"/>
        <v>5383</v>
      </c>
      <c r="D895" s="32">
        <f>6260+95</f>
        <v>6355</v>
      </c>
      <c r="E895" s="32"/>
      <c r="F895" s="32"/>
      <c r="G895" s="32">
        <f t="shared" si="258"/>
        <v>6355</v>
      </c>
      <c r="H895" s="12"/>
      <c r="I895" s="12"/>
      <c r="J895" s="12"/>
      <c r="K895" s="12">
        <f t="shared" si="259"/>
        <v>6355</v>
      </c>
      <c r="M895" s="10">
        <v>4</v>
      </c>
      <c r="N895" s="30" t="s">
        <v>85</v>
      </c>
      <c r="O895" s="31">
        <f t="shared" si="265"/>
        <v>5327</v>
      </c>
      <c r="P895" s="32">
        <f>626+9.5</f>
        <v>635.5</v>
      </c>
      <c r="Q895" s="32"/>
      <c r="R895" s="32"/>
      <c r="S895" s="32">
        <f t="shared" si="260"/>
        <v>635.5</v>
      </c>
      <c r="T895" s="12"/>
      <c r="U895" s="12"/>
      <c r="V895" s="12"/>
      <c r="W895" s="12">
        <f t="shared" si="261"/>
        <v>635.5</v>
      </c>
      <c r="Y895" s="10">
        <v>4</v>
      </c>
      <c r="Z895" s="30" t="s">
        <v>85</v>
      </c>
      <c r="AA895" s="31">
        <f t="shared" si="266"/>
        <v>5190</v>
      </c>
      <c r="AB895" s="32">
        <f>2504+38</f>
        <v>2542</v>
      </c>
      <c r="AC895" s="32"/>
      <c r="AD895" s="32"/>
      <c r="AE895" s="32">
        <f t="shared" si="262"/>
        <v>2542</v>
      </c>
      <c r="AF895" s="12"/>
      <c r="AG895">
        <v>6</v>
      </c>
      <c r="AH895" s="12"/>
      <c r="AI895" s="12">
        <f t="shared" si="263"/>
        <v>2548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64"/>
        <v>5384</v>
      </c>
      <c r="D896" s="32">
        <f>6260+614+95</f>
        <v>6969</v>
      </c>
      <c r="E896" s="32"/>
      <c r="F896" s="32"/>
      <c r="G896" s="32">
        <f t="shared" si="258"/>
        <v>6969</v>
      </c>
      <c r="H896" s="12"/>
      <c r="I896" s="12"/>
      <c r="J896" s="12"/>
      <c r="K896" s="12">
        <f t="shared" si="259"/>
        <v>6969</v>
      </c>
      <c r="M896" s="10">
        <v>5</v>
      </c>
      <c r="N896" s="30" t="s">
        <v>85</v>
      </c>
      <c r="O896" s="31">
        <f t="shared" si="265"/>
        <v>5328</v>
      </c>
      <c r="P896" s="32">
        <f>1252+596+28.5</f>
        <v>1876.5</v>
      </c>
      <c r="Q896" s="32"/>
      <c r="R896" s="32"/>
      <c r="S896" s="32">
        <f t="shared" si="260"/>
        <v>1876.5</v>
      </c>
      <c r="T896" s="12"/>
      <c r="U896" s="12"/>
      <c r="V896" s="12"/>
      <c r="W896" s="12">
        <f t="shared" si="261"/>
        <v>1876.5</v>
      </c>
      <c r="Y896" s="10">
        <v>5</v>
      </c>
      <c r="Z896" s="30" t="s">
        <v>85</v>
      </c>
      <c r="AA896" s="31">
        <f t="shared" si="266"/>
        <v>5191</v>
      </c>
      <c r="AB896" s="32">
        <f>1878+614+28</f>
        <v>2520</v>
      </c>
      <c r="AC896" s="32"/>
      <c r="AD896" s="32"/>
      <c r="AE896" s="32">
        <f t="shared" si="262"/>
        <v>2520</v>
      </c>
      <c r="AF896" s="12"/>
      <c r="AG896" s="12"/>
      <c r="AH896" s="12"/>
      <c r="AI896" s="12">
        <f t="shared" si="263"/>
        <v>2520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64"/>
        <v>5385</v>
      </c>
      <c r="D897" s="32">
        <f>5008+614+76</f>
        <v>5698</v>
      </c>
      <c r="E897" s="32"/>
      <c r="F897" s="32"/>
      <c r="G897" s="32">
        <f t="shared" si="258"/>
        <v>5698</v>
      </c>
      <c r="H897" s="12"/>
      <c r="I897" s="12"/>
      <c r="J897" s="12"/>
      <c r="K897" s="12">
        <f t="shared" si="259"/>
        <v>5698</v>
      </c>
      <c r="M897" s="10">
        <v>6</v>
      </c>
      <c r="N897" s="30" t="s">
        <v>85</v>
      </c>
      <c r="O897" s="31">
        <f t="shared" si="265"/>
        <v>5329</v>
      </c>
      <c r="P897" s="32">
        <f>3130+596+57</f>
        <v>3783</v>
      </c>
      <c r="Q897" s="32"/>
      <c r="R897" s="32"/>
      <c r="S897" s="32">
        <f t="shared" si="260"/>
        <v>3783</v>
      </c>
      <c r="T897" s="12"/>
      <c r="U897" s="12"/>
      <c r="V897" s="10"/>
      <c r="W897" s="12">
        <f t="shared" si="261"/>
        <v>3783</v>
      </c>
      <c r="Y897" s="10">
        <v>6</v>
      </c>
      <c r="Z897" s="30" t="s">
        <v>85</v>
      </c>
      <c r="AA897" s="31">
        <f t="shared" si="266"/>
        <v>5192</v>
      </c>
      <c r="AB897" s="32">
        <f>1252+4768+95</f>
        <v>6115</v>
      </c>
      <c r="AC897" s="32"/>
      <c r="AD897" s="32"/>
      <c r="AE897" s="32">
        <f t="shared" si="262"/>
        <v>6115</v>
      </c>
      <c r="AF897" s="12"/>
      <c r="AG897" s="12"/>
      <c r="AH897" s="10"/>
      <c r="AI897" s="12">
        <f t="shared" si="263"/>
        <v>6115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64"/>
        <v>5386</v>
      </c>
      <c r="D898" s="32">
        <f>1252+596+29</f>
        <v>1877</v>
      </c>
      <c r="E898" s="32"/>
      <c r="F898" s="32"/>
      <c r="G898" s="32">
        <f t="shared" si="258"/>
        <v>1877</v>
      </c>
      <c r="H898" s="12"/>
      <c r="I898" s="12">
        <v>5</v>
      </c>
      <c r="J898" s="12"/>
      <c r="K898" s="12">
        <f t="shared" si="259"/>
        <v>1882</v>
      </c>
      <c r="M898" s="10">
        <v>7</v>
      </c>
      <c r="N898" s="30" t="s">
        <v>85</v>
      </c>
      <c r="O898" s="31">
        <f t="shared" si="265"/>
        <v>5330</v>
      </c>
      <c r="P898" s="32">
        <f>5008+2384+114</f>
        <v>7506</v>
      </c>
      <c r="Q898" s="32"/>
      <c r="R898" s="32"/>
      <c r="S898" s="32">
        <f t="shared" si="260"/>
        <v>7506</v>
      </c>
      <c r="T898" s="12"/>
      <c r="U898" s="12"/>
      <c r="V898" s="12"/>
      <c r="W898" s="12">
        <f t="shared" si="261"/>
        <v>7506</v>
      </c>
      <c r="Y898" s="10">
        <v>7</v>
      </c>
      <c r="Z898" s="30" t="s">
        <v>85</v>
      </c>
      <c r="AA898" s="31">
        <f t="shared" si="266"/>
        <v>5193</v>
      </c>
      <c r="AB898" s="32">
        <f>3756+1228+57</f>
        <v>5041</v>
      </c>
      <c r="AC898" s="32"/>
      <c r="AD898" s="32"/>
      <c r="AE898" s="32">
        <f t="shared" si="262"/>
        <v>5041</v>
      </c>
      <c r="AF898" s="12"/>
      <c r="AG898" s="58">
        <v>4</v>
      </c>
      <c r="AH898" s="12"/>
      <c r="AI898" s="12">
        <f t="shared" si="263"/>
        <v>5045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64"/>
        <v>5387</v>
      </c>
      <c r="D899" s="32">
        <f>626+10</f>
        <v>636</v>
      </c>
      <c r="E899" s="32"/>
      <c r="F899" s="32"/>
      <c r="G899" s="32">
        <f t="shared" si="258"/>
        <v>636</v>
      </c>
      <c r="H899" s="12"/>
      <c r="I899" s="12"/>
      <c r="J899" s="12"/>
      <c r="K899" s="12">
        <f t="shared" si="259"/>
        <v>636</v>
      </c>
      <c r="M899" s="10">
        <v>8</v>
      </c>
      <c r="N899" s="30" t="s">
        <v>85</v>
      </c>
      <c r="O899" s="31">
        <f t="shared" si="265"/>
        <v>5331</v>
      </c>
      <c r="P899" s="32">
        <f>1878+28.5</f>
        <v>1906.5</v>
      </c>
      <c r="Q899" s="32"/>
      <c r="R899" s="32"/>
      <c r="S899" s="32">
        <f t="shared" si="260"/>
        <v>1906.5</v>
      </c>
      <c r="T899" s="12"/>
      <c r="U899" s="12"/>
      <c r="V899" s="12"/>
      <c r="W899" s="12">
        <f t="shared" si="261"/>
        <v>1906.5</v>
      </c>
      <c r="Y899" s="10">
        <v>8</v>
      </c>
      <c r="Z899" s="30" t="s">
        <v>85</v>
      </c>
      <c r="AA899" s="31">
        <f t="shared" si="266"/>
        <v>5194</v>
      </c>
      <c r="AB899" s="32">
        <f>6260+687+650</f>
        <v>7597</v>
      </c>
      <c r="AC899" s="32"/>
      <c r="AE899" s="32">
        <f t="shared" si="262"/>
        <v>7597</v>
      </c>
      <c r="AF899" s="12"/>
      <c r="AG899" s="12"/>
      <c r="AH899" s="12"/>
      <c r="AI899" s="12">
        <f t="shared" si="263"/>
        <v>7597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64"/>
        <v>5388</v>
      </c>
      <c r="D900" s="32">
        <f>1252+614+19</f>
        <v>1885</v>
      </c>
      <c r="E900" s="32"/>
      <c r="F900" s="32"/>
      <c r="G900" s="32">
        <f t="shared" si="258"/>
        <v>1885</v>
      </c>
      <c r="H900" s="12"/>
      <c r="I900" s="12"/>
      <c r="J900" s="12"/>
      <c r="K900" s="12">
        <f t="shared" si="259"/>
        <v>1885</v>
      </c>
      <c r="M900" s="10">
        <v>9</v>
      </c>
      <c r="N900" s="30" t="s">
        <v>85</v>
      </c>
      <c r="O900" s="31">
        <f t="shared" si="265"/>
        <v>5332</v>
      </c>
      <c r="P900" s="32">
        <f>31300+687+650</f>
        <v>32637</v>
      </c>
      <c r="Q900" s="32"/>
      <c r="R900" s="32"/>
      <c r="S900" s="32">
        <f t="shared" si="260"/>
        <v>32637</v>
      </c>
      <c r="T900" s="12"/>
      <c r="U900" s="12">
        <f>54+108</f>
        <v>162</v>
      </c>
      <c r="V900" s="12"/>
      <c r="W900" s="12">
        <f t="shared" si="261"/>
        <v>32799</v>
      </c>
      <c r="Y900" s="10">
        <v>9</v>
      </c>
      <c r="Z900" s="30" t="s">
        <v>85</v>
      </c>
      <c r="AA900" s="31">
        <f t="shared" si="266"/>
        <v>5195</v>
      </c>
      <c r="AB900">
        <f>18780+8940+832+458</f>
        <v>29010</v>
      </c>
      <c r="AC900" s="32"/>
      <c r="AD900" s="32"/>
      <c r="AE900" s="32">
        <f t="shared" si="262"/>
        <v>29010</v>
      </c>
      <c r="AF900" s="12"/>
      <c r="AG900">
        <v>13</v>
      </c>
      <c r="AH900" s="12"/>
      <c r="AI900" s="12">
        <f t="shared" si="263"/>
        <v>29023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64"/>
        <v>5389</v>
      </c>
      <c r="D901" s="32">
        <f>3756+1192+76</f>
        <v>5024</v>
      </c>
      <c r="E901" s="32"/>
      <c r="F901" s="32"/>
      <c r="G901" s="32">
        <f t="shared" si="258"/>
        <v>5024</v>
      </c>
      <c r="H901" s="12"/>
      <c r="I901" s="12"/>
      <c r="J901" s="12"/>
      <c r="K901" s="12">
        <f t="shared" si="259"/>
        <v>5024</v>
      </c>
      <c r="M901" s="10">
        <v>10</v>
      </c>
      <c r="N901" s="30" t="s">
        <v>85</v>
      </c>
      <c r="O901" s="31">
        <f t="shared" si="265"/>
        <v>5333</v>
      </c>
      <c r="P901" s="32">
        <f>3756+1228+596+66.5+650</f>
        <v>6296.5</v>
      </c>
      <c r="Q901" s="32"/>
      <c r="R901" s="32"/>
      <c r="S901" s="32">
        <f t="shared" si="260"/>
        <v>6296.5</v>
      </c>
      <c r="T901" s="12"/>
      <c r="U901" s="12">
        <v>54</v>
      </c>
      <c r="V901" s="12"/>
      <c r="W901" s="12">
        <f t="shared" si="261"/>
        <v>6350.5</v>
      </c>
      <c r="Y901" s="10">
        <v>10</v>
      </c>
      <c r="Z901" s="30" t="s">
        <v>85</v>
      </c>
      <c r="AA901" s="31">
        <f t="shared" si="266"/>
        <v>5196</v>
      </c>
      <c r="AB901" s="32">
        <f>6260+2980+142</f>
        <v>9382</v>
      </c>
      <c r="AC901" s="32"/>
      <c r="AD901" s="32"/>
      <c r="AE901" s="32">
        <f t="shared" si="262"/>
        <v>9382</v>
      </c>
      <c r="AF901" s="12"/>
      <c r="AG901" s="12"/>
      <c r="AH901" s="12"/>
      <c r="AI901" s="12">
        <f t="shared" si="263"/>
        <v>9382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64"/>
        <v>5390</v>
      </c>
      <c r="D902" s="32">
        <f>5634+614+1192+105</f>
        <v>7545</v>
      </c>
      <c r="E902" s="32"/>
      <c r="F902" s="32"/>
      <c r="G902" s="32">
        <f t="shared" si="258"/>
        <v>7545</v>
      </c>
      <c r="H902" s="12"/>
      <c r="I902" s="12">
        <v>15</v>
      </c>
      <c r="J902" s="12"/>
      <c r="K902" s="12">
        <f t="shared" si="259"/>
        <v>7560</v>
      </c>
      <c r="M902" s="10">
        <v>11</v>
      </c>
      <c r="N902" s="30" t="s">
        <v>85</v>
      </c>
      <c r="O902" s="31">
        <f t="shared" si="265"/>
        <v>5334</v>
      </c>
      <c r="P902" s="32">
        <f>3130+614+1192+66.5</f>
        <v>5002.5</v>
      </c>
      <c r="Q902" s="32"/>
      <c r="R902" s="32"/>
      <c r="S902" s="32">
        <f t="shared" si="260"/>
        <v>5002.5</v>
      </c>
      <c r="T902" s="12"/>
      <c r="U902" s="12"/>
      <c r="V902" s="12"/>
      <c r="W902" s="12">
        <f t="shared" si="261"/>
        <v>5002.5</v>
      </c>
      <c r="Y902" s="10">
        <v>11</v>
      </c>
      <c r="Z902" s="30" t="s">
        <v>85</v>
      </c>
      <c r="AA902" s="31">
        <f t="shared" si="266"/>
        <v>5197</v>
      </c>
      <c r="AB902" s="32">
        <f>3130+1788+76</f>
        <v>4994</v>
      </c>
      <c r="AC902" s="32"/>
      <c r="AD902" s="32"/>
      <c r="AE902" s="32">
        <f t="shared" si="262"/>
        <v>4994</v>
      </c>
      <c r="AF902" s="12"/>
      <c r="AG902" s="12"/>
      <c r="AH902" s="12"/>
      <c r="AI902" s="12">
        <f t="shared" si="263"/>
        <v>4994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64"/>
        <v>5391</v>
      </c>
      <c r="D903" s="32">
        <f>73242+1228+6740+852+1005+832+1145+1300</f>
        <v>86344</v>
      </c>
      <c r="E903" s="32"/>
      <c r="F903" s="32"/>
      <c r="G903" s="32">
        <f t="shared" si="258"/>
        <v>86344</v>
      </c>
      <c r="H903" s="12"/>
      <c r="I903" s="12"/>
      <c r="J903" s="10"/>
      <c r="K903" s="12">
        <f t="shared" si="259"/>
        <v>86344</v>
      </c>
      <c r="M903" s="10">
        <v>12</v>
      </c>
      <c r="N903" s="30" t="s">
        <v>85</v>
      </c>
      <c r="O903" s="31">
        <f t="shared" si="265"/>
        <v>5335</v>
      </c>
      <c r="P903" s="32">
        <f>31300+614*2+596*5+832</f>
        <v>36340</v>
      </c>
      <c r="Q903" s="32"/>
      <c r="R903" s="32"/>
      <c r="S903" s="32">
        <f t="shared" si="260"/>
        <v>36340</v>
      </c>
      <c r="T903" s="12"/>
      <c r="U903" s="12"/>
      <c r="V903" s="12"/>
      <c r="W903" s="12">
        <f t="shared" si="261"/>
        <v>36340</v>
      </c>
      <c r="Y903" s="10">
        <v>12</v>
      </c>
      <c r="Z903" s="30" t="s">
        <v>85</v>
      </c>
      <c r="AA903" s="31">
        <f t="shared" si="266"/>
        <v>5198</v>
      </c>
      <c r="AB903" s="32">
        <f>6260+1788+123</f>
        <v>8171</v>
      </c>
      <c r="AC903" s="32"/>
      <c r="AD903" s="32"/>
      <c r="AE903" s="32">
        <f t="shared" si="262"/>
        <v>8171</v>
      </c>
      <c r="AF903" s="12"/>
      <c r="AG903" s="12"/>
      <c r="AH903" s="12"/>
      <c r="AI903" s="12">
        <f t="shared" si="263"/>
        <v>8171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64"/>
        <v>5392</v>
      </c>
      <c r="D904" s="32">
        <f>2504+38</f>
        <v>2542</v>
      </c>
      <c r="E904" s="32"/>
      <c r="F904" s="32"/>
      <c r="G904" s="32">
        <f t="shared" si="258"/>
        <v>2542</v>
      </c>
      <c r="H904" s="12"/>
      <c r="I904" s="12"/>
      <c r="J904" s="12"/>
      <c r="K904" s="12">
        <f t="shared" si="259"/>
        <v>2542</v>
      </c>
      <c r="M904" s="10">
        <v>13</v>
      </c>
      <c r="N904" s="30" t="s">
        <v>85</v>
      </c>
      <c r="O904" s="31">
        <f t="shared" si="265"/>
        <v>5336</v>
      </c>
      <c r="P904" s="32">
        <f>3756+229</f>
        <v>3985</v>
      </c>
      <c r="Q904" s="32"/>
      <c r="R904" s="32"/>
      <c r="S904" s="32">
        <f t="shared" si="260"/>
        <v>3985</v>
      </c>
      <c r="T904" s="12"/>
      <c r="U904" s="12">
        <v>54</v>
      </c>
      <c r="V904" s="12"/>
      <c r="W904" s="12">
        <f t="shared" si="261"/>
        <v>4039</v>
      </c>
      <c r="Y904" s="10">
        <v>13</v>
      </c>
      <c r="Z904" s="30" t="s">
        <v>85</v>
      </c>
      <c r="AA904" s="31">
        <f t="shared" si="266"/>
        <v>5199</v>
      </c>
      <c r="AB904" s="32">
        <f>8138+4172+229</f>
        <v>12539</v>
      </c>
      <c r="AC904" s="32"/>
      <c r="AD904" s="32"/>
      <c r="AE904" s="32">
        <f t="shared" si="262"/>
        <v>12539</v>
      </c>
      <c r="AF904" s="12"/>
      <c r="AG904" s="12"/>
      <c r="AH904" s="12"/>
      <c r="AI904" s="12">
        <f t="shared" si="263"/>
        <v>12539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64"/>
        <v>5393</v>
      </c>
      <c r="D905" s="32">
        <f>2504+614+596+48</f>
        <v>3762</v>
      </c>
      <c r="E905" s="32"/>
      <c r="F905" s="32"/>
      <c r="G905" s="32">
        <f t="shared" si="258"/>
        <v>3762</v>
      </c>
      <c r="H905" s="12"/>
      <c r="I905" s="12">
        <f>27+8</f>
        <v>35</v>
      </c>
      <c r="J905" s="12"/>
      <c r="K905" s="12">
        <f t="shared" si="259"/>
        <v>3797</v>
      </c>
      <c r="M905" s="10">
        <v>14</v>
      </c>
      <c r="N905" s="30" t="s">
        <v>85</v>
      </c>
      <c r="O905" s="31">
        <f t="shared" si="265"/>
        <v>5337</v>
      </c>
      <c r="P905" s="32">
        <f>3130+596+57</f>
        <v>3783</v>
      </c>
      <c r="Q905" s="32"/>
      <c r="R905" s="32"/>
      <c r="S905" s="32">
        <f t="shared" si="260"/>
        <v>3783</v>
      </c>
      <c r="T905" s="12"/>
      <c r="U905" s="12"/>
      <c r="V905" s="12"/>
      <c r="W905" s="12">
        <f t="shared" si="261"/>
        <v>3783</v>
      </c>
      <c r="Y905" s="10">
        <v>14</v>
      </c>
      <c r="Z905" s="30" t="s">
        <v>85</v>
      </c>
      <c r="AA905" s="31">
        <f t="shared" si="266"/>
        <v>5200</v>
      </c>
      <c r="AB905" s="32">
        <f>1252+19</f>
        <v>1271</v>
      </c>
      <c r="AC905" s="32"/>
      <c r="AD905" s="32"/>
      <c r="AE905" s="32">
        <f t="shared" si="262"/>
        <v>1271</v>
      </c>
      <c r="AF905" s="12"/>
      <c r="AG905" s="12"/>
      <c r="AH905" s="12"/>
      <c r="AI905" s="12">
        <f t="shared" si="263"/>
        <v>1271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/>
      <c r="C906" s="11" t="s">
        <v>28</v>
      </c>
      <c r="D906" s="32"/>
      <c r="E906" s="32"/>
      <c r="F906" s="32"/>
      <c r="G906" s="32">
        <f t="shared" si="258"/>
        <v>0</v>
      </c>
      <c r="H906" s="12"/>
      <c r="I906" s="12"/>
      <c r="J906" s="12"/>
      <c r="K906" s="12">
        <f t="shared" si="259"/>
        <v>0</v>
      </c>
      <c r="M906" s="10">
        <v>15</v>
      </c>
      <c r="N906" s="30" t="s">
        <v>85</v>
      </c>
      <c r="O906" s="31">
        <f t="shared" si="265"/>
        <v>5338</v>
      </c>
      <c r="P906" s="32">
        <f>1878+614+596+38</f>
        <v>3126</v>
      </c>
      <c r="R906" s="32"/>
      <c r="S906" s="32">
        <f t="shared" si="260"/>
        <v>3126</v>
      </c>
      <c r="T906" s="12"/>
      <c r="U906" s="12"/>
      <c r="W906" s="12">
        <f t="shared" si="261"/>
        <v>3126</v>
      </c>
      <c r="Y906" s="10">
        <v>15</v>
      </c>
      <c r="Z906" s="30" t="s">
        <v>85</v>
      </c>
      <c r="AA906" s="31">
        <v>4697</v>
      </c>
      <c r="AB906" s="32">
        <f>626+9</f>
        <v>635</v>
      </c>
      <c r="AC906" s="32"/>
      <c r="AD906" s="32"/>
      <c r="AE906" s="32">
        <f t="shared" si="262"/>
        <v>635</v>
      </c>
      <c r="AF906" s="12"/>
      <c r="AG906" s="12"/>
      <c r="AH906" s="12"/>
      <c r="AI906" s="12">
        <f t="shared" si="263"/>
        <v>635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31"/>
      <c r="D907" s="32"/>
      <c r="E907" s="32"/>
      <c r="F907" s="32"/>
      <c r="G907" s="32">
        <f t="shared" si="258"/>
        <v>0</v>
      </c>
      <c r="H907" s="12"/>
      <c r="I907" s="12"/>
      <c r="J907" s="12"/>
      <c r="K907" s="12">
        <f t="shared" si="259"/>
        <v>0</v>
      </c>
      <c r="M907" s="10">
        <v>16</v>
      </c>
      <c r="N907" s="30" t="s">
        <v>85</v>
      </c>
      <c r="O907" s="31">
        <f t="shared" si="265"/>
        <v>5339</v>
      </c>
      <c r="P907" s="32">
        <f>626+1192+28.5</f>
        <v>1846.5</v>
      </c>
      <c r="Q907" s="32"/>
      <c r="R907" s="32"/>
      <c r="S907" s="32">
        <f>SUM(P907:Q907)</f>
        <v>1846.5</v>
      </c>
      <c r="T907" s="12"/>
      <c r="U907" s="12"/>
      <c r="V907" s="12"/>
      <c r="W907" s="12">
        <f>SUM(S907:V907)</f>
        <v>1846.5</v>
      </c>
      <c r="Y907" s="10">
        <v>16</v>
      </c>
      <c r="Z907" s="30"/>
      <c r="AA907" s="31"/>
      <c r="AB907" s="32"/>
      <c r="AC907" s="32"/>
      <c r="AD907" s="32"/>
      <c r="AE907" s="32">
        <f t="shared" si="262"/>
        <v>0</v>
      </c>
      <c r="AF907" s="12"/>
      <c r="AG907" s="12"/>
      <c r="AH907" s="12"/>
      <c r="AI907" s="12">
        <f t="shared" si="263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258"/>
        <v>0</v>
      </c>
      <c r="H908" s="12"/>
      <c r="I908" s="12"/>
      <c r="J908" s="12"/>
      <c r="K908" s="12">
        <f t="shared" si="259"/>
        <v>0</v>
      </c>
      <c r="M908" s="10">
        <v>17</v>
      </c>
      <c r="N908" s="30" t="s">
        <v>85</v>
      </c>
      <c r="O908" s="31">
        <f t="shared" si="265"/>
        <v>5340</v>
      </c>
      <c r="P908" s="35">
        <f>1252+1192+38</f>
        <v>2482</v>
      </c>
      <c r="Q908" s="32"/>
      <c r="R908" s="32"/>
      <c r="S908" s="32">
        <f t="shared" ref="S908:S930" si="267">SUM(P908:Q908)</f>
        <v>2482</v>
      </c>
      <c r="T908" s="12"/>
      <c r="U908" s="12"/>
      <c r="V908" s="12"/>
      <c r="W908" s="12">
        <f t="shared" ref="W908:W933" si="268">SUM(S908:V908)</f>
        <v>2482</v>
      </c>
      <c r="Y908" s="10">
        <v>17</v>
      </c>
      <c r="Z908" s="30" t="s">
        <v>85</v>
      </c>
      <c r="AA908" s="31">
        <v>4699</v>
      </c>
      <c r="AB908" s="35">
        <f>626+9</f>
        <v>635</v>
      </c>
      <c r="AC908" s="32"/>
      <c r="AD908" s="32"/>
      <c r="AE908" s="32">
        <f t="shared" si="262"/>
        <v>635</v>
      </c>
      <c r="AF908" s="12"/>
      <c r="AG908" s="12"/>
      <c r="AH908" s="12"/>
      <c r="AI908" s="12">
        <f t="shared" si="263"/>
        <v>635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258"/>
        <v>0</v>
      </c>
      <c r="H909" s="12"/>
      <c r="I909" s="12"/>
      <c r="J909" s="12"/>
      <c r="K909" s="12">
        <f t="shared" si="259"/>
        <v>0</v>
      </c>
      <c r="M909" s="10">
        <v>18</v>
      </c>
      <c r="N909" s="30" t="s">
        <v>85</v>
      </c>
      <c r="O909" s="31">
        <f t="shared" si="265"/>
        <v>5341</v>
      </c>
      <c r="P909" s="32">
        <f>229</f>
        <v>229</v>
      </c>
      <c r="Q909" s="32"/>
      <c r="R909" s="32"/>
      <c r="S909" s="32">
        <f t="shared" si="267"/>
        <v>229</v>
      </c>
      <c r="T909" s="12"/>
      <c r="U909" s="12"/>
      <c r="V909" s="12"/>
      <c r="W909" s="12">
        <f t="shared" si="268"/>
        <v>229</v>
      </c>
      <c r="Y909" s="10">
        <v>18</v>
      </c>
      <c r="Z909" s="30" t="s">
        <v>85</v>
      </c>
      <c r="AA909" s="31">
        <v>4900</v>
      </c>
      <c r="AB909" s="32">
        <f>626+596+19</f>
        <v>1241</v>
      </c>
      <c r="AC909" s="32"/>
      <c r="AD909" s="32"/>
      <c r="AE909" s="32">
        <f t="shared" si="262"/>
        <v>1241</v>
      </c>
      <c r="AF909" s="12"/>
      <c r="AG909" s="12"/>
      <c r="AH909" s="12"/>
      <c r="AI909" s="12">
        <f t="shared" si="263"/>
        <v>1241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258"/>
        <v>0</v>
      </c>
      <c r="H910" s="12"/>
      <c r="I910" s="12"/>
      <c r="J910" s="12"/>
      <c r="K910" s="12">
        <f t="shared" si="259"/>
        <v>0</v>
      </c>
      <c r="M910" s="10">
        <v>19</v>
      </c>
      <c r="N910" s="30" t="s">
        <v>85</v>
      </c>
      <c r="O910" s="31">
        <f t="shared" si="265"/>
        <v>5342</v>
      </c>
      <c r="P910" s="32">
        <f>3130+47.5</f>
        <v>3177.5</v>
      </c>
      <c r="Q910" s="32"/>
      <c r="R910" s="32"/>
      <c r="S910" s="32">
        <f t="shared" si="267"/>
        <v>3177.5</v>
      </c>
      <c r="T910" s="12"/>
      <c r="U910" s="12"/>
      <c r="V910" s="12"/>
      <c r="W910" s="12">
        <f t="shared" si="268"/>
        <v>3177.5</v>
      </c>
      <c r="Y910" s="10">
        <v>19</v>
      </c>
      <c r="Z910" s="30"/>
      <c r="AA910" s="11" t="s">
        <v>28</v>
      </c>
      <c r="AB910" s="32"/>
      <c r="AC910" s="32"/>
      <c r="AD910" s="32"/>
      <c r="AE910" s="32">
        <f t="shared" si="262"/>
        <v>0</v>
      </c>
      <c r="AF910" s="12"/>
      <c r="AG910" s="12"/>
      <c r="AH910" s="12"/>
      <c r="AI910" s="12">
        <f t="shared" si="263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57"/>
      <c r="D911" s="32"/>
      <c r="E911" s="32"/>
      <c r="F911" s="32"/>
      <c r="G911" s="32">
        <f t="shared" si="258"/>
        <v>0</v>
      </c>
      <c r="H911" s="12"/>
      <c r="I911" s="12"/>
      <c r="J911" s="12"/>
      <c r="K911" s="12">
        <f t="shared" si="259"/>
        <v>0</v>
      </c>
      <c r="M911" s="10">
        <v>20</v>
      </c>
      <c r="N911" s="30" t="s">
        <v>85</v>
      </c>
      <c r="O911" s="31">
        <f t="shared" si="265"/>
        <v>5343</v>
      </c>
      <c r="P911" s="32">
        <f>626+596+19</f>
        <v>1241</v>
      </c>
      <c r="Q911" s="32"/>
      <c r="R911" s="32"/>
      <c r="S911" s="32">
        <f t="shared" si="267"/>
        <v>1241</v>
      </c>
      <c r="T911" s="12"/>
      <c r="U911" s="12"/>
      <c r="V911" s="12"/>
      <c r="W911" s="12">
        <f t="shared" si="268"/>
        <v>1241</v>
      </c>
      <c r="Y911" s="10">
        <v>20</v>
      </c>
      <c r="Z911" s="30"/>
      <c r="AB911" s="32"/>
      <c r="AC911" s="32"/>
      <c r="AD911" s="32"/>
      <c r="AE911" s="32">
        <f t="shared" si="262"/>
        <v>0</v>
      </c>
      <c r="AF911" s="12"/>
      <c r="AG911" s="12"/>
      <c r="AH911" s="12"/>
      <c r="AI911" s="12">
        <f t="shared" si="263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57"/>
      <c r="D912" s="32"/>
      <c r="E912" s="32"/>
      <c r="F912" s="32"/>
      <c r="G912" s="32">
        <f t="shared" si="258"/>
        <v>0</v>
      </c>
      <c r="H912" s="10"/>
      <c r="I912" s="10"/>
      <c r="J912" s="10"/>
      <c r="K912" s="12">
        <f t="shared" si="259"/>
        <v>0</v>
      </c>
      <c r="M912" s="10">
        <v>21</v>
      </c>
      <c r="N912" s="30" t="s">
        <v>85</v>
      </c>
      <c r="O912" s="31">
        <f t="shared" si="265"/>
        <v>5344</v>
      </c>
      <c r="P912" s="46">
        <f>5008+1192+95</f>
        <v>6295</v>
      </c>
      <c r="Q912" s="31"/>
      <c r="R912" s="31"/>
      <c r="S912" s="32">
        <f t="shared" si="267"/>
        <v>6295</v>
      </c>
      <c r="T912" s="10"/>
      <c r="U912" s="10"/>
      <c r="V912" s="10"/>
      <c r="W912" s="12">
        <f t="shared" si="268"/>
        <v>6295</v>
      </c>
      <c r="Y912" s="10">
        <v>21</v>
      </c>
      <c r="Z912" s="30"/>
      <c r="AA912" s="31"/>
      <c r="AB912" s="46"/>
      <c r="AC912" s="31"/>
      <c r="AD912" s="31"/>
      <c r="AE912" s="32">
        <f t="shared" si="262"/>
        <v>0</v>
      </c>
      <c r="AF912" s="10"/>
      <c r="AG912" s="10"/>
      <c r="AH912" s="10"/>
      <c r="AI912" s="12">
        <f t="shared" si="263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258"/>
        <v>0</v>
      </c>
      <c r="H913" s="10"/>
      <c r="I913" s="10"/>
      <c r="J913" s="10"/>
      <c r="K913" s="12">
        <f t="shared" si="259"/>
        <v>0</v>
      </c>
      <c r="M913" s="10">
        <v>22</v>
      </c>
      <c r="N913" s="30" t="s">
        <v>85</v>
      </c>
      <c r="O913" s="31">
        <f t="shared" si="265"/>
        <v>5345</v>
      </c>
      <c r="P913" s="45">
        <f>1878+28.5</f>
        <v>1906.5</v>
      </c>
      <c r="Q913" s="31"/>
      <c r="R913" s="31"/>
      <c r="S913" s="32">
        <f t="shared" si="267"/>
        <v>1906.5</v>
      </c>
      <c r="T913" s="10"/>
      <c r="U913" s="10">
        <v>14</v>
      </c>
      <c r="V913" s="10"/>
      <c r="W913" s="12">
        <f t="shared" si="268"/>
        <v>1920.5</v>
      </c>
      <c r="Y913" s="10">
        <v>22</v>
      </c>
      <c r="Z913" s="30"/>
      <c r="AA913" s="31"/>
      <c r="AB913" s="45"/>
      <c r="AC913" s="31"/>
      <c r="AD913" s="31"/>
      <c r="AE913" s="32">
        <f t="shared" si="262"/>
        <v>0</v>
      </c>
      <c r="AF913" s="10"/>
      <c r="AG913" s="10"/>
      <c r="AH913" s="10"/>
      <c r="AI913" s="12">
        <f t="shared" si="263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258"/>
        <v>0</v>
      </c>
      <c r="H914" s="10"/>
      <c r="I914" s="10"/>
      <c r="J914" s="12"/>
      <c r="K914" s="12">
        <f t="shared" si="259"/>
        <v>0</v>
      </c>
      <c r="M914" s="10">
        <v>23</v>
      </c>
      <c r="N914" s="30"/>
      <c r="O914" s="11" t="s">
        <v>28</v>
      </c>
      <c r="P914" s="47"/>
      <c r="Q914" s="31"/>
      <c r="R914" s="31"/>
      <c r="S914" s="32">
        <f t="shared" si="267"/>
        <v>0</v>
      </c>
      <c r="T914" s="10"/>
      <c r="U914" s="10"/>
      <c r="V914" s="10"/>
      <c r="W914" s="12">
        <f t="shared" si="268"/>
        <v>0</v>
      </c>
      <c r="Y914" s="10">
        <v>23</v>
      </c>
      <c r="Z914" s="30"/>
      <c r="AA914" s="31"/>
      <c r="AB914" s="47"/>
      <c r="AE914" s="32">
        <f t="shared" si="262"/>
        <v>0</v>
      </c>
      <c r="AF914" s="10"/>
      <c r="AG914" s="10"/>
      <c r="AH914" s="10"/>
      <c r="AI914" s="12">
        <f t="shared" si="263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58"/>
        <v>0</v>
      </c>
      <c r="H915" s="10"/>
      <c r="I915" s="10"/>
      <c r="J915" s="10"/>
      <c r="K915" s="12">
        <f t="shared" si="259"/>
        <v>0</v>
      </c>
      <c r="M915" s="10">
        <v>24</v>
      </c>
      <c r="N915" s="30"/>
      <c r="P915" s="47"/>
      <c r="Q915" s="31"/>
      <c r="R915" s="31"/>
      <c r="S915" s="32">
        <f t="shared" si="267"/>
        <v>0</v>
      </c>
      <c r="T915" s="10"/>
      <c r="U915" s="10"/>
      <c r="V915" s="10"/>
      <c r="W915" s="12">
        <f t="shared" si="26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62"/>
        <v>0</v>
      </c>
      <c r="AF915" s="10"/>
      <c r="AG915" s="10"/>
      <c r="AH915" s="10"/>
      <c r="AI915" s="12">
        <f t="shared" si="263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58"/>
        <v>0</v>
      </c>
      <c r="H916" s="10"/>
      <c r="I916" s="10"/>
      <c r="J916" s="10"/>
      <c r="K916" s="12">
        <f t="shared" si="259"/>
        <v>0</v>
      </c>
      <c r="M916" s="10">
        <v>25</v>
      </c>
      <c r="N916" s="30"/>
      <c r="O916" s="31"/>
      <c r="P916" s="47"/>
      <c r="Q916" s="31"/>
      <c r="R916" s="31"/>
      <c r="S916" s="32">
        <f t="shared" si="267"/>
        <v>0</v>
      </c>
      <c r="T916" s="10"/>
      <c r="U916" s="10"/>
      <c r="V916" s="10"/>
      <c r="W916" s="12">
        <f t="shared" si="26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62"/>
        <v>0</v>
      </c>
      <c r="AF916" s="10"/>
      <c r="AG916" s="10"/>
      <c r="AH916" s="10"/>
      <c r="AI916" s="12">
        <f t="shared" si="263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58"/>
        <v>0</v>
      </c>
      <c r="H917" s="10"/>
      <c r="I917" s="10"/>
      <c r="J917" s="10"/>
      <c r="K917" s="12">
        <f t="shared" si="259"/>
        <v>0</v>
      </c>
      <c r="M917" s="10">
        <v>26</v>
      </c>
      <c r="N917" s="30"/>
      <c r="O917" s="31"/>
      <c r="P917" s="47"/>
      <c r="Q917" s="31"/>
      <c r="R917" s="31"/>
      <c r="S917" s="32">
        <f t="shared" si="267"/>
        <v>0</v>
      </c>
      <c r="T917" s="10"/>
      <c r="U917" s="10"/>
      <c r="V917" s="10"/>
      <c r="W917" s="12">
        <f t="shared" si="26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62"/>
        <v>0</v>
      </c>
      <c r="AF917" s="10"/>
      <c r="AG917" s="10"/>
      <c r="AH917" s="10"/>
      <c r="AI917" s="12">
        <f t="shared" si="263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57"/>
      <c r="D918" s="32"/>
      <c r="E918" s="32"/>
      <c r="F918" s="32"/>
      <c r="G918" s="32">
        <f t="shared" si="258"/>
        <v>0</v>
      </c>
      <c r="H918" s="10"/>
      <c r="I918" s="10"/>
      <c r="J918" s="10"/>
      <c r="K918" s="12">
        <f t="shared" si="259"/>
        <v>0</v>
      </c>
      <c r="M918" s="10">
        <v>27</v>
      </c>
      <c r="N918" s="30"/>
      <c r="O918" s="31"/>
      <c r="P918" s="47"/>
      <c r="Q918" s="31"/>
      <c r="R918" s="31"/>
      <c r="S918" s="32">
        <f t="shared" si="267"/>
        <v>0</v>
      </c>
      <c r="T918" s="10"/>
      <c r="U918" s="10"/>
      <c r="V918" s="10"/>
      <c r="W918" s="12">
        <f t="shared" si="26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62"/>
        <v>0</v>
      </c>
      <c r="AF918" s="10"/>
      <c r="AG918" s="10"/>
      <c r="AH918" s="10"/>
      <c r="AI918" s="12">
        <f t="shared" si="263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58"/>
        <v>0</v>
      </c>
      <c r="H919" s="10"/>
      <c r="I919" s="10"/>
      <c r="J919" s="10"/>
      <c r="K919" s="12">
        <f t="shared" si="259"/>
        <v>0</v>
      </c>
      <c r="M919" s="10">
        <v>28</v>
      </c>
      <c r="N919" s="30"/>
      <c r="O919" s="31"/>
      <c r="P919" s="47"/>
      <c r="Q919" s="31"/>
      <c r="R919" s="31"/>
      <c r="S919" s="32">
        <f t="shared" si="267"/>
        <v>0</v>
      </c>
      <c r="T919" s="10"/>
      <c r="U919" s="10"/>
      <c r="V919" s="10"/>
      <c r="W919" s="12">
        <f t="shared" si="26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62"/>
        <v>0</v>
      </c>
      <c r="AF919" s="10"/>
      <c r="AG919" s="10"/>
      <c r="AH919" s="10"/>
      <c r="AI919" s="12">
        <f t="shared" si="263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/>
      <c r="H920" s="10"/>
      <c r="I920" s="10"/>
      <c r="J920" s="10"/>
      <c r="K920" s="12">
        <f t="shared" si="259"/>
        <v>0</v>
      </c>
      <c r="M920" s="10">
        <v>29</v>
      </c>
      <c r="N920" s="30"/>
      <c r="O920" s="31"/>
      <c r="P920" s="47"/>
      <c r="Q920" s="31"/>
      <c r="R920" s="31"/>
      <c r="S920" s="32">
        <f t="shared" si="267"/>
        <v>0</v>
      </c>
      <c r="T920" s="10"/>
      <c r="U920" s="10"/>
      <c r="V920" s="10"/>
      <c r="W920" s="12">
        <f t="shared" si="26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62"/>
        <v>0</v>
      </c>
      <c r="AF920" s="10"/>
      <c r="AG920" s="10"/>
      <c r="AH920" s="10"/>
      <c r="AI920" s="12">
        <f t="shared" si="263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/>
      <c r="H921" s="10"/>
      <c r="I921" s="10"/>
      <c r="J921" s="10"/>
      <c r="K921" s="12">
        <f t="shared" si="259"/>
        <v>0</v>
      </c>
      <c r="M921" s="10">
        <v>30</v>
      </c>
      <c r="N921" s="30"/>
      <c r="O921" s="31"/>
      <c r="P921" s="47"/>
      <c r="Q921" s="31"/>
      <c r="R921" s="31"/>
      <c r="S921" s="32">
        <f t="shared" si="267"/>
        <v>0</v>
      </c>
      <c r="T921" s="10"/>
      <c r="U921" s="10"/>
      <c r="V921" s="10"/>
      <c r="W921" s="12">
        <f t="shared" si="26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62"/>
        <v>0</v>
      </c>
      <c r="AF921" s="10"/>
      <c r="AG921" s="10"/>
      <c r="AH921" s="10"/>
      <c r="AI921" s="12">
        <f t="shared" si="263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57"/>
      <c r="D922" s="32"/>
      <c r="E922" s="32"/>
      <c r="F922" s="32"/>
      <c r="G922" s="32"/>
      <c r="H922" s="10"/>
      <c r="I922" s="10"/>
      <c r="J922" s="10"/>
      <c r="K922" s="12">
        <f t="shared" si="259"/>
        <v>0</v>
      </c>
      <c r="M922" s="10">
        <v>31</v>
      </c>
      <c r="N922" s="30"/>
      <c r="P922" s="47"/>
      <c r="Q922" s="31"/>
      <c r="R922" s="31"/>
      <c r="S922" s="32">
        <f t="shared" si="267"/>
        <v>0</v>
      </c>
      <c r="T922" s="10"/>
      <c r="U922" s="10"/>
      <c r="V922" s="10"/>
      <c r="W922" s="12">
        <f t="shared" si="268"/>
        <v>0</v>
      </c>
      <c r="Y922" s="10">
        <v>31</v>
      </c>
      <c r="Z922" s="30"/>
      <c r="AB922" s="47"/>
      <c r="AC922" s="31"/>
      <c r="AD922" s="31"/>
      <c r="AE922" s="32">
        <f t="shared" si="262"/>
        <v>0</v>
      </c>
      <c r="AF922" s="10"/>
      <c r="AG922" s="10"/>
      <c r="AH922" s="10"/>
      <c r="AI922" s="12">
        <f t="shared" si="263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31"/>
      <c r="D923" s="32"/>
      <c r="E923" s="32"/>
      <c r="F923" s="32"/>
      <c r="G923" s="32"/>
      <c r="H923" s="10"/>
      <c r="I923" s="10"/>
      <c r="J923" s="10"/>
      <c r="K923" s="12">
        <f t="shared" si="259"/>
        <v>0</v>
      </c>
      <c r="M923" s="10">
        <v>32</v>
      </c>
      <c r="N923" s="30"/>
      <c r="P923" s="47"/>
      <c r="Q923" s="31"/>
      <c r="R923" s="31"/>
      <c r="S923" s="32">
        <f t="shared" si="267"/>
        <v>0</v>
      </c>
      <c r="T923" s="10"/>
      <c r="U923" s="10"/>
      <c r="V923" s="10"/>
      <c r="W923" s="12">
        <f t="shared" si="26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62"/>
        <v>0</v>
      </c>
      <c r="AF923" s="10"/>
      <c r="AG923" s="10"/>
      <c r="AH923" s="10"/>
      <c r="AI923" s="12">
        <f t="shared" si="263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/>
      <c r="H924" s="10"/>
      <c r="I924" s="10"/>
      <c r="J924" s="10"/>
      <c r="K924" s="12">
        <f t="shared" si="259"/>
        <v>0</v>
      </c>
      <c r="M924" s="10">
        <v>33</v>
      </c>
      <c r="N924" s="30"/>
      <c r="O924" s="31"/>
      <c r="P924" s="47"/>
      <c r="Q924" s="31"/>
      <c r="R924" s="31"/>
      <c r="S924" s="32">
        <f t="shared" si="267"/>
        <v>0</v>
      </c>
      <c r="T924" s="10"/>
      <c r="U924" s="10"/>
      <c r="V924" s="10"/>
      <c r="W924" s="12">
        <f t="shared" si="26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62"/>
        <v>0</v>
      </c>
      <c r="AF924" s="10"/>
      <c r="AG924" s="10"/>
      <c r="AH924" s="10"/>
      <c r="AI924" s="12">
        <f t="shared" si="263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57"/>
      <c r="D925" s="32"/>
      <c r="E925" s="32"/>
      <c r="F925" s="32"/>
      <c r="G925" s="32">
        <f t="shared" ref="G925" si="269">SUM(D925:E925)</f>
        <v>0</v>
      </c>
      <c r="H925" s="10"/>
      <c r="I925" s="10"/>
      <c r="J925" s="10"/>
      <c r="K925" s="12">
        <f t="shared" si="259"/>
        <v>0</v>
      </c>
      <c r="M925" s="10">
        <v>34</v>
      </c>
      <c r="N925" s="30"/>
      <c r="O925" s="31"/>
      <c r="P925" s="47"/>
      <c r="Q925" s="31"/>
      <c r="R925" s="31"/>
      <c r="S925" s="32">
        <f t="shared" si="267"/>
        <v>0</v>
      </c>
      <c r="T925" s="10"/>
      <c r="U925" s="10"/>
      <c r="V925" s="10"/>
      <c r="W925" s="12">
        <f t="shared" si="268"/>
        <v>0</v>
      </c>
      <c r="Y925" s="10">
        <v>34</v>
      </c>
      <c r="Z925" s="30"/>
      <c r="AB925" s="47"/>
      <c r="AC925" s="31"/>
      <c r="AD925" s="31"/>
      <c r="AE925" s="32">
        <f t="shared" si="262"/>
        <v>0</v>
      </c>
      <c r="AF925" s="10"/>
      <c r="AG925" s="10"/>
      <c r="AH925" s="10"/>
      <c r="AI925" s="12">
        <f t="shared" si="263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67"/>
        <v>0</v>
      </c>
      <c r="T926" s="10"/>
      <c r="U926" s="10"/>
      <c r="V926" s="10"/>
      <c r="W926" s="12">
        <f t="shared" si="26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62"/>
        <v>0</v>
      </c>
      <c r="AF926" s="10"/>
      <c r="AG926" s="10"/>
      <c r="AH926" s="10"/>
      <c r="AI926" s="12">
        <f t="shared" si="263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67"/>
        <v>0</v>
      </c>
      <c r="T927" s="10"/>
      <c r="U927" s="10"/>
      <c r="V927" s="10"/>
      <c r="W927" s="12">
        <f t="shared" si="26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62"/>
        <v>0</v>
      </c>
      <c r="AF927" s="10"/>
      <c r="AG927" s="10"/>
      <c r="AH927" s="10"/>
      <c r="AI927" s="12">
        <f t="shared" si="263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67"/>
        <v>0</v>
      </c>
      <c r="T928" s="10"/>
      <c r="U928" s="10"/>
      <c r="V928" s="10"/>
      <c r="W928" s="12">
        <f t="shared" si="26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62"/>
        <v>0</v>
      </c>
      <c r="AF928" s="10"/>
      <c r="AG928" s="10"/>
      <c r="AH928" s="10"/>
      <c r="AI928" s="12">
        <f t="shared" si="263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67"/>
        <v>0</v>
      </c>
      <c r="T929" s="10"/>
      <c r="U929" s="10"/>
      <c r="V929" s="10"/>
      <c r="W929" s="12">
        <f t="shared" si="26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62"/>
        <v>0</v>
      </c>
      <c r="AF929" s="10"/>
      <c r="AG929" s="10"/>
      <c r="AH929" s="10"/>
      <c r="AI929" s="12">
        <f t="shared" si="263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57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67"/>
        <v>0</v>
      </c>
      <c r="T930" s="10"/>
      <c r="U930" s="10"/>
      <c r="V930" s="10"/>
      <c r="W930" s="12">
        <f t="shared" si="26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62"/>
        <v>0</v>
      </c>
      <c r="AF930" s="10"/>
      <c r="AG930" s="10"/>
      <c r="AH930" s="10"/>
      <c r="AI930" s="12">
        <f t="shared" si="263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6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63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70">SUM(D932:E932)</f>
        <v>0</v>
      </c>
      <c r="H932" s="10"/>
      <c r="I932" s="10"/>
      <c r="J932" s="10"/>
      <c r="K932" s="12">
        <f t="shared" ref="K932" si="271">SUM(G932:J932)</f>
        <v>0</v>
      </c>
      <c r="M932" s="10"/>
      <c r="N932" s="30"/>
      <c r="O932" s="31"/>
      <c r="P932" s="47"/>
      <c r="Q932" s="31"/>
      <c r="R932" s="31"/>
      <c r="S932" s="32">
        <f t="shared" ref="S932" si="272">SUM(P932:Q932)</f>
        <v>0</v>
      </c>
      <c r="T932" s="10"/>
      <c r="U932" s="10"/>
      <c r="V932" s="10"/>
      <c r="W932" s="12">
        <f t="shared" si="268"/>
        <v>0</v>
      </c>
      <c r="Y932" s="10"/>
      <c r="Z932" s="30"/>
      <c r="AA932" s="31"/>
      <c r="AB932" s="47"/>
      <c r="AC932" s="31"/>
      <c r="AD932" s="31"/>
      <c r="AE932" s="32">
        <f t="shared" ref="AE932" si="273">SUM(AB932:AC932)</f>
        <v>0</v>
      </c>
      <c r="AF932" s="10"/>
      <c r="AG932" s="10"/>
      <c r="AH932" s="10"/>
      <c r="AI932" s="12">
        <f t="shared" si="263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6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63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151394</v>
      </c>
      <c r="E935" s="38">
        <f t="shared" ref="E935:F935" si="274">SUM(E892:E932)</f>
        <v>0</v>
      </c>
      <c r="F935" s="38">
        <f t="shared" si="274"/>
        <v>0</v>
      </c>
      <c r="G935" s="38">
        <f>SUM(G892:G934)</f>
        <v>151394</v>
      </c>
      <c r="H935" s="4"/>
      <c r="I935" s="39">
        <f>SUM(I892:I934)</f>
        <v>1636</v>
      </c>
      <c r="J935" s="39">
        <f>SUM(J892:J934)</f>
        <v>0</v>
      </c>
      <c r="K935" s="40">
        <f>SUM(K892:K934)</f>
        <v>153030</v>
      </c>
      <c r="N935" s="57"/>
      <c r="O935" s="57"/>
      <c r="P935" s="38">
        <f>SUM(P892:P934)</f>
        <v>132256.5</v>
      </c>
      <c r="Q935" s="38">
        <f>SUM(Q892:Q916)</f>
        <v>0</v>
      </c>
      <c r="R935" s="38">
        <f>SUM(R892:R916)</f>
        <v>0</v>
      </c>
      <c r="S935" s="38">
        <f>SUM(S892:S934)</f>
        <v>132256.5</v>
      </c>
      <c r="T935" s="4"/>
      <c r="U935" s="41">
        <f>SUM(U892:U934)</f>
        <v>284</v>
      </c>
      <c r="V935" s="41">
        <f>SUM(V892:V916)</f>
        <v>0</v>
      </c>
      <c r="W935" s="42">
        <f>SUM(W892:W934)</f>
        <v>132540.5</v>
      </c>
      <c r="Z935" s="57"/>
      <c r="AA935" s="57"/>
      <c r="AB935" s="38">
        <f>SUM(AB892:AB934)</f>
        <v>129721</v>
      </c>
      <c r="AC935" s="38">
        <f>SUM(AC892:AC916)</f>
        <v>0</v>
      </c>
      <c r="AD935" s="38">
        <f>SUM(AD892:AD916)</f>
        <v>0</v>
      </c>
      <c r="AE935" s="38">
        <f>SUM(AE892:AE934)</f>
        <v>129721</v>
      </c>
      <c r="AF935" s="4"/>
      <c r="AG935" s="41">
        <f>SUM(AG892:AG934)</f>
        <v>230</v>
      </c>
      <c r="AH935" s="41">
        <f>SUM(AH892:AH916)</f>
        <v>0</v>
      </c>
      <c r="AI935" s="42">
        <f>SUM(AI892:AI934)</f>
        <v>129951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t="s">
        <v>0</v>
      </c>
      <c r="AL937" s="57"/>
      <c r="AM937" s="57"/>
      <c r="AN937" s="57"/>
      <c r="AO937" s="57"/>
      <c r="AP937" s="57"/>
      <c r="AQ937" s="57"/>
      <c r="AV937" s="18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t="s">
        <v>29</v>
      </c>
      <c r="AL938" s="57"/>
      <c r="AM938" s="57"/>
      <c r="AN938" s="57"/>
      <c r="AO938" s="57"/>
      <c r="AP938" s="57"/>
      <c r="AQ938" s="57"/>
      <c r="AV938" s="18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L939" s="57"/>
      <c r="AM939" s="57"/>
      <c r="AN939" s="57"/>
      <c r="AO939" s="57"/>
      <c r="AP939" s="57"/>
      <c r="AQ939" s="57"/>
      <c r="AV939" s="18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4" t="s">
        <v>15</v>
      </c>
      <c r="AL940" s="57"/>
      <c r="AM940" s="57"/>
      <c r="AN940" s="57"/>
      <c r="AO940" s="57"/>
      <c r="AP940" s="57"/>
      <c r="AQ940" s="57"/>
      <c r="AV940" s="18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L941" s="57"/>
      <c r="AM941" s="57"/>
      <c r="AN941" s="57"/>
      <c r="AO941" s="57"/>
      <c r="AP941" s="57"/>
      <c r="AQ941" s="57"/>
      <c r="AV941" s="18"/>
      <c r="AW941" s="62"/>
      <c r="AX941" s="62"/>
      <c r="AY941" s="62"/>
      <c r="AZ941" s="62"/>
    </row>
    <row r="942" spans="1:52" ht="15.75" x14ac:dyDescent="0.25">
      <c r="A942" t="s">
        <v>40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40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40</v>
      </c>
      <c r="Z942" s="57"/>
      <c r="AA942" s="57"/>
      <c r="AB942" s="57"/>
      <c r="AC942" s="57"/>
      <c r="AD942" s="57"/>
      <c r="AE942" s="57"/>
      <c r="AG942" s="57" t="s">
        <v>16</v>
      </c>
      <c r="AH942" s="20" t="s">
        <v>91</v>
      </c>
      <c r="AK942" t="s">
        <v>40</v>
      </c>
      <c r="AL942" s="57"/>
      <c r="AM942" s="57"/>
      <c r="AN942" s="57"/>
      <c r="AO942" s="57"/>
      <c r="AP942" s="57"/>
      <c r="AQ942" s="57"/>
      <c r="AS942" s="57" t="s">
        <v>16</v>
      </c>
      <c r="AT942" s="20" t="s">
        <v>92</v>
      </c>
      <c r="AV942" s="18"/>
      <c r="AW942" s="62"/>
      <c r="AX942" s="62"/>
      <c r="AY942" s="62"/>
      <c r="AZ942" s="62"/>
    </row>
    <row r="943" spans="1:52" x14ac:dyDescent="0.25">
      <c r="A943" s="21" t="s">
        <v>87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87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87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90</v>
      </c>
      <c r="AI943" s="24"/>
      <c r="AK943" s="21" t="s">
        <v>87</v>
      </c>
      <c r="AL943" s="20"/>
      <c r="AM943" s="57"/>
      <c r="AN943" s="57"/>
      <c r="AO943" s="57"/>
      <c r="AP943" s="57"/>
      <c r="AQ943" s="57"/>
      <c r="AS943" s="22" t="s">
        <v>17</v>
      </c>
      <c r="AT943" s="23" t="s">
        <v>35</v>
      </c>
      <c r="AU943" s="24"/>
      <c r="AV943" s="18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L944" s="57"/>
      <c r="AM944" s="57"/>
      <c r="AN944" s="57"/>
      <c r="AO944" s="57"/>
      <c r="AP944" s="57"/>
      <c r="AQ944" s="57"/>
      <c r="AV944" s="18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33" t="s">
        <v>18</v>
      </c>
      <c r="E945" s="133"/>
      <c r="F945" s="117"/>
      <c r="G945" s="27"/>
      <c r="I945" s="131" t="s">
        <v>19</v>
      </c>
      <c r="J945" s="132"/>
      <c r="K945" s="129" t="s">
        <v>20</v>
      </c>
      <c r="N945" s="25"/>
      <c r="O945" s="26"/>
      <c r="P945" s="133" t="s">
        <v>18</v>
      </c>
      <c r="Q945" s="133"/>
      <c r="R945" s="117"/>
      <c r="S945" s="27"/>
      <c r="U945" s="131" t="s">
        <v>19</v>
      </c>
      <c r="V945" s="132"/>
      <c r="W945" s="129" t="s">
        <v>20</v>
      </c>
      <c r="Z945" s="25"/>
      <c r="AA945" s="26"/>
      <c r="AB945" s="133" t="s">
        <v>18</v>
      </c>
      <c r="AC945" s="133"/>
      <c r="AD945" s="116"/>
      <c r="AE945" s="27"/>
      <c r="AG945" s="131" t="s">
        <v>19</v>
      </c>
      <c r="AH945" s="132"/>
      <c r="AI945" s="129" t="s">
        <v>20</v>
      </c>
      <c r="AL945" s="25"/>
      <c r="AM945" s="26"/>
      <c r="AN945" s="133" t="s">
        <v>18</v>
      </c>
      <c r="AO945" s="133"/>
      <c r="AP945" s="117"/>
      <c r="AQ945" s="27"/>
      <c r="AS945" s="131" t="s">
        <v>19</v>
      </c>
      <c r="AT945" s="132"/>
      <c r="AU945" s="129" t="s">
        <v>20</v>
      </c>
      <c r="AV945" s="18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83" t="s">
        <v>23</v>
      </c>
      <c r="E946" s="82" t="s">
        <v>24</v>
      </c>
      <c r="F946" s="84" t="s">
        <v>36</v>
      </c>
      <c r="G946" s="84" t="s">
        <v>25</v>
      </c>
      <c r="I946" s="29" t="s">
        <v>26</v>
      </c>
      <c r="J946" s="29" t="s">
        <v>27</v>
      </c>
      <c r="K946" s="130"/>
      <c r="N946" s="28" t="s">
        <v>21</v>
      </c>
      <c r="O946" s="28" t="s">
        <v>22</v>
      </c>
      <c r="P946" s="83" t="s">
        <v>23</v>
      </c>
      <c r="Q946" s="84" t="s">
        <v>24</v>
      </c>
      <c r="R946" s="84" t="s">
        <v>36</v>
      </c>
      <c r="S946" s="84" t="s">
        <v>25</v>
      </c>
      <c r="U946" s="29" t="s">
        <v>26</v>
      </c>
      <c r="V946" s="29" t="s">
        <v>27</v>
      </c>
      <c r="W946" s="130"/>
      <c r="Z946" s="28" t="s">
        <v>21</v>
      </c>
      <c r="AA946" s="28" t="s">
        <v>22</v>
      </c>
      <c r="AB946" s="83" t="s">
        <v>23</v>
      </c>
      <c r="AC946" s="84" t="s">
        <v>24</v>
      </c>
      <c r="AD946" s="84" t="s">
        <v>36</v>
      </c>
      <c r="AE946" s="84" t="s">
        <v>25</v>
      </c>
      <c r="AG946" s="29" t="s">
        <v>26</v>
      </c>
      <c r="AH946" s="29" t="s">
        <v>27</v>
      </c>
      <c r="AI946" s="130"/>
      <c r="AL946" s="28" t="s">
        <v>21</v>
      </c>
      <c r="AM946" s="28" t="s">
        <v>22</v>
      </c>
      <c r="AN946" s="83" t="s">
        <v>23</v>
      </c>
      <c r="AO946" s="84" t="s">
        <v>24</v>
      </c>
      <c r="AP946" s="84" t="s">
        <v>36</v>
      </c>
      <c r="AQ946" s="84" t="s">
        <v>25</v>
      </c>
      <c r="AS946" s="29" t="s">
        <v>26</v>
      </c>
      <c r="AT946" s="29" t="s">
        <v>27</v>
      </c>
      <c r="AU946" s="130"/>
      <c r="AV946" s="18"/>
      <c r="AW946" s="62"/>
      <c r="AX946" s="62"/>
      <c r="AY946" s="62"/>
      <c r="AZ946" s="62"/>
    </row>
    <row r="947" spans="1:52" x14ac:dyDescent="0.25">
      <c r="A947" s="10">
        <v>1</v>
      </c>
      <c r="B947" s="30" t="s">
        <v>88</v>
      </c>
      <c r="C947" s="31">
        <v>5394</v>
      </c>
      <c r="D947" s="32">
        <f>1878+29</f>
        <v>1907</v>
      </c>
      <c r="E947" s="32"/>
      <c r="F947" s="32"/>
      <c r="G947" s="32">
        <f t="shared" ref="G947:G974" si="275">SUM(D947:E947)</f>
        <v>1907</v>
      </c>
      <c r="H947" s="12"/>
      <c r="I947" s="12"/>
      <c r="J947" s="12">
        <v>-120</v>
      </c>
      <c r="K947" s="12">
        <f t="shared" ref="K947:K980" si="276">SUM(G947:J947)</f>
        <v>1787</v>
      </c>
      <c r="M947" s="10">
        <v>1</v>
      </c>
      <c r="N947" s="30" t="s">
        <v>88</v>
      </c>
      <c r="O947" s="31">
        <v>5350</v>
      </c>
      <c r="P947" s="32">
        <f>1878+28.5</f>
        <v>1906.5</v>
      </c>
      <c r="Q947" s="32"/>
      <c r="R947" s="32"/>
      <c r="S947" s="32">
        <f>SUM(P947:Q947)</f>
        <v>1906.5</v>
      </c>
      <c r="T947" s="12"/>
      <c r="U947" s="12"/>
      <c r="V947" s="12"/>
      <c r="W947" s="12">
        <f>SUM(S947:V947)</f>
        <v>1906.5</v>
      </c>
      <c r="Y947" s="10">
        <v>1</v>
      </c>
      <c r="Z947" s="30" t="s">
        <v>88</v>
      </c>
      <c r="AA947" s="31">
        <v>5451</v>
      </c>
      <c r="AB947" s="32">
        <f>31300+5960+458</f>
        <v>37718</v>
      </c>
      <c r="AC947" s="32">
        <v>-372</v>
      </c>
      <c r="AD947" s="32"/>
      <c r="AE947" s="32">
        <f>SUM(AB947:AC947)</f>
        <v>37346</v>
      </c>
      <c r="AF947" s="12"/>
      <c r="AG947" s="12">
        <v>81</v>
      </c>
      <c r="AH947" s="12"/>
      <c r="AI947" s="12">
        <f>SUM(AE947:AH947)</f>
        <v>37427</v>
      </c>
      <c r="AK947" s="10">
        <v>1</v>
      </c>
      <c r="AL947" s="30" t="s">
        <v>88</v>
      </c>
      <c r="AM947" s="31">
        <v>5401</v>
      </c>
      <c r="AN947" s="32">
        <f>48838+1228+17880+916</f>
        <v>68862</v>
      </c>
      <c r="AO947" s="32"/>
      <c r="AP947" s="32"/>
      <c r="AQ947" s="32">
        <f>SUM(AN947:AO947)</f>
        <v>68862</v>
      </c>
      <c r="AR947" s="12"/>
      <c r="AS947" s="12">
        <v>11412</v>
      </c>
      <c r="AT947" s="12"/>
      <c r="AU947" s="12">
        <f>SUM(AQ947:AT947)</f>
        <v>80274</v>
      </c>
      <c r="AV947" s="18"/>
      <c r="AW947" s="62"/>
      <c r="AX947" s="62"/>
      <c r="AY947" s="62"/>
      <c r="AZ947" s="62"/>
    </row>
    <row r="948" spans="1:52" x14ac:dyDescent="0.25">
      <c r="A948" s="10">
        <v>2</v>
      </c>
      <c r="B948" s="30" t="s">
        <v>88</v>
      </c>
      <c r="C948" s="31">
        <f>C947+1</f>
        <v>5395</v>
      </c>
      <c r="D948" s="32">
        <f>1252+19</f>
        <v>1271</v>
      </c>
      <c r="E948" s="32"/>
      <c r="F948" s="32"/>
      <c r="G948" s="32">
        <f t="shared" si="275"/>
        <v>1271</v>
      </c>
      <c r="H948" s="12"/>
      <c r="I948" s="12"/>
      <c r="J948" s="12"/>
      <c r="K948" s="12">
        <f t="shared" si="276"/>
        <v>1271</v>
      </c>
      <c r="M948" s="10">
        <v>2</v>
      </c>
      <c r="N948" s="30" t="s">
        <v>88</v>
      </c>
      <c r="O948" s="31">
        <v>5346</v>
      </c>
      <c r="P948" s="32">
        <f>56340+3684+11920+832</f>
        <v>72776</v>
      </c>
      <c r="Q948" s="32">
        <v>-936</v>
      </c>
      <c r="R948" s="32"/>
      <c r="S948" s="32">
        <f t="shared" ref="S948:S961" si="277">SUM(P948:Q948)</f>
        <v>71840</v>
      </c>
      <c r="T948" s="12"/>
      <c r="U948" s="12"/>
      <c r="V948" s="12"/>
      <c r="W948" s="12">
        <f t="shared" ref="W948:W961" si="278">SUM(S948:V948)</f>
        <v>71840</v>
      </c>
      <c r="Y948" s="10">
        <v>2</v>
      </c>
      <c r="Z948" s="30" t="s">
        <v>88</v>
      </c>
      <c r="AA948" s="31">
        <f t="shared" ref="AA948:AA950" si="279">AA947+1</f>
        <v>5452</v>
      </c>
      <c r="AB948" s="32">
        <f>135216+832+916</f>
        <v>136964</v>
      </c>
      <c r="AC948" s="32">
        <v>-1326</v>
      </c>
      <c r="AD948" s="32"/>
      <c r="AE948" s="32">
        <f t="shared" ref="AE948:AE985" si="280">SUM(AB948:AC948)</f>
        <v>135638</v>
      </c>
      <c r="AF948" s="12"/>
      <c r="AG948" s="12">
        <v>468</v>
      </c>
      <c r="AH948" s="12"/>
      <c r="AI948" s="12">
        <f t="shared" ref="AI948:AI988" si="281">SUM(AE948:AH948)</f>
        <v>136106</v>
      </c>
      <c r="AK948" s="10">
        <v>2</v>
      </c>
      <c r="AL948" s="30" t="s">
        <v>88</v>
      </c>
      <c r="AM948" s="31">
        <f t="shared" ref="AM948:AM951" si="282">AM947+1</f>
        <v>5402</v>
      </c>
      <c r="AN948" s="32">
        <f>6260+95</f>
        <v>6355</v>
      </c>
      <c r="AO948" s="32"/>
      <c r="AP948" s="32"/>
      <c r="AQ948" s="32">
        <f t="shared" ref="AQ948:AQ985" si="283">SUM(AN948:AO948)</f>
        <v>6355</v>
      </c>
      <c r="AR948" s="12"/>
      <c r="AS948" s="12"/>
      <c r="AT948" s="12">
        <v>-6105</v>
      </c>
      <c r="AU948" s="12">
        <f t="shared" ref="AU948:AU988" si="284">SUM(AQ948:AT948)</f>
        <v>250</v>
      </c>
      <c r="AV948" s="18"/>
      <c r="AW948" s="62"/>
      <c r="AX948" s="62"/>
      <c r="AY948" s="62"/>
      <c r="AZ948" s="62"/>
    </row>
    <row r="949" spans="1:52" x14ac:dyDescent="0.25">
      <c r="A949" s="10">
        <v>3</v>
      </c>
      <c r="B949" s="30" t="s">
        <v>88</v>
      </c>
      <c r="C949" s="31">
        <f t="shared" ref="C949:C966" si="285">C948+1</f>
        <v>5396</v>
      </c>
      <c r="D949" s="33">
        <f>626+596+19</f>
        <v>1241</v>
      </c>
      <c r="E949" s="33"/>
      <c r="F949" s="33"/>
      <c r="G949" s="33">
        <f t="shared" si="275"/>
        <v>1241</v>
      </c>
      <c r="H949" s="34"/>
      <c r="I949" s="34"/>
      <c r="J949" s="34"/>
      <c r="K949" s="34">
        <f t="shared" si="276"/>
        <v>1241</v>
      </c>
      <c r="M949" s="10">
        <v>3</v>
      </c>
      <c r="N949" s="30" t="s">
        <v>88</v>
      </c>
      <c r="O949" s="31">
        <f t="shared" ref="O949:O956" si="286">O948+1</f>
        <v>5347</v>
      </c>
      <c r="P949" s="32">
        <f>31300+1228+2980+832+458</f>
        <v>36798</v>
      </c>
      <c r="Q949" s="32">
        <v>-480</v>
      </c>
      <c r="R949" s="32"/>
      <c r="S949" s="32">
        <f t="shared" si="277"/>
        <v>36318</v>
      </c>
      <c r="T949" s="12"/>
      <c r="U949" s="12"/>
      <c r="V949" s="12"/>
      <c r="W949" s="12">
        <f t="shared" si="278"/>
        <v>36318</v>
      </c>
      <c r="Y949" s="10">
        <v>3</v>
      </c>
      <c r="Z949" s="30" t="s">
        <v>88</v>
      </c>
      <c r="AA949" s="31">
        <f t="shared" si="279"/>
        <v>5453</v>
      </c>
      <c r="AB949" s="33">
        <f>130208+64368+3664</f>
        <v>198240</v>
      </c>
      <c r="AC949" s="33"/>
      <c r="AD949" s="32"/>
      <c r="AE949" s="32">
        <f t="shared" si="280"/>
        <v>198240</v>
      </c>
      <c r="AF949" s="12"/>
      <c r="AG949" s="12"/>
      <c r="AH949" s="12"/>
      <c r="AI949" s="12">
        <f t="shared" si="281"/>
        <v>198240</v>
      </c>
      <c r="AK949" s="10">
        <v>3</v>
      </c>
      <c r="AL949" s="30" t="s">
        <v>88</v>
      </c>
      <c r="AM949" s="31">
        <f t="shared" si="282"/>
        <v>5403</v>
      </c>
      <c r="AN949" s="33">
        <f>215344+6740+64368+1704+4160</f>
        <v>292316</v>
      </c>
      <c r="AO949" s="33">
        <v>-2814</v>
      </c>
      <c r="AP949" s="32"/>
      <c r="AQ949" s="32">
        <f t="shared" si="283"/>
        <v>289502</v>
      </c>
      <c r="AR949" s="12"/>
      <c r="AS949" s="12">
        <f>3330+36+216</f>
        <v>3582</v>
      </c>
      <c r="AT949" s="12"/>
      <c r="AU949" s="12">
        <f t="shared" si="284"/>
        <v>293084</v>
      </c>
      <c r="AV949" s="18"/>
      <c r="AW949" s="62"/>
      <c r="AX949" s="62"/>
      <c r="AY949" s="62"/>
      <c r="AZ949" s="62"/>
    </row>
    <row r="950" spans="1:52" x14ac:dyDescent="0.25">
      <c r="A950" s="10">
        <v>4</v>
      </c>
      <c r="B950" s="30" t="s">
        <v>88</v>
      </c>
      <c r="C950" s="31">
        <f t="shared" si="285"/>
        <v>5397</v>
      </c>
      <c r="D950" s="32">
        <f>2504+1192+57</f>
        <v>3753</v>
      </c>
      <c r="E950" s="32"/>
      <c r="F950" s="32"/>
      <c r="G950" s="32">
        <f t="shared" si="275"/>
        <v>3753</v>
      </c>
      <c r="H950" s="12"/>
      <c r="I950" s="12"/>
      <c r="J950" s="12"/>
      <c r="K950" s="12">
        <f t="shared" si="276"/>
        <v>3753</v>
      </c>
      <c r="M950" s="10">
        <v>4</v>
      </c>
      <c r="N950" s="30" t="s">
        <v>88</v>
      </c>
      <c r="O950" s="31">
        <f t="shared" si="286"/>
        <v>5348</v>
      </c>
      <c r="P950" s="32">
        <f>31300+12516</f>
        <v>43816</v>
      </c>
      <c r="Q950" s="32">
        <v>-568</v>
      </c>
      <c r="R950" s="32"/>
      <c r="S950" s="32">
        <f t="shared" si="277"/>
        <v>43248</v>
      </c>
      <c r="T950" s="12"/>
      <c r="U950" s="12"/>
      <c r="V950" s="12"/>
      <c r="W950" s="12">
        <f t="shared" si="278"/>
        <v>43248</v>
      </c>
      <c r="Y950" s="10">
        <v>4</v>
      </c>
      <c r="Z950" s="30" t="s">
        <v>88</v>
      </c>
      <c r="AA950" s="31">
        <f t="shared" si="279"/>
        <v>5454</v>
      </c>
      <c r="AB950" s="32">
        <f>626+832+9.5</f>
        <v>1467.5</v>
      </c>
      <c r="AC950" s="32"/>
      <c r="AD950" s="32"/>
      <c r="AE950" s="32">
        <f t="shared" si="280"/>
        <v>1467.5</v>
      </c>
      <c r="AF950" s="12"/>
      <c r="AH950" s="12"/>
      <c r="AI950" s="12">
        <f t="shared" si="281"/>
        <v>1467.5</v>
      </c>
      <c r="AK950" s="10">
        <v>4</v>
      </c>
      <c r="AL950" s="30" t="s">
        <v>88</v>
      </c>
      <c r="AM950" s="31">
        <f t="shared" si="282"/>
        <v>5404</v>
      </c>
      <c r="AN950" s="32">
        <f>7512+229</f>
        <v>7741</v>
      </c>
      <c r="AO950" s="32"/>
      <c r="AP950" s="32"/>
      <c r="AQ950" s="32">
        <f t="shared" si="283"/>
        <v>7741</v>
      </c>
      <c r="AR950" s="12"/>
      <c r="AT950" s="12">
        <v>-6882</v>
      </c>
      <c r="AU950" s="12">
        <f t="shared" si="284"/>
        <v>859</v>
      </c>
      <c r="AV950" s="18"/>
      <c r="AW950" s="62"/>
      <c r="AX950" s="62"/>
      <c r="AY950" s="62"/>
      <c r="AZ950" s="62"/>
    </row>
    <row r="951" spans="1:52" x14ac:dyDescent="0.25">
      <c r="A951" s="10">
        <v>5</v>
      </c>
      <c r="B951" s="30" t="s">
        <v>88</v>
      </c>
      <c r="C951" s="31">
        <f t="shared" si="285"/>
        <v>5398</v>
      </c>
      <c r="D951" s="32">
        <f>4382+67</f>
        <v>4449</v>
      </c>
      <c r="E951" s="32"/>
      <c r="F951" s="32"/>
      <c r="G951" s="32">
        <f t="shared" si="275"/>
        <v>4449</v>
      </c>
      <c r="H951" s="12"/>
      <c r="I951" s="12"/>
      <c r="J951" s="12"/>
      <c r="K951" s="12">
        <f t="shared" si="276"/>
        <v>4449</v>
      </c>
      <c r="M951" s="10">
        <v>5</v>
      </c>
      <c r="N951" s="30" t="s">
        <v>88</v>
      </c>
      <c r="O951" s="31">
        <f t="shared" si="286"/>
        <v>5349</v>
      </c>
      <c r="P951" s="32">
        <f>6260+1192+114</f>
        <v>7566</v>
      </c>
      <c r="Q951" s="32"/>
      <c r="R951" s="32"/>
      <c r="S951" s="32">
        <f t="shared" si="277"/>
        <v>7566</v>
      </c>
      <c r="T951" s="12"/>
      <c r="U951" s="12"/>
      <c r="V951" s="12"/>
      <c r="W951" s="12">
        <f t="shared" si="278"/>
        <v>7566</v>
      </c>
      <c r="Y951" s="10">
        <v>5</v>
      </c>
      <c r="Z951" s="30"/>
      <c r="AA951" s="11" t="s">
        <v>28</v>
      </c>
      <c r="AB951" s="32"/>
      <c r="AC951" s="32"/>
      <c r="AD951" s="32"/>
      <c r="AE951" s="32">
        <f t="shared" si="280"/>
        <v>0</v>
      </c>
      <c r="AF951" s="12"/>
      <c r="AG951" s="12">
        <v>11412</v>
      </c>
      <c r="AH951" s="12"/>
      <c r="AI951" s="12">
        <f t="shared" si="281"/>
        <v>11412</v>
      </c>
      <c r="AK951" s="10">
        <v>5</v>
      </c>
      <c r="AL951" s="30" t="s">
        <v>88</v>
      </c>
      <c r="AM951" s="31">
        <f t="shared" si="282"/>
        <v>5405</v>
      </c>
      <c r="AN951" s="32">
        <f>8138+123.5</f>
        <v>8261.5</v>
      </c>
      <c r="AO951" s="32"/>
      <c r="AP951" s="32"/>
      <c r="AQ951" s="32">
        <f t="shared" si="283"/>
        <v>8261.5</v>
      </c>
      <c r="AR951" s="12"/>
      <c r="AS951" s="12">
        <f>36+12</f>
        <v>48</v>
      </c>
      <c r="AT951" s="12"/>
      <c r="AU951" s="12">
        <f t="shared" si="284"/>
        <v>8309.5</v>
      </c>
      <c r="AV951" s="18"/>
      <c r="AW951" s="62"/>
      <c r="AX951" s="62"/>
      <c r="AY951" s="62"/>
      <c r="AZ951" s="62"/>
    </row>
    <row r="952" spans="1:52" x14ac:dyDescent="0.25">
      <c r="A952" s="10">
        <v>6</v>
      </c>
      <c r="B952" s="30" t="s">
        <v>88</v>
      </c>
      <c r="C952" s="31">
        <f t="shared" si="285"/>
        <v>5399</v>
      </c>
      <c r="D952" s="32">
        <f>3756+57</f>
        <v>3813</v>
      </c>
      <c r="E952" s="32"/>
      <c r="F952" s="32"/>
      <c r="G952" s="32">
        <f t="shared" si="275"/>
        <v>3813</v>
      </c>
      <c r="H952" s="12"/>
      <c r="I952" s="12"/>
      <c r="J952" s="12"/>
      <c r="K952" s="12">
        <f t="shared" si="276"/>
        <v>3813</v>
      </c>
      <c r="M952" s="10">
        <v>6</v>
      </c>
      <c r="N952" s="30" t="s">
        <v>88</v>
      </c>
      <c r="O952" s="31">
        <v>5551</v>
      </c>
      <c r="P952" s="32">
        <f>3130+596+57</f>
        <v>3783</v>
      </c>
      <c r="Q952" s="32"/>
      <c r="R952" s="32"/>
      <c r="S952" s="32">
        <f t="shared" si="277"/>
        <v>3783</v>
      </c>
      <c r="T952" s="12"/>
      <c r="U952" s="12">
        <v>9</v>
      </c>
      <c r="V952" s="10"/>
      <c r="W952" s="12">
        <f t="shared" si="278"/>
        <v>3792</v>
      </c>
      <c r="Y952" s="10">
        <v>6</v>
      </c>
      <c r="Z952" s="30"/>
      <c r="AA952" s="31"/>
      <c r="AB952" s="32"/>
      <c r="AC952" s="32"/>
      <c r="AD952" s="32"/>
      <c r="AE952" s="32">
        <f t="shared" si="280"/>
        <v>0</v>
      </c>
      <c r="AF952" s="12"/>
      <c r="AG952" s="12"/>
      <c r="AH952" s="10">
        <v>-6105</v>
      </c>
      <c r="AI952" s="12">
        <f t="shared" si="281"/>
        <v>-6105</v>
      </c>
      <c r="AK952" s="10">
        <v>6</v>
      </c>
      <c r="AL952" s="30"/>
      <c r="AM952" s="11" t="s">
        <v>28</v>
      </c>
      <c r="AN952" s="32"/>
      <c r="AO952" s="32"/>
      <c r="AP952" s="32"/>
      <c r="AQ952" s="32">
        <f t="shared" si="283"/>
        <v>0</v>
      </c>
      <c r="AR952" s="12"/>
      <c r="AS952" s="12"/>
      <c r="AT952" s="10"/>
      <c r="AU952" s="12">
        <f t="shared" si="284"/>
        <v>0</v>
      </c>
      <c r="AV952" s="18"/>
      <c r="AW952" s="62"/>
      <c r="AX952" s="62"/>
      <c r="AY952" s="62"/>
      <c r="AZ952" s="62"/>
    </row>
    <row r="953" spans="1:52" x14ac:dyDescent="0.25">
      <c r="A953" s="10">
        <v>7</v>
      </c>
      <c r="B953" s="30" t="s">
        <v>88</v>
      </c>
      <c r="C953" s="31">
        <f t="shared" si="285"/>
        <v>5400</v>
      </c>
      <c r="D953" s="32">
        <f>12520+1788+219</f>
        <v>14527</v>
      </c>
      <c r="E953" s="32"/>
      <c r="F953" s="32"/>
      <c r="G953" s="32">
        <f t="shared" si="275"/>
        <v>14527</v>
      </c>
      <c r="H953" s="12"/>
      <c r="I953" s="12"/>
      <c r="J953" s="12"/>
      <c r="K953" s="12">
        <f t="shared" si="276"/>
        <v>14527</v>
      </c>
      <c r="M953" s="10">
        <v>7</v>
      </c>
      <c r="N953" s="30" t="s">
        <v>88</v>
      </c>
      <c r="O953" s="31">
        <f t="shared" si="286"/>
        <v>5552</v>
      </c>
      <c r="P953" s="32">
        <f>1252+19</f>
        <v>1271</v>
      </c>
      <c r="Q953" s="32"/>
      <c r="R953" s="32"/>
      <c r="S953" s="32">
        <f t="shared" si="277"/>
        <v>1271</v>
      </c>
      <c r="T953" s="12"/>
      <c r="U953" s="12"/>
      <c r="V953" s="12"/>
      <c r="W953" s="12">
        <f t="shared" si="278"/>
        <v>1271</v>
      </c>
      <c r="Y953" s="10">
        <v>7</v>
      </c>
      <c r="Z953" s="30"/>
      <c r="AA953" s="31"/>
      <c r="AB953" s="32"/>
      <c r="AC953" s="32"/>
      <c r="AD953" s="32"/>
      <c r="AE953" s="32">
        <f t="shared" si="280"/>
        <v>0</v>
      </c>
      <c r="AF953" s="12"/>
      <c r="AG953" s="58">
        <f>3330+36+216</f>
        <v>3582</v>
      </c>
      <c r="AH953" s="12"/>
      <c r="AI953" s="12">
        <f t="shared" si="281"/>
        <v>3582</v>
      </c>
      <c r="AK953" s="10">
        <v>7</v>
      </c>
      <c r="AL953" s="30"/>
      <c r="AM953" s="31"/>
      <c r="AN953" s="32"/>
      <c r="AO953" s="32"/>
      <c r="AP953" s="32"/>
      <c r="AQ953" s="32">
        <f t="shared" si="283"/>
        <v>0</v>
      </c>
      <c r="AR953" s="12"/>
      <c r="AS953" s="58"/>
      <c r="AT953" s="12"/>
      <c r="AU953" s="12">
        <f t="shared" si="284"/>
        <v>0</v>
      </c>
      <c r="AV953" s="18"/>
      <c r="AW953" s="62"/>
      <c r="AX953" s="62"/>
      <c r="AY953" s="62"/>
      <c r="AZ953" s="62"/>
    </row>
    <row r="954" spans="1:52" x14ac:dyDescent="0.25">
      <c r="A954" s="10">
        <v>8</v>
      </c>
      <c r="B954" s="30" t="s">
        <v>88</v>
      </c>
      <c r="C954" s="31">
        <v>5501</v>
      </c>
      <c r="D954" s="32">
        <f>4382</f>
        <v>4382</v>
      </c>
      <c r="E954" s="32"/>
      <c r="F954" s="32"/>
      <c r="G954" s="32">
        <f t="shared" si="275"/>
        <v>4382</v>
      </c>
      <c r="H954" s="12"/>
      <c r="I954" s="12"/>
      <c r="J954" s="12"/>
      <c r="K954" s="12">
        <f t="shared" si="276"/>
        <v>4382</v>
      </c>
      <c r="M954" s="10">
        <v>8</v>
      </c>
      <c r="N954" s="30" t="s">
        <v>88</v>
      </c>
      <c r="O954" s="31">
        <f t="shared" si="286"/>
        <v>5553</v>
      </c>
      <c r="P954" s="32">
        <f>111428+11920+1832+1300</f>
        <v>126480</v>
      </c>
      <c r="Q954" s="32">
        <v>-1872</v>
      </c>
      <c r="R954" s="32"/>
      <c r="S954" s="32">
        <f t="shared" si="277"/>
        <v>124608</v>
      </c>
      <c r="T954" s="12"/>
      <c r="U954" s="12">
        <f>8880+312</f>
        <v>9192</v>
      </c>
      <c r="V954" s="12">
        <f>-336+-84</f>
        <v>-420</v>
      </c>
      <c r="W954" s="12">
        <f t="shared" si="278"/>
        <v>133380</v>
      </c>
      <c r="Y954" s="10">
        <v>8</v>
      </c>
      <c r="Z954" s="30"/>
      <c r="AA954" s="31"/>
      <c r="AB954" s="32"/>
      <c r="AC954" s="32"/>
      <c r="AE954" s="32">
        <f t="shared" si="280"/>
        <v>0</v>
      </c>
      <c r="AF954" s="12"/>
      <c r="AG954" s="12"/>
      <c r="AH954" s="12">
        <v>-6882</v>
      </c>
      <c r="AI954" s="12">
        <f t="shared" si="281"/>
        <v>-6882</v>
      </c>
      <c r="AK954" s="10">
        <v>8</v>
      </c>
      <c r="AL954" s="30"/>
      <c r="AM954" s="31"/>
      <c r="AN954" s="32"/>
      <c r="AO954" s="32"/>
      <c r="AQ954" s="32">
        <f t="shared" si="283"/>
        <v>0</v>
      </c>
      <c r="AR954" s="12"/>
      <c r="AS954" s="12"/>
      <c r="AT954" s="12"/>
      <c r="AU954" s="12">
        <f t="shared" si="284"/>
        <v>0</v>
      </c>
      <c r="AV954" s="18"/>
      <c r="AW954" s="62"/>
      <c r="AX954" s="62"/>
      <c r="AY954" s="62"/>
      <c r="AZ954" s="62"/>
    </row>
    <row r="955" spans="1:52" x14ac:dyDescent="0.25">
      <c r="A955" s="10">
        <v>9</v>
      </c>
      <c r="B955" s="30" t="s">
        <v>88</v>
      </c>
      <c r="C955" s="31">
        <f t="shared" si="285"/>
        <v>5502</v>
      </c>
      <c r="D955" s="32">
        <f>626+614+10</f>
        <v>1250</v>
      </c>
      <c r="E955" s="32"/>
      <c r="F955" s="32"/>
      <c r="G955" s="32">
        <f t="shared" si="275"/>
        <v>1250</v>
      </c>
      <c r="H955" s="12"/>
      <c r="I955" s="12"/>
      <c r="J955" s="12"/>
      <c r="K955" s="12">
        <f t="shared" si="276"/>
        <v>1250</v>
      </c>
      <c r="M955" s="10">
        <v>9</v>
      </c>
      <c r="N955" s="30" t="s">
        <v>88</v>
      </c>
      <c r="O955" s="31">
        <f t="shared" si="286"/>
        <v>5554</v>
      </c>
      <c r="P955" s="32">
        <f>18260+852+3015+832</f>
        <v>22959</v>
      </c>
      <c r="Q955" s="32"/>
      <c r="R955" s="32"/>
      <c r="S955" s="32">
        <f t="shared" si="277"/>
        <v>22959</v>
      </c>
      <c r="T955" s="12"/>
      <c r="U955" s="12"/>
      <c r="V955" s="12"/>
      <c r="W955" s="12">
        <f t="shared" si="278"/>
        <v>22959</v>
      </c>
      <c r="Y955" s="10">
        <v>9</v>
      </c>
      <c r="Z955" s="30"/>
      <c r="AA955" s="31"/>
      <c r="AC955" s="32"/>
      <c r="AD955" s="32"/>
      <c r="AE955" s="32">
        <f t="shared" si="280"/>
        <v>0</v>
      </c>
      <c r="AF955" s="12"/>
      <c r="AG955">
        <f>36+12</f>
        <v>48</v>
      </c>
      <c r="AH955" s="12"/>
      <c r="AI955" s="12">
        <f t="shared" si="281"/>
        <v>48</v>
      </c>
      <c r="AK955" s="10">
        <v>9</v>
      </c>
      <c r="AL955" s="30"/>
      <c r="AM955" s="31"/>
      <c r="AO955" s="32"/>
      <c r="AP955" s="32"/>
      <c r="AQ955" s="32">
        <f t="shared" si="283"/>
        <v>0</v>
      </c>
      <c r="AR955" s="12"/>
      <c r="AT955" s="12"/>
      <c r="AU955" s="12">
        <f t="shared" si="284"/>
        <v>0</v>
      </c>
      <c r="AV955" s="18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88</v>
      </c>
      <c r="C956" s="31">
        <f t="shared" si="285"/>
        <v>5503</v>
      </c>
      <c r="D956" s="32">
        <f>1252+19</f>
        <v>1271</v>
      </c>
      <c r="E956" s="32"/>
      <c r="F956" s="32"/>
      <c r="G956" s="32">
        <f t="shared" si="275"/>
        <v>1271</v>
      </c>
      <c r="H956" s="12"/>
      <c r="I956" s="12"/>
      <c r="J956" s="12"/>
      <c r="K956" s="12">
        <f t="shared" si="276"/>
        <v>1271</v>
      </c>
      <c r="M956" s="10">
        <v>10</v>
      </c>
      <c r="N956" s="30" t="s">
        <v>88</v>
      </c>
      <c r="O956" s="31">
        <f t="shared" si="286"/>
        <v>5555</v>
      </c>
      <c r="P956" s="32">
        <f>3130</f>
        <v>3130</v>
      </c>
      <c r="Q956" s="32"/>
      <c r="R956" s="32"/>
      <c r="S956" s="32">
        <f t="shared" si="277"/>
        <v>3130</v>
      </c>
      <c r="T956" s="12"/>
      <c r="U956" s="12"/>
      <c r="V956" s="12"/>
      <c r="W956" s="12">
        <f t="shared" si="278"/>
        <v>3130</v>
      </c>
      <c r="Y956" s="10">
        <v>10</v>
      </c>
      <c r="Z956" s="30"/>
      <c r="AB956" s="32"/>
      <c r="AC956" s="32"/>
      <c r="AD956" s="32"/>
      <c r="AE956" s="32">
        <f t="shared" si="280"/>
        <v>0</v>
      </c>
      <c r="AF956" s="12"/>
      <c r="AG956" s="12"/>
      <c r="AH956" s="12"/>
      <c r="AI956" s="12">
        <f t="shared" si="281"/>
        <v>0</v>
      </c>
      <c r="AK956" s="10">
        <v>10</v>
      </c>
      <c r="AL956" s="30"/>
      <c r="AN956" s="32"/>
      <c r="AO956" s="32"/>
      <c r="AP956" s="32"/>
      <c r="AQ956" s="32">
        <f t="shared" si="283"/>
        <v>0</v>
      </c>
      <c r="AR956" s="12"/>
      <c r="AS956" s="12"/>
      <c r="AT956" s="12"/>
      <c r="AU956" s="12">
        <f t="shared" si="284"/>
        <v>0</v>
      </c>
      <c r="AV956" s="18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88</v>
      </c>
      <c r="C957" s="31">
        <f t="shared" si="285"/>
        <v>5504</v>
      </c>
      <c r="D957" s="32">
        <f>53836+3684+687</f>
        <v>58207</v>
      </c>
      <c r="E957" s="32"/>
      <c r="F957" s="32"/>
      <c r="G957" s="32">
        <f t="shared" si="275"/>
        <v>58207</v>
      </c>
      <c r="H957" s="12"/>
      <c r="I957" s="12">
        <f>89</f>
        <v>89</v>
      </c>
      <c r="J957" s="12"/>
      <c r="K957" s="12">
        <f t="shared" si="276"/>
        <v>58296</v>
      </c>
      <c r="M957" s="10">
        <v>11</v>
      </c>
      <c r="N957" s="30"/>
      <c r="O957" s="11" t="s">
        <v>28</v>
      </c>
      <c r="P957" s="32"/>
      <c r="Q957" s="32"/>
      <c r="R957" s="32"/>
      <c r="S957" s="32">
        <f t="shared" si="277"/>
        <v>0</v>
      </c>
      <c r="T957" s="12"/>
      <c r="U957" s="12"/>
      <c r="V957" s="12"/>
      <c r="W957" s="12">
        <f t="shared" si="278"/>
        <v>0</v>
      </c>
      <c r="Y957" s="10">
        <v>11</v>
      </c>
      <c r="Z957" s="30"/>
      <c r="AA957" s="31"/>
      <c r="AB957" s="32"/>
      <c r="AC957" s="32"/>
      <c r="AD957" s="32"/>
      <c r="AE957" s="32">
        <f t="shared" si="280"/>
        <v>0</v>
      </c>
      <c r="AF957" s="12"/>
      <c r="AG957" s="12"/>
      <c r="AH957" s="12"/>
      <c r="AI957" s="12">
        <f t="shared" si="281"/>
        <v>0</v>
      </c>
      <c r="AK957" s="10">
        <v>11</v>
      </c>
      <c r="AL957" s="30"/>
      <c r="AM957" s="31"/>
      <c r="AN957" s="32"/>
      <c r="AO957" s="32"/>
      <c r="AP957" s="32"/>
      <c r="AQ957" s="32">
        <f t="shared" si="283"/>
        <v>0</v>
      </c>
      <c r="AR957" s="12"/>
      <c r="AS957" s="12"/>
      <c r="AT957" s="12"/>
      <c r="AU957" s="12">
        <f t="shared" si="284"/>
        <v>0</v>
      </c>
      <c r="AV957" s="18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88</v>
      </c>
      <c r="C958" s="31">
        <f t="shared" si="285"/>
        <v>5505</v>
      </c>
      <c r="D958" s="32">
        <f>6260+674+500</f>
        <v>7434</v>
      </c>
      <c r="E958" s="32"/>
      <c r="F958" s="32"/>
      <c r="G958" s="32">
        <f t="shared" si="275"/>
        <v>7434</v>
      </c>
      <c r="H958" s="12"/>
      <c r="I958" s="12">
        <v>6</v>
      </c>
      <c r="J958" s="10"/>
      <c r="K958" s="12">
        <f t="shared" si="276"/>
        <v>7440</v>
      </c>
      <c r="M958" s="10">
        <v>12</v>
      </c>
      <c r="N958" s="30"/>
      <c r="O958" s="31"/>
      <c r="P958" s="32"/>
      <c r="Q958" s="32"/>
      <c r="R958" s="32"/>
      <c r="S958" s="32">
        <f t="shared" si="277"/>
        <v>0</v>
      </c>
      <c r="T958" s="12"/>
      <c r="U958" s="12"/>
      <c r="V958" s="12"/>
      <c r="W958" s="12">
        <f t="shared" si="278"/>
        <v>0</v>
      </c>
      <c r="Y958" s="10">
        <v>12</v>
      </c>
      <c r="Z958" s="30"/>
      <c r="AA958" s="31"/>
      <c r="AB958" s="32"/>
      <c r="AC958" s="32"/>
      <c r="AD958" s="32"/>
      <c r="AE958" s="32">
        <f t="shared" si="280"/>
        <v>0</v>
      </c>
      <c r="AF958" s="12"/>
      <c r="AG958" s="12"/>
      <c r="AH958" s="12"/>
      <c r="AI958" s="12">
        <f t="shared" si="281"/>
        <v>0</v>
      </c>
      <c r="AK958" s="10">
        <v>12</v>
      </c>
      <c r="AL958" s="30"/>
      <c r="AM958" s="31"/>
      <c r="AN958" s="32"/>
      <c r="AO958" s="32"/>
      <c r="AP958" s="32"/>
      <c r="AQ958" s="32">
        <f t="shared" si="283"/>
        <v>0</v>
      </c>
      <c r="AR958" s="12"/>
      <c r="AS958" s="12"/>
      <c r="AT958" s="12"/>
      <c r="AU958" s="12">
        <f t="shared" si="284"/>
        <v>0</v>
      </c>
      <c r="AV958" s="18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88</v>
      </c>
      <c r="C959" s="31">
        <f t="shared" si="285"/>
        <v>5506</v>
      </c>
      <c r="D959" s="32">
        <f>3756+57</f>
        <v>3813</v>
      </c>
      <c r="E959" s="32"/>
      <c r="F959" s="32"/>
      <c r="G959" s="32">
        <f t="shared" si="275"/>
        <v>3813</v>
      </c>
      <c r="H959" s="12"/>
      <c r="I959" s="12"/>
      <c r="J959" s="12"/>
      <c r="K959" s="12">
        <f t="shared" si="276"/>
        <v>3813</v>
      </c>
      <c r="M959" s="10">
        <v>13</v>
      </c>
      <c r="N959" s="30"/>
      <c r="O959" s="31"/>
      <c r="P959" s="32"/>
      <c r="Q959" s="32"/>
      <c r="R959" s="32"/>
      <c r="S959" s="32">
        <f t="shared" si="277"/>
        <v>0</v>
      </c>
      <c r="T959" s="12"/>
      <c r="U959" s="12"/>
      <c r="V959" s="12"/>
      <c r="W959" s="12">
        <f t="shared" si="278"/>
        <v>0</v>
      </c>
      <c r="Y959" s="10">
        <v>13</v>
      </c>
      <c r="Z959" s="30"/>
      <c r="AA959" s="31"/>
      <c r="AB959" s="32"/>
      <c r="AC959" s="32"/>
      <c r="AD959" s="32"/>
      <c r="AE959" s="32">
        <f t="shared" si="280"/>
        <v>0</v>
      </c>
      <c r="AF959" s="12"/>
      <c r="AG959" s="12"/>
      <c r="AH959" s="12"/>
      <c r="AI959" s="12">
        <f t="shared" si="281"/>
        <v>0</v>
      </c>
      <c r="AK959" s="10">
        <v>13</v>
      </c>
      <c r="AL959" s="30"/>
      <c r="AM959" s="31"/>
      <c r="AN959" s="32"/>
      <c r="AO959" s="32"/>
      <c r="AP959" s="32"/>
      <c r="AQ959" s="32">
        <f t="shared" si="283"/>
        <v>0</v>
      </c>
      <c r="AR959" s="12"/>
      <c r="AS959" s="12"/>
      <c r="AT959" s="12"/>
      <c r="AU959" s="12">
        <f t="shared" si="284"/>
        <v>0</v>
      </c>
      <c r="AV959" s="18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88</v>
      </c>
      <c r="C960" s="31">
        <f t="shared" si="285"/>
        <v>5507</v>
      </c>
      <c r="D960" s="32">
        <f>29422+2980</f>
        <v>32402</v>
      </c>
      <c r="E960" s="32"/>
      <c r="F960" s="32"/>
      <c r="G960" s="32">
        <f t="shared" si="275"/>
        <v>32402</v>
      </c>
      <c r="H960" s="12"/>
      <c r="I960" s="12"/>
      <c r="J960" s="12"/>
      <c r="K960" s="12">
        <f t="shared" si="276"/>
        <v>32402</v>
      </c>
      <c r="M960" s="10">
        <v>14</v>
      </c>
      <c r="N960" s="30"/>
      <c r="O960" s="31"/>
      <c r="P960" s="32"/>
      <c r="Q960" s="32"/>
      <c r="R960" s="32"/>
      <c r="S960" s="32">
        <f t="shared" si="277"/>
        <v>0</v>
      </c>
      <c r="T960" s="12"/>
      <c r="U960" s="12"/>
      <c r="V960" s="12"/>
      <c r="W960" s="12">
        <f t="shared" si="278"/>
        <v>0</v>
      </c>
      <c r="Y960" s="10">
        <v>14</v>
      </c>
      <c r="Z960" s="30"/>
      <c r="AA960" s="31"/>
      <c r="AB960" s="32"/>
      <c r="AC960" s="32"/>
      <c r="AD960" s="32"/>
      <c r="AE960" s="32">
        <f t="shared" si="280"/>
        <v>0</v>
      </c>
      <c r="AF960" s="12"/>
      <c r="AG960" s="12"/>
      <c r="AH960" s="12"/>
      <c r="AI960" s="12">
        <f t="shared" si="281"/>
        <v>0</v>
      </c>
      <c r="AK960" s="10">
        <v>14</v>
      </c>
      <c r="AL960" s="30"/>
      <c r="AM960" s="31"/>
      <c r="AN960" s="32"/>
      <c r="AO960" s="32"/>
      <c r="AP960" s="32"/>
      <c r="AQ960" s="32">
        <f t="shared" si="283"/>
        <v>0</v>
      </c>
      <c r="AR960" s="12"/>
      <c r="AS960" s="12"/>
      <c r="AT960" s="12"/>
      <c r="AU960" s="12">
        <f t="shared" si="284"/>
        <v>0</v>
      </c>
      <c r="AV960" s="18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88</v>
      </c>
      <c r="C961" s="31">
        <f t="shared" si="285"/>
        <v>5508</v>
      </c>
      <c r="D961" s="32">
        <f>1252+19</f>
        <v>1271</v>
      </c>
      <c r="E961" s="32"/>
      <c r="F961" s="32"/>
      <c r="G961" s="32">
        <f t="shared" si="275"/>
        <v>1271</v>
      </c>
      <c r="H961" s="12"/>
      <c r="I961" s="12"/>
      <c r="J961" s="12"/>
      <c r="K961" s="12">
        <f t="shared" si="276"/>
        <v>1271</v>
      </c>
      <c r="M961" s="10">
        <v>15</v>
      </c>
      <c r="N961" s="30"/>
      <c r="O961" s="31"/>
      <c r="P961" s="32"/>
      <c r="R961" s="32"/>
      <c r="S961" s="32">
        <f t="shared" si="277"/>
        <v>0</v>
      </c>
      <c r="T961" s="12"/>
      <c r="U961" s="12"/>
      <c r="W961" s="12">
        <f t="shared" si="278"/>
        <v>0</v>
      </c>
      <c r="Y961" s="10">
        <v>15</v>
      </c>
      <c r="Z961" s="30"/>
      <c r="AA961" s="31"/>
      <c r="AB961" s="32"/>
      <c r="AC961" s="32"/>
      <c r="AD961" s="32"/>
      <c r="AE961" s="32">
        <f t="shared" si="280"/>
        <v>0</v>
      </c>
      <c r="AF961" s="12"/>
      <c r="AG961" s="12"/>
      <c r="AH961" s="12"/>
      <c r="AI961" s="12">
        <f t="shared" si="281"/>
        <v>0</v>
      </c>
      <c r="AK961" s="10">
        <v>15</v>
      </c>
      <c r="AL961" s="30"/>
      <c r="AM961" s="31"/>
      <c r="AN961" s="32"/>
      <c r="AO961" s="32"/>
      <c r="AP961" s="32"/>
      <c r="AQ961" s="32">
        <f t="shared" si="283"/>
        <v>0</v>
      </c>
      <c r="AR961" s="12"/>
      <c r="AS961" s="12"/>
      <c r="AT961" s="12"/>
      <c r="AU961" s="12">
        <f t="shared" si="284"/>
        <v>0</v>
      </c>
      <c r="AV961" s="18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88</v>
      </c>
      <c r="C962" s="31">
        <f t="shared" si="285"/>
        <v>5509</v>
      </c>
      <c r="D962" s="32">
        <f>1300</f>
        <v>1300</v>
      </c>
      <c r="E962" s="32"/>
      <c r="F962" s="32"/>
      <c r="G962" s="32">
        <f t="shared" si="275"/>
        <v>1300</v>
      </c>
      <c r="H962" s="12"/>
      <c r="I962" s="12"/>
      <c r="J962" s="12"/>
      <c r="K962" s="12">
        <f t="shared" si="276"/>
        <v>1300</v>
      </c>
      <c r="M962" s="10">
        <v>16</v>
      </c>
      <c r="N962" s="30"/>
      <c r="O962" s="31"/>
      <c r="P962" s="32"/>
      <c r="Q962" s="32"/>
      <c r="R962" s="32"/>
      <c r="S962" s="32">
        <f>SUM(P962:Q962)</f>
        <v>0</v>
      </c>
      <c r="T962" s="12"/>
      <c r="U962" s="12"/>
      <c r="V962" s="12"/>
      <c r="W962" s="12">
        <f>SUM(S962:V962)</f>
        <v>0</v>
      </c>
      <c r="Y962" s="10">
        <v>16</v>
      </c>
      <c r="Z962" s="30"/>
      <c r="AA962" s="31"/>
      <c r="AB962" s="32"/>
      <c r="AC962" s="32"/>
      <c r="AD962" s="32"/>
      <c r="AE962" s="32">
        <f t="shared" si="280"/>
        <v>0</v>
      </c>
      <c r="AF962" s="12"/>
      <c r="AG962" s="12"/>
      <c r="AH962" s="12"/>
      <c r="AI962" s="12">
        <f t="shared" si="281"/>
        <v>0</v>
      </c>
      <c r="AK962" s="10">
        <v>16</v>
      </c>
      <c r="AL962" s="30"/>
      <c r="AM962" s="31"/>
      <c r="AN962" s="32"/>
      <c r="AO962" s="32"/>
      <c r="AP962" s="32"/>
      <c r="AQ962" s="32">
        <f t="shared" si="283"/>
        <v>0</v>
      </c>
      <c r="AR962" s="12"/>
      <c r="AS962" s="12"/>
      <c r="AT962" s="12"/>
      <c r="AU962" s="12">
        <f t="shared" si="284"/>
        <v>0</v>
      </c>
      <c r="AV962" s="18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88</v>
      </c>
      <c r="C963" s="31">
        <f t="shared" si="285"/>
        <v>5510</v>
      </c>
      <c r="D963" s="32">
        <f>5008+614+1348+76</f>
        <v>7046</v>
      </c>
      <c r="E963" s="32"/>
      <c r="F963" s="32"/>
      <c r="G963" s="32">
        <f t="shared" si="275"/>
        <v>7046</v>
      </c>
      <c r="H963" s="12"/>
      <c r="I963" s="12"/>
      <c r="J963" s="12"/>
      <c r="K963" s="12">
        <f t="shared" si="276"/>
        <v>7046</v>
      </c>
      <c r="M963" s="10">
        <v>17</v>
      </c>
      <c r="N963" s="30"/>
      <c r="O963" s="31"/>
      <c r="P963" s="35"/>
      <c r="Q963" s="32"/>
      <c r="R963" s="32"/>
      <c r="S963" s="32">
        <f t="shared" ref="S963:S985" si="287">SUM(P963:Q963)</f>
        <v>0</v>
      </c>
      <c r="T963" s="12"/>
      <c r="U963" s="12"/>
      <c r="V963" s="12"/>
      <c r="W963" s="12">
        <f t="shared" ref="W963:W988" si="288">SUM(S963:V963)</f>
        <v>0</v>
      </c>
      <c r="Y963" s="10">
        <v>17</v>
      </c>
      <c r="Z963" s="30"/>
      <c r="AA963" s="31"/>
      <c r="AB963" s="35"/>
      <c r="AC963" s="32"/>
      <c r="AD963" s="32"/>
      <c r="AE963" s="32">
        <f t="shared" si="280"/>
        <v>0</v>
      </c>
      <c r="AF963" s="12"/>
      <c r="AG963" s="12"/>
      <c r="AH963" s="12"/>
      <c r="AI963" s="12">
        <f t="shared" si="281"/>
        <v>0</v>
      </c>
      <c r="AK963" s="10">
        <v>17</v>
      </c>
      <c r="AL963" s="30"/>
      <c r="AM963" s="31"/>
      <c r="AN963" s="35"/>
      <c r="AO963" s="32"/>
      <c r="AP963" s="32"/>
      <c r="AQ963" s="32">
        <f t="shared" si="283"/>
        <v>0</v>
      </c>
      <c r="AR963" s="12"/>
      <c r="AS963" s="12"/>
      <c r="AT963" s="12"/>
      <c r="AU963" s="12">
        <f t="shared" si="284"/>
        <v>0</v>
      </c>
      <c r="AV963" s="18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88</v>
      </c>
      <c r="C964" s="31">
        <f t="shared" si="285"/>
        <v>5511</v>
      </c>
      <c r="D964" s="32">
        <f>3756+57</f>
        <v>3813</v>
      </c>
      <c r="E964" s="32"/>
      <c r="F964" s="32"/>
      <c r="G964" s="32">
        <f t="shared" si="275"/>
        <v>3813</v>
      </c>
      <c r="H964" s="12"/>
      <c r="I964" s="12"/>
      <c r="J964" s="12"/>
      <c r="K964" s="12">
        <f t="shared" si="276"/>
        <v>3813</v>
      </c>
      <c r="M964" s="10">
        <v>18</v>
      </c>
      <c r="N964" s="30"/>
      <c r="O964" s="31"/>
      <c r="P964" s="32"/>
      <c r="Q964" s="32"/>
      <c r="R964" s="32"/>
      <c r="S964" s="32">
        <f t="shared" si="287"/>
        <v>0</v>
      </c>
      <c r="T964" s="12"/>
      <c r="U964" s="12"/>
      <c r="V964" s="12"/>
      <c r="W964" s="12">
        <f t="shared" si="288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80"/>
        <v>0</v>
      </c>
      <c r="AF964" s="12"/>
      <c r="AG964" s="12"/>
      <c r="AH964" s="12"/>
      <c r="AI964" s="12">
        <f t="shared" si="281"/>
        <v>0</v>
      </c>
      <c r="AK964" s="10">
        <v>18</v>
      </c>
      <c r="AL964" s="30"/>
      <c r="AM964" s="31"/>
      <c r="AN964" s="32"/>
      <c r="AO964" s="32"/>
      <c r="AP964" s="32"/>
      <c r="AQ964" s="32">
        <f t="shared" si="283"/>
        <v>0</v>
      </c>
      <c r="AR964" s="12"/>
      <c r="AS964" s="12"/>
      <c r="AT964" s="12"/>
      <c r="AU964" s="12">
        <f t="shared" si="284"/>
        <v>0</v>
      </c>
      <c r="AV964" s="18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88</v>
      </c>
      <c r="C965" s="31">
        <f t="shared" si="285"/>
        <v>5512</v>
      </c>
      <c r="D965" s="32">
        <f>1252+19</f>
        <v>1271</v>
      </c>
      <c r="E965" s="32"/>
      <c r="F965" s="32"/>
      <c r="G965" s="32">
        <f t="shared" si="275"/>
        <v>1271</v>
      </c>
      <c r="H965" s="12"/>
      <c r="I965" s="12"/>
      <c r="J965" s="12"/>
      <c r="K965" s="12">
        <f t="shared" si="276"/>
        <v>1271</v>
      </c>
      <c r="M965" s="10">
        <v>19</v>
      </c>
      <c r="N965" s="30"/>
      <c r="O965" s="31"/>
      <c r="P965" s="32"/>
      <c r="Q965" s="32"/>
      <c r="R965" s="32"/>
      <c r="S965" s="32">
        <f t="shared" si="287"/>
        <v>0</v>
      </c>
      <c r="T965" s="12"/>
      <c r="U965" s="12"/>
      <c r="V965" s="12"/>
      <c r="W965" s="12">
        <f t="shared" si="288"/>
        <v>0</v>
      </c>
      <c r="Y965" s="10">
        <v>19</v>
      </c>
      <c r="Z965" s="30"/>
      <c r="AB965" s="32"/>
      <c r="AC965" s="32"/>
      <c r="AD965" s="32"/>
      <c r="AE965" s="32">
        <f t="shared" si="280"/>
        <v>0</v>
      </c>
      <c r="AF965" s="12"/>
      <c r="AG965" s="12"/>
      <c r="AH965" s="12"/>
      <c r="AI965" s="12">
        <f t="shared" si="281"/>
        <v>0</v>
      </c>
      <c r="AK965" s="10">
        <v>19</v>
      </c>
      <c r="AL965" s="30"/>
      <c r="AM965" s="31"/>
      <c r="AN965" s="32"/>
      <c r="AO965" s="32"/>
      <c r="AP965" s="32"/>
      <c r="AQ965" s="32">
        <f t="shared" si="283"/>
        <v>0</v>
      </c>
      <c r="AR965" s="12"/>
      <c r="AS965" s="12"/>
      <c r="AT965" s="12"/>
      <c r="AU965" s="12">
        <f t="shared" si="284"/>
        <v>0</v>
      </c>
      <c r="AV965" s="18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88</v>
      </c>
      <c r="C966" s="31">
        <f t="shared" si="285"/>
        <v>5513</v>
      </c>
      <c r="D966" s="32">
        <f>125200+29800+1664+2290</f>
        <v>158954</v>
      </c>
      <c r="E966" s="32">
        <v>-2358</v>
      </c>
      <c r="F966" s="32"/>
      <c r="G966" s="32">
        <f t="shared" si="275"/>
        <v>156596</v>
      </c>
      <c r="H966" s="12"/>
      <c r="I966" s="12"/>
      <c r="J966" s="12"/>
      <c r="K966" s="12">
        <f t="shared" si="276"/>
        <v>156596</v>
      </c>
      <c r="M966" s="10">
        <v>20</v>
      </c>
      <c r="N966" s="30"/>
      <c r="O966" s="31"/>
      <c r="P966" s="32"/>
      <c r="Q966" s="32"/>
      <c r="R966" s="32"/>
      <c r="S966" s="32">
        <f t="shared" si="287"/>
        <v>0</v>
      </c>
      <c r="T966" s="12"/>
      <c r="U966" s="12"/>
      <c r="V966" s="12"/>
      <c r="W966" s="12">
        <f t="shared" si="288"/>
        <v>0</v>
      </c>
      <c r="Y966" s="10">
        <v>20</v>
      </c>
      <c r="Z966" s="30"/>
      <c r="AB966" s="32"/>
      <c r="AC966" s="32"/>
      <c r="AD966" s="32"/>
      <c r="AE966" s="32">
        <f t="shared" si="280"/>
        <v>0</v>
      </c>
      <c r="AF966" s="12"/>
      <c r="AG966" s="12"/>
      <c r="AH966" s="12"/>
      <c r="AI966" s="12">
        <f t="shared" si="281"/>
        <v>0</v>
      </c>
      <c r="AK966" s="10">
        <v>20</v>
      </c>
      <c r="AL966" s="30"/>
      <c r="AM966" s="31"/>
      <c r="AN966" s="32"/>
      <c r="AO966" s="32"/>
      <c r="AP966" s="32"/>
      <c r="AQ966" s="32">
        <f t="shared" si="283"/>
        <v>0</v>
      </c>
      <c r="AR966" s="12"/>
      <c r="AS966" s="12"/>
      <c r="AT966" s="12"/>
      <c r="AU966" s="12">
        <f t="shared" si="284"/>
        <v>0</v>
      </c>
      <c r="AV966" s="18"/>
      <c r="AW966" s="62"/>
      <c r="AX966" s="62"/>
      <c r="AY966" s="62"/>
      <c r="AZ966" s="62"/>
    </row>
    <row r="967" spans="1:52" x14ac:dyDescent="0.25">
      <c r="A967" s="10">
        <v>21</v>
      </c>
      <c r="B967" s="30"/>
      <c r="C967" s="11" t="s">
        <v>28</v>
      </c>
      <c r="D967" s="32"/>
      <c r="E967" s="32"/>
      <c r="F967" s="32"/>
      <c r="G967" s="32">
        <f t="shared" si="275"/>
        <v>0</v>
      </c>
      <c r="H967" s="10"/>
      <c r="I967" s="10"/>
      <c r="J967" s="10"/>
      <c r="K967" s="12">
        <f t="shared" si="276"/>
        <v>0</v>
      </c>
      <c r="M967" s="10">
        <v>21</v>
      </c>
      <c r="N967" s="30"/>
      <c r="O967" s="31"/>
      <c r="P967" s="46"/>
      <c r="Q967" s="31"/>
      <c r="R967" s="31"/>
      <c r="S967" s="32">
        <f t="shared" si="287"/>
        <v>0</v>
      </c>
      <c r="T967" s="10"/>
      <c r="U967" s="10"/>
      <c r="V967" s="10"/>
      <c r="W967" s="12">
        <f t="shared" si="288"/>
        <v>0</v>
      </c>
      <c r="Y967" s="10">
        <v>21</v>
      </c>
      <c r="Z967" s="30"/>
      <c r="AA967" s="31"/>
      <c r="AB967" s="46"/>
      <c r="AC967" s="31"/>
      <c r="AD967" s="31"/>
      <c r="AE967" s="32">
        <f t="shared" si="280"/>
        <v>0</v>
      </c>
      <c r="AF967" s="10"/>
      <c r="AG967" s="10"/>
      <c r="AH967" s="10"/>
      <c r="AI967" s="12">
        <f t="shared" si="281"/>
        <v>0</v>
      </c>
      <c r="AK967" s="10">
        <v>21</v>
      </c>
      <c r="AL967" s="30"/>
      <c r="AM967" s="31"/>
      <c r="AN967" s="46"/>
      <c r="AO967" s="31"/>
      <c r="AP967" s="31"/>
      <c r="AQ967" s="32">
        <f t="shared" si="283"/>
        <v>0</v>
      </c>
      <c r="AR967" s="10"/>
      <c r="AS967" s="10"/>
      <c r="AT967" s="10"/>
      <c r="AU967" s="12">
        <f t="shared" si="284"/>
        <v>0</v>
      </c>
      <c r="AV967" s="18"/>
      <c r="AW967" s="62"/>
      <c r="AX967" s="62"/>
      <c r="AY967" s="62"/>
      <c r="AZ967" s="62"/>
    </row>
    <row r="968" spans="1:52" x14ac:dyDescent="0.25">
      <c r="A968" s="10">
        <v>22</v>
      </c>
      <c r="B968" s="30"/>
      <c r="C968" s="31"/>
      <c r="D968" s="32"/>
      <c r="E968" s="32"/>
      <c r="F968" s="32"/>
      <c r="G968" s="32">
        <f t="shared" si="275"/>
        <v>0</v>
      </c>
      <c r="H968" s="10"/>
      <c r="I968" s="10"/>
      <c r="J968" s="10"/>
      <c r="K968" s="12">
        <f t="shared" si="276"/>
        <v>0</v>
      </c>
      <c r="M968" s="10">
        <v>22</v>
      </c>
      <c r="N968" s="30"/>
      <c r="O968" s="31"/>
      <c r="P968" s="45"/>
      <c r="Q968" s="31"/>
      <c r="R968" s="31"/>
      <c r="S968" s="32">
        <f t="shared" si="287"/>
        <v>0</v>
      </c>
      <c r="T968" s="10"/>
      <c r="U968" s="10"/>
      <c r="V968" s="10"/>
      <c r="W968" s="12">
        <f t="shared" si="288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80"/>
        <v>0</v>
      </c>
      <c r="AF968" s="10"/>
      <c r="AG968" s="10"/>
      <c r="AH968" s="10"/>
      <c r="AI968" s="12">
        <f t="shared" si="281"/>
        <v>0</v>
      </c>
      <c r="AK968" s="10">
        <v>22</v>
      </c>
      <c r="AL968" s="30"/>
      <c r="AM968" s="31"/>
      <c r="AN968" s="45"/>
      <c r="AO968" s="31"/>
      <c r="AP968" s="31"/>
      <c r="AQ968" s="32">
        <f t="shared" si="283"/>
        <v>0</v>
      </c>
      <c r="AR968" s="10"/>
      <c r="AS968" s="10"/>
      <c r="AT968" s="10"/>
      <c r="AU968" s="12">
        <f t="shared" si="284"/>
        <v>0</v>
      </c>
      <c r="AV968" s="18"/>
      <c r="AW968" s="62"/>
      <c r="AX968" s="62"/>
      <c r="AY968" s="62"/>
      <c r="AZ968" s="62"/>
    </row>
    <row r="969" spans="1:52" x14ac:dyDescent="0.25">
      <c r="A969" s="10">
        <v>23</v>
      </c>
      <c r="B969" s="30"/>
      <c r="C969" s="31"/>
      <c r="D969" s="32"/>
      <c r="E969" s="32"/>
      <c r="F969" s="32"/>
      <c r="G969" s="32">
        <f t="shared" si="275"/>
        <v>0</v>
      </c>
      <c r="H969" s="10"/>
      <c r="I969" s="10"/>
      <c r="J969" s="12"/>
      <c r="K969" s="12">
        <f t="shared" si="276"/>
        <v>0</v>
      </c>
      <c r="M969" s="10">
        <v>23</v>
      </c>
      <c r="N969" s="30"/>
      <c r="P969" s="47"/>
      <c r="Q969" s="31"/>
      <c r="R969" s="31"/>
      <c r="S969" s="32">
        <f t="shared" si="287"/>
        <v>0</v>
      </c>
      <c r="T969" s="10"/>
      <c r="U969" s="10"/>
      <c r="V969" s="10"/>
      <c r="W969" s="12">
        <f t="shared" si="288"/>
        <v>0</v>
      </c>
      <c r="Y969" s="10">
        <v>23</v>
      </c>
      <c r="Z969" s="30"/>
      <c r="AA969" s="31"/>
      <c r="AB969" s="47"/>
      <c r="AE969" s="32">
        <f t="shared" si="280"/>
        <v>0</v>
      </c>
      <c r="AF969" s="10"/>
      <c r="AG969" s="10"/>
      <c r="AH969" s="10"/>
      <c r="AI969" s="12">
        <f t="shared" si="281"/>
        <v>0</v>
      </c>
      <c r="AK969" s="10">
        <v>23</v>
      </c>
      <c r="AL969" s="30"/>
      <c r="AM969" s="31"/>
      <c r="AN969" s="47"/>
      <c r="AQ969" s="32">
        <f t="shared" si="283"/>
        <v>0</v>
      </c>
      <c r="AR969" s="10"/>
      <c r="AS969" s="10"/>
      <c r="AT969" s="10"/>
      <c r="AU969" s="12">
        <f t="shared" si="284"/>
        <v>0</v>
      </c>
      <c r="AV969" s="18"/>
      <c r="AW969" s="62"/>
      <c r="AX969" s="62"/>
      <c r="AY969" s="62"/>
      <c r="AZ969" s="62"/>
    </row>
    <row r="970" spans="1:52" x14ac:dyDescent="0.25">
      <c r="A970" s="10">
        <v>24</v>
      </c>
      <c r="B970" s="30"/>
      <c r="C970" s="31"/>
      <c r="D970" s="32"/>
      <c r="E970" s="32"/>
      <c r="F970" s="32"/>
      <c r="G970" s="32">
        <f t="shared" si="275"/>
        <v>0</v>
      </c>
      <c r="H970" s="10"/>
      <c r="I970" s="10"/>
      <c r="J970" s="10"/>
      <c r="K970" s="12">
        <f t="shared" si="276"/>
        <v>0</v>
      </c>
      <c r="M970" s="10">
        <v>24</v>
      </c>
      <c r="N970" s="30"/>
      <c r="P970" s="47"/>
      <c r="Q970" s="31"/>
      <c r="R970" s="31"/>
      <c r="S970" s="32">
        <f t="shared" si="287"/>
        <v>0</v>
      </c>
      <c r="T970" s="10"/>
      <c r="U970" s="10"/>
      <c r="V970" s="10"/>
      <c r="W970" s="12">
        <f t="shared" si="288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80"/>
        <v>0</v>
      </c>
      <c r="AF970" s="10"/>
      <c r="AG970" s="10"/>
      <c r="AH970" s="10"/>
      <c r="AI970" s="12">
        <f t="shared" si="281"/>
        <v>0</v>
      </c>
      <c r="AK970" s="10">
        <v>24</v>
      </c>
      <c r="AL970" s="30"/>
      <c r="AM970" s="31"/>
      <c r="AN970" s="47"/>
      <c r="AO970" s="31"/>
      <c r="AP970" s="31"/>
      <c r="AQ970" s="32">
        <f t="shared" si="283"/>
        <v>0</v>
      </c>
      <c r="AR970" s="10"/>
      <c r="AS970" s="10"/>
      <c r="AT970" s="10"/>
      <c r="AU970" s="12">
        <f t="shared" si="284"/>
        <v>0</v>
      </c>
      <c r="AV970" s="18"/>
      <c r="AW970" s="62"/>
      <c r="AX970" s="62"/>
      <c r="AY970" s="62"/>
      <c r="AZ970" s="62"/>
    </row>
    <row r="971" spans="1:52" x14ac:dyDescent="0.25">
      <c r="A971" s="10">
        <v>25</v>
      </c>
      <c r="B971" s="30"/>
      <c r="C971" s="31"/>
      <c r="D971" s="32"/>
      <c r="E971" s="32"/>
      <c r="F971" s="32"/>
      <c r="G971" s="32">
        <f t="shared" si="275"/>
        <v>0</v>
      </c>
      <c r="H971" s="10"/>
      <c r="I971" s="10"/>
      <c r="J971" s="10"/>
      <c r="K971" s="12">
        <f t="shared" si="276"/>
        <v>0</v>
      </c>
      <c r="M971" s="10">
        <v>25</v>
      </c>
      <c r="N971" s="30"/>
      <c r="O971" s="31"/>
      <c r="P971" s="47"/>
      <c r="Q971" s="31"/>
      <c r="R971" s="31"/>
      <c r="S971" s="32">
        <f t="shared" si="287"/>
        <v>0</v>
      </c>
      <c r="T971" s="10"/>
      <c r="U971" s="10"/>
      <c r="V971" s="10"/>
      <c r="W971" s="12">
        <f t="shared" si="288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80"/>
        <v>0</v>
      </c>
      <c r="AF971" s="10"/>
      <c r="AG971" s="10"/>
      <c r="AH971" s="10"/>
      <c r="AI971" s="12">
        <f t="shared" si="281"/>
        <v>0</v>
      </c>
      <c r="AK971" s="10">
        <v>25</v>
      </c>
      <c r="AL971" s="30"/>
      <c r="AM971" s="31"/>
      <c r="AN971" s="47"/>
      <c r="AO971" s="31"/>
      <c r="AP971" s="31"/>
      <c r="AQ971" s="32">
        <f t="shared" si="283"/>
        <v>0</v>
      </c>
      <c r="AR971" s="10"/>
      <c r="AS971" s="10"/>
      <c r="AT971" s="10"/>
      <c r="AU971" s="12">
        <f t="shared" si="284"/>
        <v>0</v>
      </c>
      <c r="AV971" s="18"/>
      <c r="AW971" s="62"/>
      <c r="AX971" s="62"/>
      <c r="AY971" s="62"/>
      <c r="AZ971" s="62"/>
    </row>
    <row r="972" spans="1:52" x14ac:dyDescent="0.25">
      <c r="A972" s="10">
        <v>26</v>
      </c>
      <c r="B972" s="30"/>
      <c r="C972" s="31"/>
      <c r="D972" s="32"/>
      <c r="E972" s="32"/>
      <c r="F972" s="32"/>
      <c r="G972" s="32">
        <f t="shared" si="275"/>
        <v>0</v>
      </c>
      <c r="H972" s="10"/>
      <c r="I972" s="10"/>
      <c r="J972" s="10"/>
      <c r="K972" s="12">
        <f t="shared" si="276"/>
        <v>0</v>
      </c>
      <c r="M972" s="10">
        <v>26</v>
      </c>
      <c r="N972" s="30"/>
      <c r="O972" s="31"/>
      <c r="P972" s="47"/>
      <c r="Q972" s="31"/>
      <c r="R972" s="31"/>
      <c r="S972" s="32">
        <f t="shared" si="287"/>
        <v>0</v>
      </c>
      <c r="T972" s="10"/>
      <c r="U972" s="10"/>
      <c r="V972" s="10"/>
      <c r="W972" s="12">
        <f t="shared" si="288"/>
        <v>0</v>
      </c>
      <c r="Y972" s="10">
        <v>26</v>
      </c>
      <c r="Z972" s="30"/>
      <c r="AA972" s="31"/>
      <c r="AB972" s="47"/>
      <c r="AC972" s="31"/>
      <c r="AD972" s="31"/>
      <c r="AE972" s="32">
        <f t="shared" si="280"/>
        <v>0</v>
      </c>
      <c r="AF972" s="10"/>
      <c r="AG972" s="10"/>
      <c r="AH972" s="10"/>
      <c r="AI972" s="12">
        <f t="shared" si="281"/>
        <v>0</v>
      </c>
      <c r="AK972" s="10">
        <v>26</v>
      </c>
      <c r="AL972" s="30"/>
      <c r="AM972" s="31"/>
      <c r="AN972" s="47"/>
      <c r="AO972" s="31"/>
      <c r="AP972" s="31"/>
      <c r="AQ972" s="32">
        <f t="shared" si="283"/>
        <v>0</v>
      </c>
      <c r="AR972" s="10"/>
      <c r="AS972" s="10"/>
      <c r="AT972" s="10"/>
      <c r="AU972" s="12">
        <f t="shared" si="284"/>
        <v>0</v>
      </c>
      <c r="AV972" s="18"/>
      <c r="AW972" s="62"/>
      <c r="AX972" s="62"/>
      <c r="AY972" s="62"/>
      <c r="AZ972" s="62"/>
    </row>
    <row r="973" spans="1:52" x14ac:dyDescent="0.25">
      <c r="A973" s="10">
        <v>27</v>
      </c>
      <c r="B973" s="30"/>
      <c r="C973" s="31"/>
      <c r="D973" s="32"/>
      <c r="E973" s="32"/>
      <c r="F973" s="32"/>
      <c r="G973" s="32">
        <f t="shared" si="275"/>
        <v>0</v>
      </c>
      <c r="H973" s="10"/>
      <c r="I973" s="10"/>
      <c r="J973" s="10"/>
      <c r="K973" s="12">
        <f t="shared" si="276"/>
        <v>0</v>
      </c>
      <c r="M973" s="10">
        <v>27</v>
      </c>
      <c r="N973" s="30"/>
      <c r="O973" s="31"/>
      <c r="P973" s="47"/>
      <c r="Q973" s="31"/>
      <c r="R973" s="31"/>
      <c r="S973" s="32">
        <f t="shared" si="287"/>
        <v>0</v>
      </c>
      <c r="T973" s="10"/>
      <c r="U973" s="10"/>
      <c r="V973" s="10"/>
      <c r="W973" s="12">
        <f t="shared" si="288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80"/>
        <v>0</v>
      </c>
      <c r="AF973" s="10"/>
      <c r="AG973" s="10"/>
      <c r="AH973" s="10"/>
      <c r="AI973" s="12">
        <f t="shared" si="281"/>
        <v>0</v>
      </c>
      <c r="AK973" s="10">
        <v>27</v>
      </c>
      <c r="AL973" s="30"/>
      <c r="AM973" s="31"/>
      <c r="AN973" s="47"/>
      <c r="AO973" s="31"/>
      <c r="AP973" s="31"/>
      <c r="AQ973" s="32">
        <f t="shared" si="283"/>
        <v>0</v>
      </c>
      <c r="AR973" s="10"/>
      <c r="AS973" s="10"/>
      <c r="AT973" s="10"/>
      <c r="AU973" s="12">
        <f t="shared" si="284"/>
        <v>0</v>
      </c>
      <c r="AV973" s="18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31"/>
      <c r="D974" s="32"/>
      <c r="E974" s="32"/>
      <c r="F974" s="32"/>
      <c r="G974" s="32">
        <f t="shared" si="275"/>
        <v>0</v>
      </c>
      <c r="H974" s="10"/>
      <c r="I974" s="10"/>
      <c r="J974" s="10"/>
      <c r="K974" s="12">
        <f t="shared" si="276"/>
        <v>0</v>
      </c>
      <c r="M974" s="10">
        <v>28</v>
      </c>
      <c r="N974" s="30"/>
      <c r="O974" s="31"/>
      <c r="P974" s="47"/>
      <c r="Q974" s="31"/>
      <c r="R974" s="31"/>
      <c r="S974" s="32">
        <f t="shared" si="287"/>
        <v>0</v>
      </c>
      <c r="T974" s="10"/>
      <c r="U974" s="10"/>
      <c r="V974" s="10"/>
      <c r="W974" s="12">
        <f t="shared" si="288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80"/>
        <v>0</v>
      </c>
      <c r="AF974" s="10"/>
      <c r="AG974" s="10"/>
      <c r="AH974" s="10"/>
      <c r="AI974" s="12">
        <f t="shared" si="281"/>
        <v>0</v>
      </c>
      <c r="AK974" s="10">
        <v>28</v>
      </c>
      <c r="AL974" s="30"/>
      <c r="AM974" s="31"/>
      <c r="AN974" s="47"/>
      <c r="AO974" s="31"/>
      <c r="AP974" s="31"/>
      <c r="AQ974" s="32">
        <f t="shared" si="283"/>
        <v>0</v>
      </c>
      <c r="AR974" s="10"/>
      <c r="AS974" s="10"/>
      <c r="AT974" s="10"/>
      <c r="AU974" s="12">
        <f t="shared" si="284"/>
        <v>0</v>
      </c>
      <c r="AV974" s="18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/>
      <c r="H975" s="10"/>
      <c r="I975" s="10"/>
      <c r="J975" s="10"/>
      <c r="K975" s="12">
        <f t="shared" si="276"/>
        <v>0</v>
      </c>
      <c r="M975" s="10">
        <v>29</v>
      </c>
      <c r="N975" s="30"/>
      <c r="O975" s="31"/>
      <c r="P975" s="47"/>
      <c r="Q975" s="31"/>
      <c r="R975" s="31"/>
      <c r="S975" s="32">
        <f t="shared" si="287"/>
        <v>0</v>
      </c>
      <c r="T975" s="10"/>
      <c r="U975" s="10"/>
      <c r="V975" s="10"/>
      <c r="W975" s="12">
        <f t="shared" si="288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80"/>
        <v>0</v>
      </c>
      <c r="AF975" s="10"/>
      <c r="AG975" s="10"/>
      <c r="AH975" s="10"/>
      <c r="AI975" s="12">
        <f t="shared" si="281"/>
        <v>0</v>
      </c>
      <c r="AK975" s="10">
        <v>29</v>
      </c>
      <c r="AL975" s="30"/>
      <c r="AM975" s="31"/>
      <c r="AN975" s="47"/>
      <c r="AO975" s="31"/>
      <c r="AP975" s="31"/>
      <c r="AQ975" s="32">
        <f t="shared" si="283"/>
        <v>0</v>
      </c>
      <c r="AR975" s="10"/>
      <c r="AS975" s="10"/>
      <c r="AT975" s="10"/>
      <c r="AU975" s="12">
        <f t="shared" si="284"/>
        <v>0</v>
      </c>
      <c r="AV975" s="18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/>
      <c r="H976" s="10"/>
      <c r="I976" s="10"/>
      <c r="J976" s="10"/>
      <c r="K976" s="12">
        <f t="shared" si="276"/>
        <v>0</v>
      </c>
      <c r="M976" s="10">
        <v>30</v>
      </c>
      <c r="N976" s="30"/>
      <c r="O976" s="31"/>
      <c r="P976" s="47"/>
      <c r="Q976" s="31"/>
      <c r="R976" s="31"/>
      <c r="S976" s="32">
        <f t="shared" si="287"/>
        <v>0</v>
      </c>
      <c r="T976" s="10"/>
      <c r="U976" s="10"/>
      <c r="V976" s="10"/>
      <c r="W976" s="12">
        <f t="shared" si="288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80"/>
        <v>0</v>
      </c>
      <c r="AF976" s="10"/>
      <c r="AG976" s="10"/>
      <c r="AH976" s="10"/>
      <c r="AI976" s="12">
        <f t="shared" si="281"/>
        <v>0</v>
      </c>
      <c r="AK976" s="10">
        <v>30</v>
      </c>
      <c r="AL976" s="30"/>
      <c r="AM976" s="31"/>
      <c r="AN976" s="47"/>
      <c r="AO976" s="31"/>
      <c r="AP976" s="31"/>
      <c r="AQ976" s="32">
        <f t="shared" si="283"/>
        <v>0</v>
      </c>
      <c r="AR976" s="10"/>
      <c r="AS976" s="10"/>
      <c r="AT976" s="10"/>
      <c r="AU976" s="12">
        <f t="shared" si="284"/>
        <v>0</v>
      </c>
      <c r="AV976" s="18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57"/>
      <c r="D977" s="32"/>
      <c r="E977" s="32"/>
      <c r="F977" s="32"/>
      <c r="G977" s="32"/>
      <c r="H977" s="10"/>
      <c r="I977" s="10"/>
      <c r="J977" s="10"/>
      <c r="K977" s="12">
        <f t="shared" si="276"/>
        <v>0</v>
      </c>
      <c r="M977" s="10">
        <v>31</v>
      </c>
      <c r="N977" s="30"/>
      <c r="P977" s="47"/>
      <c r="Q977" s="31"/>
      <c r="R977" s="31"/>
      <c r="S977" s="32">
        <f t="shared" si="287"/>
        <v>0</v>
      </c>
      <c r="T977" s="10"/>
      <c r="U977" s="10"/>
      <c r="V977" s="10"/>
      <c r="W977" s="12">
        <f t="shared" si="288"/>
        <v>0</v>
      </c>
      <c r="Y977" s="10">
        <v>31</v>
      </c>
      <c r="Z977" s="30"/>
      <c r="AB977" s="47"/>
      <c r="AC977" s="31"/>
      <c r="AD977" s="31"/>
      <c r="AE977" s="32">
        <f t="shared" si="280"/>
        <v>0</v>
      </c>
      <c r="AF977" s="10"/>
      <c r="AG977" s="10"/>
      <c r="AH977" s="10"/>
      <c r="AI977" s="12">
        <f t="shared" si="281"/>
        <v>0</v>
      </c>
      <c r="AK977" s="10">
        <v>31</v>
      </c>
      <c r="AL977" s="30"/>
      <c r="AN977" s="47"/>
      <c r="AO977" s="31"/>
      <c r="AP977" s="31"/>
      <c r="AQ977" s="32">
        <f t="shared" si="283"/>
        <v>0</v>
      </c>
      <c r="AR977" s="10"/>
      <c r="AS977" s="10"/>
      <c r="AT977" s="10"/>
      <c r="AU977" s="12">
        <f t="shared" si="284"/>
        <v>0</v>
      </c>
      <c r="AV977" s="18"/>
      <c r="AW977" s="62"/>
      <c r="AX977" s="62"/>
      <c r="AY977" s="62"/>
      <c r="AZ977" s="62"/>
    </row>
    <row r="978" spans="1:52" x14ac:dyDescent="0.25">
      <c r="A978" s="10">
        <v>32</v>
      </c>
      <c r="B978" s="30"/>
      <c r="C978" s="31"/>
      <c r="D978" s="32"/>
      <c r="E978" s="32"/>
      <c r="F978" s="32"/>
      <c r="G978" s="32"/>
      <c r="H978" s="10"/>
      <c r="I978" s="10"/>
      <c r="J978" s="10"/>
      <c r="K978" s="12">
        <f t="shared" si="276"/>
        <v>0</v>
      </c>
      <c r="M978" s="10">
        <v>32</v>
      </c>
      <c r="N978" s="30"/>
      <c r="P978" s="47"/>
      <c r="Q978" s="31"/>
      <c r="R978" s="31"/>
      <c r="S978" s="32">
        <f t="shared" si="287"/>
        <v>0</v>
      </c>
      <c r="T978" s="10"/>
      <c r="U978" s="10"/>
      <c r="V978" s="10"/>
      <c r="W978" s="12">
        <f t="shared" si="288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80"/>
        <v>0</v>
      </c>
      <c r="AF978" s="10"/>
      <c r="AG978" s="10"/>
      <c r="AH978" s="10"/>
      <c r="AI978" s="12">
        <f t="shared" si="281"/>
        <v>0</v>
      </c>
      <c r="AK978" s="10">
        <v>32</v>
      </c>
      <c r="AL978" s="30"/>
      <c r="AM978" s="31"/>
      <c r="AN978" s="47"/>
      <c r="AO978" s="31"/>
      <c r="AP978" s="31"/>
      <c r="AQ978" s="32">
        <f t="shared" si="283"/>
        <v>0</v>
      </c>
      <c r="AR978" s="10"/>
      <c r="AS978" s="10"/>
      <c r="AT978" s="10"/>
      <c r="AU978" s="12">
        <f t="shared" si="284"/>
        <v>0</v>
      </c>
      <c r="AV978" s="18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/>
      <c r="H979" s="10"/>
      <c r="I979" s="10"/>
      <c r="J979" s="10"/>
      <c r="K979" s="12">
        <f t="shared" si="276"/>
        <v>0</v>
      </c>
      <c r="M979" s="10">
        <v>33</v>
      </c>
      <c r="N979" s="30"/>
      <c r="O979" s="31"/>
      <c r="P979" s="47"/>
      <c r="Q979" s="31"/>
      <c r="R979" s="31"/>
      <c r="S979" s="32">
        <f t="shared" si="287"/>
        <v>0</v>
      </c>
      <c r="T979" s="10"/>
      <c r="U979" s="10"/>
      <c r="V979" s="10"/>
      <c r="W979" s="12">
        <f t="shared" si="288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80"/>
        <v>0</v>
      </c>
      <c r="AF979" s="10"/>
      <c r="AG979" s="10"/>
      <c r="AH979" s="10"/>
      <c r="AI979" s="12">
        <f t="shared" si="281"/>
        <v>0</v>
      </c>
      <c r="AK979" s="10">
        <v>33</v>
      </c>
      <c r="AL979" s="30"/>
      <c r="AM979" s="31"/>
      <c r="AN979" s="47"/>
      <c r="AO979" s="31"/>
      <c r="AP979" s="31"/>
      <c r="AQ979" s="32">
        <f t="shared" si="283"/>
        <v>0</v>
      </c>
      <c r="AR979" s="10"/>
      <c r="AS979" s="10"/>
      <c r="AT979" s="10"/>
      <c r="AU979" s="12">
        <f t="shared" si="284"/>
        <v>0</v>
      </c>
      <c r="AV979" s="18"/>
      <c r="AW979" s="62"/>
      <c r="AX979" s="62"/>
      <c r="AY979" s="62"/>
      <c r="AZ979" s="62"/>
    </row>
    <row r="980" spans="1:52" x14ac:dyDescent="0.25">
      <c r="A980" s="10"/>
      <c r="B980" s="30"/>
      <c r="C980" s="57"/>
      <c r="D980" s="32"/>
      <c r="E980" s="32"/>
      <c r="F980" s="32"/>
      <c r="G980" s="32">
        <f t="shared" ref="G980" si="289">SUM(D980:E980)</f>
        <v>0</v>
      </c>
      <c r="H980" s="10"/>
      <c r="I980" s="10"/>
      <c r="J980" s="10"/>
      <c r="K980" s="12">
        <f t="shared" si="276"/>
        <v>0</v>
      </c>
      <c r="M980" s="10">
        <v>34</v>
      </c>
      <c r="N980" s="30"/>
      <c r="O980" s="31"/>
      <c r="P980" s="47"/>
      <c r="Q980" s="31"/>
      <c r="R980" s="31"/>
      <c r="S980" s="32">
        <f t="shared" si="287"/>
        <v>0</v>
      </c>
      <c r="T980" s="10"/>
      <c r="U980" s="10"/>
      <c r="V980" s="10"/>
      <c r="W980" s="12">
        <f t="shared" si="288"/>
        <v>0</v>
      </c>
      <c r="Y980" s="10">
        <v>34</v>
      </c>
      <c r="Z980" s="30"/>
      <c r="AB980" s="47"/>
      <c r="AC980" s="31"/>
      <c r="AD980" s="31"/>
      <c r="AE980" s="32">
        <f t="shared" si="280"/>
        <v>0</v>
      </c>
      <c r="AF980" s="10"/>
      <c r="AG980" s="10"/>
      <c r="AH980" s="10"/>
      <c r="AI980" s="12">
        <f t="shared" si="281"/>
        <v>0</v>
      </c>
      <c r="AK980" s="10">
        <v>34</v>
      </c>
      <c r="AL980" s="30"/>
      <c r="AN980" s="47"/>
      <c r="AO980" s="31"/>
      <c r="AP980" s="31"/>
      <c r="AQ980" s="32">
        <f t="shared" si="283"/>
        <v>0</v>
      </c>
      <c r="AR980" s="10"/>
      <c r="AS980" s="10"/>
      <c r="AT980" s="10"/>
      <c r="AU980" s="12">
        <f t="shared" si="284"/>
        <v>0</v>
      </c>
      <c r="AV980" s="18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87"/>
        <v>0</v>
      </c>
      <c r="T981" s="10"/>
      <c r="U981" s="10"/>
      <c r="V981" s="10"/>
      <c r="W981" s="12">
        <f t="shared" si="288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80"/>
        <v>0</v>
      </c>
      <c r="AF981" s="10"/>
      <c r="AG981" s="10"/>
      <c r="AH981" s="10"/>
      <c r="AI981" s="12">
        <f t="shared" si="281"/>
        <v>0</v>
      </c>
      <c r="AK981" s="10">
        <v>35</v>
      </c>
      <c r="AL981" s="30"/>
      <c r="AM981" s="31"/>
      <c r="AN981" s="47"/>
      <c r="AO981" s="31"/>
      <c r="AP981" s="31"/>
      <c r="AQ981" s="32">
        <f t="shared" si="283"/>
        <v>0</v>
      </c>
      <c r="AR981" s="10"/>
      <c r="AS981" s="10"/>
      <c r="AT981" s="10"/>
      <c r="AU981" s="12">
        <f t="shared" si="284"/>
        <v>0</v>
      </c>
      <c r="AV981" s="18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87"/>
        <v>0</v>
      </c>
      <c r="T982" s="10"/>
      <c r="U982" s="10"/>
      <c r="V982" s="10"/>
      <c r="W982" s="12">
        <f t="shared" si="288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80"/>
        <v>0</v>
      </c>
      <c r="AF982" s="10"/>
      <c r="AG982" s="10"/>
      <c r="AH982" s="10"/>
      <c r="AI982" s="12">
        <f t="shared" si="281"/>
        <v>0</v>
      </c>
      <c r="AK982" s="10">
        <v>36</v>
      </c>
      <c r="AL982" s="30"/>
      <c r="AM982" s="31"/>
      <c r="AN982" s="47"/>
      <c r="AO982" s="31"/>
      <c r="AP982" s="31"/>
      <c r="AQ982" s="32">
        <f t="shared" si="283"/>
        <v>0</v>
      </c>
      <c r="AR982" s="10"/>
      <c r="AS982" s="10"/>
      <c r="AT982" s="10"/>
      <c r="AU982" s="12">
        <f t="shared" si="284"/>
        <v>0</v>
      </c>
      <c r="AV982" s="18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87"/>
        <v>0</v>
      </c>
      <c r="T983" s="10"/>
      <c r="U983" s="10"/>
      <c r="V983" s="10"/>
      <c r="W983" s="12">
        <f t="shared" si="288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80"/>
        <v>0</v>
      </c>
      <c r="AF983" s="10"/>
      <c r="AG983" s="10"/>
      <c r="AH983" s="10"/>
      <c r="AI983" s="12">
        <f t="shared" si="281"/>
        <v>0</v>
      </c>
      <c r="AK983" s="10">
        <v>37</v>
      </c>
      <c r="AL983" s="30"/>
      <c r="AM983" s="31"/>
      <c r="AN983" s="47"/>
      <c r="AO983" s="31"/>
      <c r="AP983" s="31"/>
      <c r="AQ983" s="32">
        <f t="shared" si="283"/>
        <v>0</v>
      </c>
      <c r="AR983" s="10"/>
      <c r="AS983" s="10"/>
      <c r="AT983" s="10"/>
      <c r="AU983" s="12">
        <f t="shared" si="284"/>
        <v>0</v>
      </c>
      <c r="AV983" s="18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87"/>
        <v>0</v>
      </c>
      <c r="T984" s="10"/>
      <c r="U984" s="10"/>
      <c r="V984" s="10"/>
      <c r="W984" s="12">
        <f t="shared" si="288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80"/>
        <v>0</v>
      </c>
      <c r="AF984" s="10"/>
      <c r="AG984" s="10"/>
      <c r="AH984" s="10"/>
      <c r="AI984" s="12">
        <f t="shared" si="281"/>
        <v>0</v>
      </c>
      <c r="AK984" s="10">
        <v>38</v>
      </c>
      <c r="AL984" s="30"/>
      <c r="AM984" s="31"/>
      <c r="AN984" s="47"/>
      <c r="AO984" s="31"/>
      <c r="AP984" s="31"/>
      <c r="AQ984" s="32">
        <f t="shared" si="283"/>
        <v>0</v>
      </c>
      <c r="AR984" s="10"/>
      <c r="AS984" s="10"/>
      <c r="AT984" s="10"/>
      <c r="AU984" s="12">
        <f t="shared" si="284"/>
        <v>0</v>
      </c>
      <c r="AV984" s="18"/>
      <c r="AW984" s="62"/>
      <c r="AX984" s="62"/>
      <c r="AY984" s="62"/>
      <c r="AZ984" s="62"/>
    </row>
    <row r="985" spans="1:52" x14ac:dyDescent="0.25">
      <c r="A985" s="10"/>
      <c r="B985" s="30"/>
      <c r="C985" s="57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87"/>
        <v>0</v>
      </c>
      <c r="T985" s="10"/>
      <c r="U985" s="10"/>
      <c r="V985" s="10"/>
      <c r="W985" s="12">
        <f t="shared" si="288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80"/>
        <v>0</v>
      </c>
      <c r="AF985" s="10"/>
      <c r="AG985" s="10"/>
      <c r="AH985" s="10"/>
      <c r="AI985" s="12">
        <f t="shared" si="281"/>
        <v>0</v>
      </c>
      <c r="AK985" s="10">
        <v>39</v>
      </c>
      <c r="AL985" s="30"/>
      <c r="AM985" s="31"/>
      <c r="AN985" s="47"/>
      <c r="AO985" s="31"/>
      <c r="AP985" s="31"/>
      <c r="AQ985" s="32">
        <f t="shared" si="283"/>
        <v>0</v>
      </c>
      <c r="AR985" s="10"/>
      <c r="AS985" s="10"/>
      <c r="AT985" s="10"/>
      <c r="AU985" s="12">
        <f t="shared" si="284"/>
        <v>0</v>
      </c>
      <c r="AV985" s="18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88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81"/>
        <v>0</v>
      </c>
      <c r="AK986" s="10"/>
      <c r="AL986" s="30"/>
      <c r="AN986" s="47"/>
      <c r="AO986" s="31"/>
      <c r="AP986" s="31"/>
      <c r="AQ986" s="32"/>
      <c r="AR986" s="10"/>
      <c r="AS986" s="10"/>
      <c r="AT986" s="10"/>
      <c r="AU986" s="12">
        <f t="shared" si="284"/>
        <v>0</v>
      </c>
      <c r="AV986" s="18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90">SUM(D987:E987)</f>
        <v>0</v>
      </c>
      <c r="H987" s="10"/>
      <c r="I987" s="10"/>
      <c r="J987" s="10"/>
      <c r="K987" s="12">
        <f t="shared" ref="K987" si="291">SUM(G987:J987)</f>
        <v>0</v>
      </c>
      <c r="M987" s="10"/>
      <c r="N987" s="30"/>
      <c r="O987" s="31"/>
      <c r="P987" s="47"/>
      <c r="Q987" s="31"/>
      <c r="R987" s="31"/>
      <c r="S987" s="32">
        <f t="shared" ref="S987" si="292">SUM(P987:Q987)</f>
        <v>0</v>
      </c>
      <c r="T987" s="10"/>
      <c r="U987" s="10"/>
      <c r="V987" s="10"/>
      <c r="W987" s="12">
        <f t="shared" si="288"/>
        <v>0</v>
      </c>
      <c r="Y987" s="10"/>
      <c r="Z987" s="30"/>
      <c r="AA987" s="31"/>
      <c r="AB987" s="47"/>
      <c r="AC987" s="31"/>
      <c r="AD987" s="31"/>
      <c r="AE987" s="32">
        <f t="shared" ref="AE987" si="293">SUM(AB987:AC987)</f>
        <v>0</v>
      </c>
      <c r="AF987" s="10"/>
      <c r="AG987" s="10"/>
      <c r="AH987" s="10"/>
      <c r="AI987" s="12">
        <f t="shared" si="281"/>
        <v>0</v>
      </c>
      <c r="AK987" s="10"/>
      <c r="AL987" s="30"/>
      <c r="AM987" s="31"/>
      <c r="AN987" s="47"/>
      <c r="AO987" s="31"/>
      <c r="AP987" s="31"/>
      <c r="AQ987" s="32">
        <f t="shared" ref="AQ987" si="294">SUM(AN987:AO987)</f>
        <v>0</v>
      </c>
      <c r="AR987" s="10"/>
      <c r="AS987" s="10"/>
      <c r="AT987" s="10"/>
      <c r="AU987" s="12">
        <f t="shared" si="284"/>
        <v>0</v>
      </c>
      <c r="AV987" s="18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88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81"/>
        <v>0</v>
      </c>
      <c r="AK988" s="10"/>
      <c r="AL988" s="31"/>
      <c r="AM988" s="31"/>
      <c r="AN988" s="31"/>
      <c r="AO988" s="31"/>
      <c r="AP988" s="31"/>
      <c r="AQ988" s="31"/>
      <c r="AR988" s="10"/>
      <c r="AS988" s="10"/>
      <c r="AT988" s="10"/>
      <c r="AU988" s="12">
        <f t="shared" si="284"/>
        <v>0</v>
      </c>
      <c r="AV988" s="18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L989" s="57"/>
      <c r="AM989" s="57"/>
      <c r="AN989" s="36"/>
      <c r="AO989" s="36"/>
      <c r="AP989" s="36"/>
      <c r="AQ989" s="36"/>
      <c r="AR989" s="37"/>
      <c r="AS989" s="37"/>
      <c r="AT989" s="37"/>
      <c r="AU989" s="37"/>
      <c r="AV989" s="18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313375</v>
      </c>
      <c r="E990" s="38">
        <f t="shared" ref="E990:F990" si="295">SUM(E947:E987)</f>
        <v>-2358</v>
      </c>
      <c r="F990" s="38">
        <f t="shared" si="295"/>
        <v>0</v>
      </c>
      <c r="G990" s="38">
        <f>SUM(G947:G989)</f>
        <v>311017</v>
      </c>
      <c r="H990" s="4"/>
      <c r="I990" s="39">
        <f>SUM(I947:I989)</f>
        <v>95</v>
      </c>
      <c r="J990" s="39">
        <f>SUM(J947:J989)</f>
        <v>-120</v>
      </c>
      <c r="K990" s="40">
        <f>SUM(K947:K989)</f>
        <v>310992</v>
      </c>
      <c r="N990" s="57"/>
      <c r="O990" s="57"/>
      <c r="P990" s="38">
        <f>SUM(P947:P989)</f>
        <v>320485.5</v>
      </c>
      <c r="Q990" s="38">
        <f>SUM(Q947:Q971)</f>
        <v>-3856</v>
      </c>
      <c r="R990" s="38">
        <f>SUM(R947:R971)</f>
        <v>0</v>
      </c>
      <c r="S990" s="38">
        <f>SUM(S947:S989)</f>
        <v>316629.5</v>
      </c>
      <c r="T990" s="4"/>
      <c r="U990" s="41">
        <f>SUM(U947:U989)</f>
        <v>9201</v>
      </c>
      <c r="V990" s="41">
        <f>SUM(V947:V971)</f>
        <v>-420</v>
      </c>
      <c r="W990" s="42">
        <f>SUM(W947:W989)</f>
        <v>325410.5</v>
      </c>
      <c r="Z990" s="57"/>
      <c r="AA990" s="57"/>
      <c r="AB990" s="38">
        <f>SUM(AB947:AB989)</f>
        <v>374389.5</v>
      </c>
      <c r="AC990" s="38">
        <f>SUM(AC947:AC971)</f>
        <v>-1698</v>
      </c>
      <c r="AD990" s="38">
        <f>SUM(AD947:AD971)</f>
        <v>0</v>
      </c>
      <c r="AE990" s="38">
        <f>SUM(AE947:AE989)</f>
        <v>372691.5</v>
      </c>
      <c r="AF990" s="4"/>
      <c r="AG990" s="41">
        <f>SUM(AG947:AG989)</f>
        <v>15591</v>
      </c>
      <c r="AH990" s="41">
        <f>SUM(AH947:AH971)</f>
        <v>-12987</v>
      </c>
      <c r="AI990" s="42">
        <f>SUM(AI947:AI989)</f>
        <v>375295.5</v>
      </c>
      <c r="AL990" s="57"/>
      <c r="AM990" s="57"/>
      <c r="AN990" s="38">
        <f>SUM(AN947:AN989)</f>
        <v>383535.5</v>
      </c>
      <c r="AO990" s="38">
        <f>SUM(AO947:AO971)</f>
        <v>-2814</v>
      </c>
      <c r="AP990" s="38">
        <f>SUM(AP947:AP971)</f>
        <v>0</v>
      </c>
      <c r="AQ990" s="38">
        <f>SUM(AQ947:AQ989)</f>
        <v>380721.5</v>
      </c>
      <c r="AR990" s="4"/>
      <c r="AS990" s="41">
        <f>SUM(AS947:AS989)</f>
        <v>15042</v>
      </c>
      <c r="AT990" s="41">
        <f>SUM(AT947:AT971)</f>
        <v>-12987</v>
      </c>
      <c r="AU990" s="42">
        <f>SUM(AU947:AU989)</f>
        <v>382776.5</v>
      </c>
      <c r="AV990" s="18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46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46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46</v>
      </c>
      <c r="Z997" s="57"/>
      <c r="AA997" s="57"/>
      <c r="AB997" s="57"/>
      <c r="AC997" s="57"/>
      <c r="AD997" s="57"/>
      <c r="AE997" s="57"/>
      <c r="AG997" s="57" t="s">
        <v>16</v>
      </c>
      <c r="AH997" s="20" t="s">
        <v>91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93</v>
      </c>
      <c r="B998" s="20"/>
      <c r="C998" s="57"/>
      <c r="D998" s="57"/>
      <c r="E998" s="57"/>
      <c r="G998" s="57"/>
      <c r="I998" s="22" t="s">
        <v>17</v>
      </c>
      <c r="J998" s="23" t="s">
        <v>33</v>
      </c>
      <c r="K998" s="24"/>
      <c r="M998" s="21" t="s">
        <v>93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34</v>
      </c>
      <c r="W998" s="24"/>
      <c r="Y998" s="21" t="s">
        <v>93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90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33" t="s">
        <v>18</v>
      </c>
      <c r="E1000" s="133"/>
      <c r="F1000" s="118"/>
      <c r="G1000" s="27"/>
      <c r="I1000" s="131" t="s">
        <v>19</v>
      </c>
      <c r="J1000" s="132"/>
      <c r="K1000" s="129" t="s">
        <v>20</v>
      </c>
      <c r="N1000" s="25"/>
      <c r="O1000" s="26"/>
      <c r="P1000" s="133" t="s">
        <v>18</v>
      </c>
      <c r="Q1000" s="133"/>
      <c r="R1000" s="118"/>
      <c r="S1000" s="27"/>
      <c r="U1000" s="131" t="s">
        <v>19</v>
      </c>
      <c r="V1000" s="132"/>
      <c r="W1000" s="129" t="s">
        <v>20</v>
      </c>
      <c r="Z1000" s="25"/>
      <c r="AA1000" s="26"/>
      <c r="AB1000" s="133" t="s">
        <v>18</v>
      </c>
      <c r="AC1000" s="133"/>
      <c r="AD1000" s="118"/>
      <c r="AE1000" s="27"/>
      <c r="AG1000" s="131" t="s">
        <v>19</v>
      </c>
      <c r="AH1000" s="132"/>
      <c r="AI1000" s="129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83" t="s">
        <v>23</v>
      </c>
      <c r="E1001" s="82" t="s">
        <v>24</v>
      </c>
      <c r="F1001" s="84" t="s">
        <v>36</v>
      </c>
      <c r="G1001" s="84" t="s">
        <v>25</v>
      </c>
      <c r="I1001" s="29" t="s">
        <v>26</v>
      </c>
      <c r="J1001" s="29" t="s">
        <v>27</v>
      </c>
      <c r="K1001" s="130"/>
      <c r="N1001" s="28" t="s">
        <v>21</v>
      </c>
      <c r="O1001" s="28" t="s">
        <v>22</v>
      </c>
      <c r="P1001" s="83" t="s">
        <v>23</v>
      </c>
      <c r="Q1001" s="84" t="s">
        <v>24</v>
      </c>
      <c r="R1001" s="84" t="s">
        <v>36</v>
      </c>
      <c r="S1001" s="84" t="s">
        <v>25</v>
      </c>
      <c r="U1001" s="29" t="s">
        <v>26</v>
      </c>
      <c r="V1001" s="29" t="s">
        <v>27</v>
      </c>
      <c r="W1001" s="130"/>
      <c r="Z1001" s="28" t="s">
        <v>21</v>
      </c>
      <c r="AA1001" s="28" t="s">
        <v>22</v>
      </c>
      <c r="AB1001" s="83" t="s">
        <v>23</v>
      </c>
      <c r="AC1001" s="84" t="s">
        <v>24</v>
      </c>
      <c r="AD1001" s="84" t="s">
        <v>36</v>
      </c>
      <c r="AE1001" s="84" t="s">
        <v>25</v>
      </c>
      <c r="AG1001" s="29" t="s">
        <v>26</v>
      </c>
      <c r="AH1001" s="29" t="s">
        <v>27</v>
      </c>
      <c r="AI1001" s="130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94</v>
      </c>
      <c r="C1002" s="31">
        <v>5514</v>
      </c>
      <c r="D1002" s="32">
        <f>43820+1228+2980</f>
        <v>48028</v>
      </c>
      <c r="E1002" s="32"/>
      <c r="F1002" s="32"/>
      <c r="G1002" s="32">
        <f t="shared" ref="G1002:G1029" si="296">SUM(D1002:E1002)</f>
        <v>48028</v>
      </c>
      <c r="H1002" s="12"/>
      <c r="I1002" s="12">
        <v>27</v>
      </c>
      <c r="J1002" s="12"/>
      <c r="K1002" s="12">
        <f t="shared" ref="K1002:K1035" si="297">SUM(G1002:J1002)</f>
        <v>48055</v>
      </c>
      <c r="M1002" s="10">
        <v>1</v>
      </c>
      <c r="N1002" s="30" t="s">
        <v>94</v>
      </c>
      <c r="O1002" s="31">
        <v>5556</v>
      </c>
      <c r="P1002" s="32">
        <f>626+596+19</f>
        <v>1241</v>
      </c>
      <c r="Q1002" s="32"/>
      <c r="R1002" s="32"/>
      <c r="S1002" s="32">
        <f>SUM(P1002:Q1002)</f>
        <v>1241</v>
      </c>
      <c r="T1002" s="12"/>
      <c r="U1002" s="12"/>
      <c r="V1002" s="12"/>
      <c r="W1002" s="12">
        <f>SUM(S1002:V1002)</f>
        <v>1241</v>
      </c>
      <c r="Y1002" s="10">
        <v>1</v>
      </c>
      <c r="Z1002" s="30" t="s">
        <v>94</v>
      </c>
      <c r="AA1002" s="31">
        <v>5406</v>
      </c>
      <c r="AB1002" s="32">
        <f>93900+3070+11920</f>
        <v>108890</v>
      </c>
      <c r="AC1002" s="32"/>
      <c r="AD1002" s="32"/>
      <c r="AE1002" s="32">
        <f>SUM(AB1002:AC1002)</f>
        <v>108890</v>
      </c>
      <c r="AF1002" s="12"/>
      <c r="AG1002" s="12">
        <v>9435</v>
      </c>
      <c r="AH1002" s="12"/>
      <c r="AI1002" s="12">
        <f>SUM(AE1002:AH1002)</f>
        <v>118325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94</v>
      </c>
      <c r="C1003" s="31">
        <f>C1002+1</f>
        <v>5515</v>
      </c>
      <c r="D1003" s="32">
        <f>5634+614+913+86</f>
        <v>7247</v>
      </c>
      <c r="E1003" s="32"/>
      <c r="F1003" s="32"/>
      <c r="G1003" s="32">
        <f t="shared" si="296"/>
        <v>7247</v>
      </c>
      <c r="H1003" s="12"/>
      <c r="I1003" s="12">
        <f>36+13+68+6</f>
        <v>123</v>
      </c>
      <c r="J1003" s="12"/>
      <c r="K1003" s="12">
        <f t="shared" si="297"/>
        <v>7370</v>
      </c>
      <c r="M1003" s="10">
        <v>2</v>
      </c>
      <c r="N1003" s="30" t="s">
        <v>94</v>
      </c>
      <c r="O1003" s="31">
        <f t="shared" ref="O1003:O1007" si="298">O1002+1</f>
        <v>5557</v>
      </c>
      <c r="P1003" s="32">
        <f>626+614+9.5</f>
        <v>1249.5</v>
      </c>
      <c r="Q1003" s="32"/>
      <c r="R1003" s="32"/>
      <c r="S1003" s="32">
        <f t="shared" ref="S1003:S1016" si="299">SUM(P1003:Q1003)</f>
        <v>1249.5</v>
      </c>
      <c r="T1003" s="12"/>
      <c r="U1003" s="12">
        <v>11.25</v>
      </c>
      <c r="V1003" s="12"/>
      <c r="W1003" s="12">
        <f t="shared" ref="W1003:W1016" si="300">SUM(S1003:V1003)</f>
        <v>1260.75</v>
      </c>
      <c r="Y1003" s="10">
        <v>2</v>
      </c>
      <c r="Z1003" s="30" t="s">
        <v>94</v>
      </c>
      <c r="AA1003" s="31">
        <f t="shared" ref="AA1003:AA1009" si="301">AA1002+1</f>
        <v>5407</v>
      </c>
      <c r="AB1003" s="32">
        <f>2496</f>
        <v>2496</v>
      </c>
      <c r="AC1003" s="32"/>
      <c r="AD1003" s="32"/>
      <c r="AE1003" s="32">
        <f t="shared" ref="AE1003:AE1040" si="302">SUM(AB1003:AC1003)</f>
        <v>2496</v>
      </c>
      <c r="AF1003" s="12"/>
      <c r="AG1003" s="12">
        <v>360</v>
      </c>
      <c r="AH1003" s="12"/>
      <c r="AI1003" s="12">
        <f t="shared" ref="AI1003:AI1043" si="303">SUM(AE1003:AH1003)</f>
        <v>2856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 t="s">
        <v>94</v>
      </c>
      <c r="C1004" s="31">
        <f t="shared" ref="C1004:C1007" si="304">C1003+1</f>
        <v>5516</v>
      </c>
      <c r="D1004" s="33">
        <f>614</f>
        <v>614</v>
      </c>
      <c r="E1004" s="33"/>
      <c r="F1004" s="33"/>
      <c r="G1004" s="33">
        <f t="shared" si="296"/>
        <v>614</v>
      </c>
      <c r="H1004" s="34"/>
      <c r="I1004" s="34"/>
      <c r="J1004" s="34"/>
      <c r="K1004" s="34">
        <f t="shared" si="297"/>
        <v>614</v>
      </c>
      <c r="M1004" s="10">
        <v>3</v>
      </c>
      <c r="N1004" s="30" t="s">
        <v>94</v>
      </c>
      <c r="O1004" s="31">
        <f t="shared" si="298"/>
        <v>5558</v>
      </c>
      <c r="P1004" s="32">
        <f>78876+17880+229</f>
        <v>96985</v>
      </c>
      <c r="Q1004" s="32">
        <v>-1256</v>
      </c>
      <c r="R1004" s="32"/>
      <c r="S1004" s="32">
        <f t="shared" si="299"/>
        <v>95729</v>
      </c>
      <c r="T1004" s="12"/>
      <c r="U1004" s="12">
        <v>36</v>
      </c>
      <c r="V1004" s="12">
        <f>-120</f>
        <v>-120</v>
      </c>
      <c r="W1004" s="12">
        <f t="shared" si="300"/>
        <v>95645</v>
      </c>
      <c r="Y1004" s="10">
        <v>3</v>
      </c>
      <c r="Z1004" s="30" t="s">
        <v>94</v>
      </c>
      <c r="AA1004" s="31">
        <f t="shared" si="301"/>
        <v>5408</v>
      </c>
      <c r="AB1004" s="33">
        <f>3070</f>
        <v>3070</v>
      </c>
      <c r="AC1004" s="33"/>
      <c r="AD1004" s="32"/>
      <c r="AE1004" s="32">
        <f t="shared" si="302"/>
        <v>3070</v>
      </c>
      <c r="AF1004" s="12"/>
      <c r="AG1004" s="12"/>
      <c r="AH1004" s="12"/>
      <c r="AI1004" s="12">
        <f t="shared" si="303"/>
        <v>3070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 t="s">
        <v>94</v>
      </c>
      <c r="C1005" s="31">
        <f t="shared" si="304"/>
        <v>5517</v>
      </c>
      <c r="D1005" s="32">
        <f>626+10</f>
        <v>636</v>
      </c>
      <c r="E1005" s="32"/>
      <c r="F1005" s="32"/>
      <c r="G1005" s="32">
        <f t="shared" si="296"/>
        <v>636</v>
      </c>
      <c r="H1005" s="12"/>
      <c r="I1005" s="12"/>
      <c r="J1005" s="12"/>
      <c r="K1005" s="12">
        <f t="shared" si="297"/>
        <v>636</v>
      </c>
      <c r="M1005" s="10">
        <v>4</v>
      </c>
      <c r="N1005" s="30" t="s">
        <v>94</v>
      </c>
      <c r="O1005" s="31">
        <f t="shared" si="298"/>
        <v>5559</v>
      </c>
      <c r="P1005" s="32">
        <f>3130+47.5</f>
        <v>3177.5</v>
      </c>
      <c r="Q1005" s="32"/>
      <c r="R1005" s="32"/>
      <c r="S1005" s="32">
        <f t="shared" si="299"/>
        <v>3177.5</v>
      </c>
      <c r="T1005" s="12"/>
      <c r="U1005" s="12">
        <f>222+27+1.5</f>
        <v>250.5</v>
      </c>
      <c r="V1005" s="12"/>
      <c r="W1005" s="12">
        <f t="shared" si="300"/>
        <v>3428</v>
      </c>
      <c r="Y1005" s="10">
        <v>4</v>
      </c>
      <c r="Z1005" s="30" t="s">
        <v>94</v>
      </c>
      <c r="AA1005" s="31">
        <f t="shared" si="301"/>
        <v>5409</v>
      </c>
      <c r="AB1005" s="32">
        <f>8138+1228+1788+152</f>
        <v>11306</v>
      </c>
      <c r="AC1005" s="32"/>
      <c r="AD1005" s="32"/>
      <c r="AE1005" s="32">
        <f t="shared" si="302"/>
        <v>11306</v>
      </c>
      <c r="AF1005" s="12"/>
      <c r="AH1005" s="12"/>
      <c r="AI1005" s="12">
        <f t="shared" si="303"/>
        <v>11306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 t="s">
        <v>94</v>
      </c>
      <c r="C1006" s="31">
        <f t="shared" si="304"/>
        <v>5518</v>
      </c>
      <c r="D1006" s="32">
        <f>75120+17880+2010+1374</f>
        <v>96384</v>
      </c>
      <c r="E1006" s="32">
        <v>-1264</v>
      </c>
      <c r="F1006" s="32"/>
      <c r="G1006" s="32">
        <f t="shared" si="296"/>
        <v>95120</v>
      </c>
      <c r="H1006" s="12"/>
      <c r="I1006" s="12">
        <f>390+240</f>
        <v>630</v>
      </c>
      <c r="J1006" s="12">
        <f>-120+-4218+-294</f>
        <v>-4632</v>
      </c>
      <c r="K1006" s="12">
        <f t="shared" si="297"/>
        <v>91118</v>
      </c>
      <c r="M1006" s="10">
        <v>5</v>
      </c>
      <c r="N1006" s="30" t="s">
        <v>94</v>
      </c>
      <c r="O1006" s="31">
        <f t="shared" si="298"/>
        <v>5560</v>
      </c>
      <c r="P1006" s="32">
        <f>34430+2980+458</f>
        <v>37868</v>
      </c>
      <c r="Q1006" s="32">
        <v>-496</v>
      </c>
      <c r="R1006" s="32"/>
      <c r="S1006" s="32">
        <f t="shared" si="299"/>
        <v>37372</v>
      </c>
      <c r="T1006" s="12"/>
      <c r="U1006" s="12"/>
      <c r="V1006" s="12"/>
      <c r="W1006" s="12">
        <f t="shared" si="300"/>
        <v>37372</v>
      </c>
      <c r="Y1006" s="10">
        <v>5</v>
      </c>
      <c r="Z1006" s="30" t="s">
        <v>94</v>
      </c>
      <c r="AA1006" s="31">
        <f t="shared" si="301"/>
        <v>5410</v>
      </c>
      <c r="AB1006" s="32">
        <f>3130+2010+832+47</f>
        <v>6019</v>
      </c>
      <c r="AC1006" s="32"/>
      <c r="AD1006" s="32"/>
      <c r="AE1006" s="32">
        <f t="shared" si="302"/>
        <v>6019</v>
      </c>
      <c r="AF1006" s="12"/>
      <c r="AG1006" s="12"/>
      <c r="AH1006" s="12"/>
      <c r="AI1006" s="12">
        <f t="shared" si="303"/>
        <v>6019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 t="s">
        <v>94</v>
      </c>
      <c r="C1007" s="31">
        <f t="shared" si="304"/>
        <v>5519</v>
      </c>
      <c r="D1007" s="32">
        <f>1878+614</f>
        <v>2492</v>
      </c>
      <c r="E1007" s="32"/>
      <c r="F1007" s="32"/>
      <c r="G1007" s="32">
        <f t="shared" si="296"/>
        <v>2492</v>
      </c>
      <c r="H1007" s="12"/>
      <c r="I1007" s="12"/>
      <c r="J1007" s="12"/>
      <c r="K1007" s="12">
        <f t="shared" si="297"/>
        <v>2492</v>
      </c>
      <c r="M1007" s="10">
        <v>6</v>
      </c>
      <c r="N1007" s="30" t="s">
        <v>94</v>
      </c>
      <c r="O1007" s="31">
        <f t="shared" si="298"/>
        <v>5561</v>
      </c>
      <c r="P1007" s="32">
        <f>9390+229</f>
        <v>9619</v>
      </c>
      <c r="Q1007" s="32"/>
      <c r="R1007" s="32"/>
      <c r="S1007" s="32">
        <f t="shared" si="299"/>
        <v>9619</v>
      </c>
      <c r="T1007" s="12"/>
      <c r="U1007" s="12"/>
      <c r="V1007" s="10"/>
      <c r="W1007" s="12">
        <f t="shared" si="300"/>
        <v>9619</v>
      </c>
      <c r="Y1007" s="10">
        <v>6</v>
      </c>
      <c r="Z1007" s="30" t="s">
        <v>94</v>
      </c>
      <c r="AA1007" s="31">
        <f t="shared" si="301"/>
        <v>5411</v>
      </c>
      <c r="AB1007" s="32">
        <f>78250+14900+1374</f>
        <v>94524</v>
      </c>
      <c r="AC1007" s="32">
        <v>-936</v>
      </c>
      <c r="AD1007" s="32"/>
      <c r="AE1007" s="32">
        <f t="shared" si="302"/>
        <v>93588</v>
      </c>
      <c r="AF1007" s="12"/>
      <c r="AG1007" s="12"/>
      <c r="AH1007" s="10"/>
      <c r="AI1007" s="12">
        <f t="shared" si="303"/>
        <v>93588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11" t="s">
        <v>28</v>
      </c>
      <c r="D1008" s="32"/>
      <c r="E1008" s="32"/>
      <c r="F1008" s="32"/>
      <c r="G1008" s="32">
        <f t="shared" si="296"/>
        <v>0</v>
      </c>
      <c r="H1008" s="12"/>
      <c r="I1008" s="12"/>
      <c r="J1008" s="12"/>
      <c r="K1008" s="12">
        <f t="shared" si="297"/>
        <v>0</v>
      </c>
      <c r="M1008" s="10">
        <v>7</v>
      </c>
      <c r="N1008" s="30"/>
      <c r="O1008" s="11" t="s">
        <v>28</v>
      </c>
      <c r="P1008" s="32"/>
      <c r="Q1008" s="32"/>
      <c r="R1008" s="32"/>
      <c r="S1008" s="32">
        <f t="shared" si="299"/>
        <v>0</v>
      </c>
      <c r="T1008" s="12"/>
      <c r="U1008" s="12"/>
      <c r="V1008" s="12"/>
      <c r="W1008" s="12">
        <f t="shared" si="300"/>
        <v>0</v>
      </c>
      <c r="Y1008" s="10">
        <v>7</v>
      </c>
      <c r="Z1008" s="30" t="s">
        <v>94</v>
      </c>
      <c r="AA1008" s="31">
        <f t="shared" si="301"/>
        <v>5412</v>
      </c>
      <c r="AB1008" s="32">
        <f>50080+23840+1145</f>
        <v>75065</v>
      </c>
      <c r="AC1008" s="32">
        <v>-750</v>
      </c>
      <c r="AD1008" s="32"/>
      <c r="AE1008" s="32">
        <f t="shared" si="302"/>
        <v>74315</v>
      </c>
      <c r="AF1008" s="12"/>
      <c r="AG1008" s="58"/>
      <c r="AH1008" s="12"/>
      <c r="AI1008" s="12">
        <f t="shared" si="303"/>
        <v>74315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96"/>
        <v>0</v>
      </c>
      <c r="H1009" s="12"/>
      <c r="I1009" s="12"/>
      <c r="J1009" s="12"/>
      <c r="K1009" s="12">
        <f t="shared" si="297"/>
        <v>0</v>
      </c>
      <c r="M1009" s="10">
        <v>8</v>
      </c>
      <c r="N1009" s="30"/>
      <c r="O1009" s="31"/>
      <c r="P1009" s="32"/>
      <c r="Q1009" s="32"/>
      <c r="R1009" s="32"/>
      <c r="S1009" s="32">
        <f t="shared" si="299"/>
        <v>0</v>
      </c>
      <c r="T1009" s="12"/>
      <c r="U1009" s="12"/>
      <c r="V1009" s="12"/>
      <c r="W1009" s="12">
        <f t="shared" si="300"/>
        <v>0</v>
      </c>
      <c r="Y1009" s="10">
        <v>8</v>
      </c>
      <c r="Z1009" s="30" t="s">
        <v>94</v>
      </c>
      <c r="AA1009" s="31">
        <f t="shared" si="301"/>
        <v>5413</v>
      </c>
      <c r="AB1009" s="32">
        <f>1348</f>
        <v>1348</v>
      </c>
      <c r="AC1009" s="32"/>
      <c r="AE1009" s="32">
        <f t="shared" si="302"/>
        <v>1348</v>
      </c>
      <c r="AF1009" s="12"/>
      <c r="AG1009" s="12"/>
      <c r="AH1009" s="12"/>
      <c r="AI1009" s="12">
        <f t="shared" si="303"/>
        <v>1348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96"/>
        <v>0</v>
      </c>
      <c r="H1010" s="12"/>
      <c r="I1010" s="12"/>
      <c r="J1010" s="12"/>
      <c r="K1010" s="12">
        <f t="shared" si="297"/>
        <v>0</v>
      </c>
      <c r="M1010" s="10">
        <v>9</v>
      </c>
      <c r="N1010" s="30"/>
      <c r="O1010" s="31"/>
      <c r="P1010" s="32"/>
      <c r="Q1010" s="32"/>
      <c r="R1010" s="32"/>
      <c r="S1010" s="32">
        <f t="shared" si="299"/>
        <v>0</v>
      </c>
      <c r="T1010" s="12"/>
      <c r="U1010" s="12"/>
      <c r="V1010" s="12"/>
      <c r="W1010" s="12">
        <f t="shared" si="300"/>
        <v>0</v>
      </c>
      <c r="Y1010" s="10">
        <v>9</v>
      </c>
      <c r="Z1010" s="30"/>
      <c r="AA1010" s="11" t="s">
        <v>28</v>
      </c>
      <c r="AC1010" s="32"/>
      <c r="AD1010" s="32"/>
      <c r="AE1010" s="32">
        <f t="shared" si="302"/>
        <v>0</v>
      </c>
      <c r="AF1010" s="12"/>
      <c r="AH1010" s="12"/>
      <c r="AI1010" s="12">
        <f t="shared" si="303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96"/>
        <v>0</v>
      </c>
      <c r="H1011" s="12"/>
      <c r="I1011" s="12"/>
      <c r="J1011" s="12"/>
      <c r="K1011" s="12">
        <f t="shared" si="297"/>
        <v>0</v>
      </c>
      <c r="M1011" s="10">
        <v>10</v>
      </c>
      <c r="N1011" s="30"/>
      <c r="O1011" s="31"/>
      <c r="P1011" s="32"/>
      <c r="Q1011" s="32"/>
      <c r="R1011" s="32"/>
      <c r="S1011" s="32">
        <f t="shared" si="299"/>
        <v>0</v>
      </c>
      <c r="T1011" s="12"/>
      <c r="U1011" s="12"/>
      <c r="V1011" s="12"/>
      <c r="W1011" s="12">
        <f t="shared" si="300"/>
        <v>0</v>
      </c>
      <c r="Y1011" s="10">
        <v>10</v>
      </c>
      <c r="Z1011" s="30"/>
      <c r="AA1011" s="31"/>
      <c r="AB1011" s="32"/>
      <c r="AC1011" s="32"/>
      <c r="AD1011" s="32"/>
      <c r="AE1011" s="32">
        <f t="shared" si="302"/>
        <v>0</v>
      </c>
      <c r="AF1011" s="12"/>
      <c r="AG1011" s="12"/>
      <c r="AH1011" s="12"/>
      <c r="AI1011" s="12">
        <f t="shared" si="303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96"/>
        <v>0</v>
      </c>
      <c r="H1012" s="12"/>
      <c r="I1012" s="12"/>
      <c r="J1012" s="12"/>
      <c r="K1012" s="12">
        <f t="shared" si="297"/>
        <v>0</v>
      </c>
      <c r="M1012" s="10">
        <v>11</v>
      </c>
      <c r="N1012" s="30"/>
      <c r="O1012" s="31"/>
      <c r="P1012" s="32"/>
      <c r="Q1012" s="32"/>
      <c r="R1012" s="32"/>
      <c r="S1012" s="32">
        <f t="shared" si="299"/>
        <v>0</v>
      </c>
      <c r="T1012" s="12"/>
      <c r="U1012" s="12"/>
      <c r="V1012" s="12"/>
      <c r="W1012" s="12">
        <f t="shared" si="300"/>
        <v>0</v>
      </c>
      <c r="Y1012" s="10">
        <v>11</v>
      </c>
      <c r="Z1012" s="30"/>
      <c r="AA1012" s="31"/>
      <c r="AB1012" s="32"/>
      <c r="AC1012" s="32"/>
      <c r="AD1012" s="32"/>
      <c r="AE1012" s="32">
        <f t="shared" si="302"/>
        <v>0</v>
      </c>
      <c r="AF1012" s="12"/>
      <c r="AG1012" s="12"/>
      <c r="AH1012" s="12"/>
      <c r="AI1012" s="12">
        <f t="shared" si="303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96"/>
        <v>0</v>
      </c>
      <c r="H1013" s="12"/>
      <c r="I1013" s="12"/>
      <c r="J1013" s="10"/>
      <c r="K1013" s="12">
        <f t="shared" si="297"/>
        <v>0</v>
      </c>
      <c r="M1013" s="10">
        <v>12</v>
      </c>
      <c r="N1013" s="30"/>
      <c r="O1013" s="31"/>
      <c r="P1013" s="32"/>
      <c r="Q1013" s="32"/>
      <c r="R1013" s="32"/>
      <c r="S1013" s="32">
        <f t="shared" si="299"/>
        <v>0</v>
      </c>
      <c r="T1013" s="12"/>
      <c r="U1013" s="12"/>
      <c r="V1013" s="12"/>
      <c r="W1013" s="12">
        <f t="shared" si="300"/>
        <v>0</v>
      </c>
      <c r="Y1013" s="10">
        <v>12</v>
      </c>
      <c r="Z1013" s="30"/>
      <c r="AA1013" s="31"/>
      <c r="AB1013" s="32"/>
      <c r="AC1013" s="32"/>
      <c r="AD1013" s="32"/>
      <c r="AE1013" s="32">
        <f t="shared" si="302"/>
        <v>0</v>
      </c>
      <c r="AF1013" s="12"/>
      <c r="AG1013" s="12"/>
      <c r="AH1013" s="12"/>
      <c r="AI1013" s="12">
        <f t="shared" si="303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96"/>
        <v>0</v>
      </c>
      <c r="H1014" s="12"/>
      <c r="I1014" s="12"/>
      <c r="J1014" s="12"/>
      <c r="K1014" s="12">
        <f t="shared" si="297"/>
        <v>0</v>
      </c>
      <c r="M1014" s="10">
        <v>13</v>
      </c>
      <c r="N1014" s="30"/>
      <c r="O1014" s="31"/>
      <c r="P1014" s="32"/>
      <c r="Q1014" s="32"/>
      <c r="R1014" s="32"/>
      <c r="S1014" s="32">
        <f t="shared" si="299"/>
        <v>0</v>
      </c>
      <c r="T1014" s="12"/>
      <c r="U1014" s="12"/>
      <c r="V1014" s="12"/>
      <c r="W1014" s="12">
        <f t="shared" si="300"/>
        <v>0</v>
      </c>
      <c r="Y1014" s="10">
        <v>13</v>
      </c>
      <c r="Z1014" s="30"/>
      <c r="AA1014" s="31"/>
      <c r="AB1014" s="32"/>
      <c r="AC1014" s="32"/>
      <c r="AD1014" s="32"/>
      <c r="AE1014" s="32">
        <f t="shared" si="302"/>
        <v>0</v>
      </c>
      <c r="AF1014" s="12"/>
      <c r="AG1014" s="12"/>
      <c r="AH1014" s="12"/>
      <c r="AI1014" s="12">
        <f t="shared" si="303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96"/>
        <v>0</v>
      </c>
      <c r="H1015" s="12"/>
      <c r="I1015" s="12"/>
      <c r="J1015" s="12"/>
      <c r="K1015" s="12">
        <f t="shared" si="297"/>
        <v>0</v>
      </c>
      <c r="M1015" s="10">
        <v>14</v>
      </c>
      <c r="N1015" s="30"/>
      <c r="O1015" s="31"/>
      <c r="P1015" s="32"/>
      <c r="Q1015" s="32"/>
      <c r="R1015" s="32"/>
      <c r="S1015" s="32">
        <f t="shared" si="299"/>
        <v>0</v>
      </c>
      <c r="T1015" s="12"/>
      <c r="U1015" s="12"/>
      <c r="V1015" s="12"/>
      <c r="W1015" s="12">
        <f t="shared" si="300"/>
        <v>0</v>
      </c>
      <c r="Y1015" s="10">
        <v>14</v>
      </c>
      <c r="Z1015" s="30"/>
      <c r="AA1015" s="31"/>
      <c r="AB1015" s="32"/>
      <c r="AC1015" s="32"/>
      <c r="AD1015" s="32"/>
      <c r="AE1015" s="32">
        <f t="shared" si="302"/>
        <v>0</v>
      </c>
      <c r="AF1015" s="12"/>
      <c r="AG1015" s="12"/>
      <c r="AH1015" s="12"/>
      <c r="AI1015" s="12">
        <f t="shared" si="303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96"/>
        <v>0</v>
      </c>
      <c r="H1016" s="12"/>
      <c r="I1016" s="12"/>
      <c r="J1016" s="12"/>
      <c r="K1016" s="12">
        <f t="shared" si="297"/>
        <v>0</v>
      </c>
      <c r="M1016" s="10">
        <v>15</v>
      </c>
      <c r="N1016" s="30"/>
      <c r="O1016" s="31"/>
      <c r="P1016" s="32"/>
      <c r="R1016" s="32"/>
      <c r="S1016" s="32">
        <f t="shared" si="299"/>
        <v>0</v>
      </c>
      <c r="T1016" s="12"/>
      <c r="U1016" s="12"/>
      <c r="W1016" s="12">
        <f t="shared" si="300"/>
        <v>0</v>
      </c>
      <c r="Y1016" s="10">
        <v>15</v>
      </c>
      <c r="Z1016" s="30"/>
      <c r="AA1016" s="31"/>
      <c r="AB1016" s="32"/>
      <c r="AC1016" s="32"/>
      <c r="AD1016" s="32"/>
      <c r="AE1016" s="32">
        <f t="shared" si="302"/>
        <v>0</v>
      </c>
      <c r="AF1016" s="12"/>
      <c r="AG1016" s="12"/>
      <c r="AH1016" s="12"/>
      <c r="AI1016" s="12">
        <f t="shared" si="303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96"/>
        <v>0</v>
      </c>
      <c r="H1017" s="12"/>
      <c r="I1017" s="12"/>
      <c r="J1017" s="12"/>
      <c r="K1017" s="12">
        <f t="shared" si="297"/>
        <v>0</v>
      </c>
      <c r="M1017" s="10">
        <v>16</v>
      </c>
      <c r="N1017" s="30"/>
      <c r="O1017" s="31"/>
      <c r="P1017" s="32"/>
      <c r="Q1017" s="32"/>
      <c r="R1017" s="32"/>
      <c r="S1017" s="32">
        <f>SUM(P1017:Q1017)</f>
        <v>0</v>
      </c>
      <c r="T1017" s="12"/>
      <c r="U1017" s="12"/>
      <c r="V1017" s="12"/>
      <c r="W1017" s="12">
        <f>SUM(S1017:V1017)</f>
        <v>0</v>
      </c>
      <c r="Y1017" s="10">
        <v>16</v>
      </c>
      <c r="Z1017" s="30"/>
      <c r="AA1017" s="31"/>
      <c r="AB1017" s="32"/>
      <c r="AC1017" s="32"/>
      <c r="AD1017" s="32"/>
      <c r="AE1017" s="32">
        <f t="shared" si="302"/>
        <v>0</v>
      </c>
      <c r="AF1017" s="12"/>
      <c r="AG1017" s="12"/>
      <c r="AH1017" s="12"/>
      <c r="AI1017" s="12">
        <f t="shared" si="303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96"/>
        <v>0</v>
      </c>
      <c r="H1018" s="12"/>
      <c r="I1018" s="12"/>
      <c r="J1018" s="12"/>
      <c r="K1018" s="12">
        <f t="shared" si="297"/>
        <v>0</v>
      </c>
      <c r="M1018" s="10">
        <v>17</v>
      </c>
      <c r="N1018" s="30"/>
      <c r="O1018" s="31"/>
      <c r="P1018" s="35"/>
      <c r="Q1018" s="32"/>
      <c r="R1018" s="32"/>
      <c r="S1018" s="32">
        <f t="shared" ref="S1018:S1040" si="305">SUM(P1018:Q1018)</f>
        <v>0</v>
      </c>
      <c r="T1018" s="12"/>
      <c r="U1018" s="12"/>
      <c r="V1018" s="12"/>
      <c r="W1018" s="12">
        <f t="shared" ref="W1018:W1043" si="306">SUM(S1018:V1018)</f>
        <v>0</v>
      </c>
      <c r="Y1018" s="10">
        <v>17</v>
      </c>
      <c r="Z1018" s="30"/>
      <c r="AA1018" s="31"/>
      <c r="AB1018" s="35"/>
      <c r="AC1018" s="32"/>
      <c r="AD1018" s="32"/>
      <c r="AE1018" s="32">
        <f t="shared" si="302"/>
        <v>0</v>
      </c>
      <c r="AF1018" s="12"/>
      <c r="AG1018" s="12"/>
      <c r="AH1018" s="12"/>
      <c r="AI1018" s="12">
        <f t="shared" si="303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96"/>
        <v>0</v>
      </c>
      <c r="H1019" s="12"/>
      <c r="I1019" s="12"/>
      <c r="J1019" s="12"/>
      <c r="K1019" s="12">
        <f t="shared" si="297"/>
        <v>0</v>
      </c>
      <c r="M1019" s="10">
        <v>18</v>
      </c>
      <c r="N1019" s="30"/>
      <c r="O1019" s="31"/>
      <c r="P1019" s="32"/>
      <c r="Q1019" s="32"/>
      <c r="R1019" s="32"/>
      <c r="S1019" s="32">
        <f t="shared" si="305"/>
        <v>0</v>
      </c>
      <c r="T1019" s="12"/>
      <c r="U1019" s="12"/>
      <c r="V1019" s="12"/>
      <c r="W1019" s="12">
        <f t="shared" si="306"/>
        <v>0</v>
      </c>
      <c r="Y1019" s="10">
        <v>18</v>
      </c>
      <c r="Z1019" s="30"/>
      <c r="AA1019" s="31"/>
      <c r="AB1019" s="32"/>
      <c r="AC1019" s="32"/>
      <c r="AD1019" s="32"/>
      <c r="AE1019" s="32">
        <f t="shared" si="302"/>
        <v>0</v>
      </c>
      <c r="AF1019" s="12"/>
      <c r="AG1019" s="12"/>
      <c r="AH1019" s="12"/>
      <c r="AI1019" s="12">
        <f t="shared" si="303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96"/>
        <v>0</v>
      </c>
      <c r="H1020" s="12"/>
      <c r="I1020" s="12"/>
      <c r="J1020" s="12"/>
      <c r="K1020" s="12">
        <f t="shared" si="297"/>
        <v>0</v>
      </c>
      <c r="M1020" s="10">
        <v>19</v>
      </c>
      <c r="N1020" s="30"/>
      <c r="O1020" s="31"/>
      <c r="P1020" s="32"/>
      <c r="Q1020" s="32"/>
      <c r="R1020" s="32"/>
      <c r="S1020" s="32">
        <f t="shared" si="305"/>
        <v>0</v>
      </c>
      <c r="T1020" s="12"/>
      <c r="U1020" s="12"/>
      <c r="V1020" s="12"/>
      <c r="W1020" s="12">
        <f t="shared" si="306"/>
        <v>0</v>
      </c>
      <c r="Y1020" s="10">
        <v>19</v>
      </c>
      <c r="Z1020" s="30"/>
      <c r="AA1020" s="31"/>
      <c r="AB1020" s="32"/>
      <c r="AC1020" s="32"/>
      <c r="AD1020" s="32"/>
      <c r="AE1020" s="32">
        <f t="shared" si="302"/>
        <v>0</v>
      </c>
      <c r="AF1020" s="12"/>
      <c r="AG1020" s="12"/>
      <c r="AH1020" s="12"/>
      <c r="AI1020" s="12">
        <f t="shared" si="303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96"/>
        <v>0</v>
      </c>
      <c r="H1021" s="12"/>
      <c r="I1021" s="12"/>
      <c r="J1021" s="12"/>
      <c r="K1021" s="12">
        <f t="shared" si="297"/>
        <v>0</v>
      </c>
      <c r="M1021" s="10">
        <v>20</v>
      </c>
      <c r="N1021" s="30"/>
      <c r="O1021" s="31"/>
      <c r="P1021" s="32"/>
      <c r="Q1021" s="32"/>
      <c r="R1021" s="32"/>
      <c r="S1021" s="32">
        <f t="shared" si="305"/>
        <v>0</v>
      </c>
      <c r="T1021" s="12"/>
      <c r="U1021" s="12"/>
      <c r="V1021" s="12"/>
      <c r="W1021" s="12">
        <f t="shared" si="306"/>
        <v>0</v>
      </c>
      <c r="Y1021" s="10">
        <v>20</v>
      </c>
      <c r="Z1021" s="30"/>
      <c r="AA1021" s="31"/>
      <c r="AB1021" s="32"/>
      <c r="AC1021" s="32"/>
      <c r="AD1021" s="32"/>
      <c r="AE1021" s="32">
        <f t="shared" si="302"/>
        <v>0</v>
      </c>
      <c r="AF1021" s="12"/>
      <c r="AG1021" s="12"/>
      <c r="AH1021" s="12"/>
      <c r="AI1021" s="12">
        <f t="shared" si="303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D1022" s="32"/>
      <c r="E1022" s="32"/>
      <c r="F1022" s="32"/>
      <c r="G1022" s="32">
        <f t="shared" si="296"/>
        <v>0</v>
      </c>
      <c r="H1022" s="10"/>
      <c r="I1022" s="10"/>
      <c r="J1022" s="10"/>
      <c r="K1022" s="12">
        <f t="shared" si="297"/>
        <v>0</v>
      </c>
      <c r="M1022" s="10">
        <v>21</v>
      </c>
      <c r="N1022" s="30"/>
      <c r="P1022" s="46"/>
      <c r="Q1022" s="31"/>
      <c r="R1022" s="31"/>
      <c r="S1022" s="32">
        <f t="shared" si="305"/>
        <v>0</v>
      </c>
      <c r="T1022" s="10"/>
      <c r="U1022" s="10"/>
      <c r="V1022" s="10"/>
      <c r="W1022" s="12">
        <f t="shared" si="306"/>
        <v>0</v>
      </c>
      <c r="Y1022" s="10">
        <v>21</v>
      </c>
      <c r="Z1022" s="30"/>
      <c r="AB1022" s="46"/>
      <c r="AC1022" s="31"/>
      <c r="AD1022" s="31"/>
      <c r="AE1022" s="32">
        <f t="shared" si="302"/>
        <v>0</v>
      </c>
      <c r="AF1022" s="10"/>
      <c r="AG1022" s="10"/>
      <c r="AH1022" s="10"/>
      <c r="AI1022" s="12">
        <f t="shared" si="303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96"/>
        <v>0</v>
      </c>
      <c r="H1023" s="10"/>
      <c r="I1023" s="10"/>
      <c r="J1023" s="10"/>
      <c r="K1023" s="12">
        <f t="shared" si="297"/>
        <v>0</v>
      </c>
      <c r="M1023" s="10">
        <v>22</v>
      </c>
      <c r="N1023" s="30"/>
      <c r="O1023" s="31"/>
      <c r="P1023" s="45"/>
      <c r="Q1023" s="31"/>
      <c r="R1023" s="31"/>
      <c r="S1023" s="32">
        <f t="shared" si="305"/>
        <v>0</v>
      </c>
      <c r="T1023" s="10"/>
      <c r="U1023" s="10"/>
      <c r="V1023" s="10"/>
      <c r="W1023" s="12">
        <f t="shared" si="306"/>
        <v>0</v>
      </c>
      <c r="Y1023" s="10">
        <v>22</v>
      </c>
      <c r="Z1023" s="30"/>
      <c r="AA1023" s="31"/>
      <c r="AB1023" s="45"/>
      <c r="AC1023" s="31"/>
      <c r="AD1023" s="31"/>
      <c r="AE1023" s="32">
        <f t="shared" si="302"/>
        <v>0</v>
      </c>
      <c r="AF1023" s="10"/>
      <c r="AG1023" s="10"/>
      <c r="AH1023" s="10"/>
      <c r="AI1023" s="12">
        <f t="shared" si="303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96"/>
        <v>0</v>
      </c>
      <c r="H1024" s="10"/>
      <c r="I1024" s="10"/>
      <c r="J1024" s="12"/>
      <c r="K1024" s="12">
        <f t="shared" si="297"/>
        <v>0</v>
      </c>
      <c r="M1024" s="10">
        <v>23</v>
      </c>
      <c r="N1024" s="30"/>
      <c r="P1024" s="47"/>
      <c r="Q1024" s="31"/>
      <c r="R1024" s="31"/>
      <c r="S1024" s="32">
        <f t="shared" si="305"/>
        <v>0</v>
      </c>
      <c r="T1024" s="10"/>
      <c r="U1024" s="10"/>
      <c r="V1024" s="10"/>
      <c r="W1024" s="12">
        <f t="shared" si="306"/>
        <v>0</v>
      </c>
      <c r="Y1024" s="10">
        <v>23</v>
      </c>
      <c r="Z1024" s="30"/>
      <c r="AA1024" s="31"/>
      <c r="AB1024" s="47"/>
      <c r="AE1024" s="32">
        <f t="shared" si="302"/>
        <v>0</v>
      </c>
      <c r="AF1024" s="10"/>
      <c r="AG1024" s="10"/>
      <c r="AH1024" s="10"/>
      <c r="AI1024" s="12">
        <f t="shared" si="303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96"/>
        <v>0</v>
      </c>
      <c r="H1025" s="10"/>
      <c r="I1025" s="10"/>
      <c r="J1025" s="10"/>
      <c r="K1025" s="12">
        <f t="shared" si="297"/>
        <v>0</v>
      </c>
      <c r="M1025" s="10">
        <v>24</v>
      </c>
      <c r="N1025" s="30"/>
      <c r="P1025" s="47"/>
      <c r="Q1025" s="31"/>
      <c r="R1025" s="31"/>
      <c r="S1025" s="32">
        <f t="shared" si="305"/>
        <v>0</v>
      </c>
      <c r="T1025" s="10"/>
      <c r="U1025" s="10"/>
      <c r="V1025" s="10"/>
      <c r="W1025" s="12">
        <f t="shared" si="306"/>
        <v>0</v>
      </c>
      <c r="Y1025" s="10">
        <v>24</v>
      </c>
      <c r="Z1025" s="30"/>
      <c r="AA1025" s="31"/>
      <c r="AB1025" s="47"/>
      <c r="AC1025" s="31"/>
      <c r="AD1025" s="31"/>
      <c r="AE1025" s="32">
        <f t="shared" si="302"/>
        <v>0</v>
      </c>
      <c r="AF1025" s="10"/>
      <c r="AG1025" s="10"/>
      <c r="AH1025" s="10"/>
      <c r="AI1025" s="12">
        <f t="shared" si="303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96"/>
        <v>0</v>
      </c>
      <c r="H1026" s="10"/>
      <c r="I1026" s="10"/>
      <c r="J1026" s="10"/>
      <c r="K1026" s="12">
        <f t="shared" si="297"/>
        <v>0</v>
      </c>
      <c r="M1026" s="10">
        <v>25</v>
      </c>
      <c r="N1026" s="30"/>
      <c r="O1026" s="31"/>
      <c r="P1026" s="47"/>
      <c r="Q1026" s="31"/>
      <c r="R1026" s="31"/>
      <c r="S1026" s="32">
        <f t="shared" si="305"/>
        <v>0</v>
      </c>
      <c r="T1026" s="10"/>
      <c r="U1026" s="10"/>
      <c r="V1026" s="10"/>
      <c r="W1026" s="12">
        <f t="shared" si="306"/>
        <v>0</v>
      </c>
      <c r="Y1026" s="10">
        <v>25</v>
      </c>
      <c r="Z1026" s="30"/>
      <c r="AA1026" s="31"/>
      <c r="AB1026" s="47"/>
      <c r="AC1026" s="31"/>
      <c r="AD1026" s="31"/>
      <c r="AE1026" s="32">
        <f t="shared" si="302"/>
        <v>0</v>
      </c>
      <c r="AF1026" s="10"/>
      <c r="AG1026" s="10"/>
      <c r="AH1026" s="10"/>
      <c r="AI1026" s="12">
        <f t="shared" si="303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96"/>
        <v>0</v>
      </c>
      <c r="H1027" s="10"/>
      <c r="I1027" s="10"/>
      <c r="J1027" s="10"/>
      <c r="K1027" s="12">
        <f t="shared" si="297"/>
        <v>0</v>
      </c>
      <c r="M1027" s="10">
        <v>26</v>
      </c>
      <c r="N1027" s="30"/>
      <c r="O1027" s="31"/>
      <c r="P1027" s="47"/>
      <c r="Q1027" s="31"/>
      <c r="R1027" s="31"/>
      <c r="S1027" s="32">
        <f t="shared" si="305"/>
        <v>0</v>
      </c>
      <c r="T1027" s="10"/>
      <c r="U1027" s="10"/>
      <c r="V1027" s="10"/>
      <c r="W1027" s="12">
        <f t="shared" si="306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302"/>
        <v>0</v>
      </c>
      <c r="AF1027" s="10"/>
      <c r="AG1027" s="10"/>
      <c r="AH1027" s="10"/>
      <c r="AI1027" s="12">
        <f t="shared" si="303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96"/>
        <v>0</v>
      </c>
      <c r="H1028" s="10"/>
      <c r="I1028" s="10"/>
      <c r="J1028" s="10"/>
      <c r="K1028" s="12">
        <f t="shared" si="297"/>
        <v>0</v>
      </c>
      <c r="M1028" s="10">
        <v>27</v>
      </c>
      <c r="N1028" s="30"/>
      <c r="O1028" s="31"/>
      <c r="P1028" s="47"/>
      <c r="Q1028" s="31"/>
      <c r="R1028" s="31"/>
      <c r="S1028" s="32">
        <f t="shared" si="305"/>
        <v>0</v>
      </c>
      <c r="T1028" s="10"/>
      <c r="U1028" s="10"/>
      <c r="V1028" s="10"/>
      <c r="W1028" s="12">
        <f t="shared" si="306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302"/>
        <v>0</v>
      </c>
      <c r="AF1028" s="10"/>
      <c r="AG1028" s="10"/>
      <c r="AH1028" s="10"/>
      <c r="AI1028" s="12">
        <f t="shared" si="303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C1029" s="31"/>
      <c r="D1029" s="32"/>
      <c r="E1029" s="32"/>
      <c r="F1029" s="32"/>
      <c r="G1029" s="32">
        <f t="shared" si="296"/>
        <v>0</v>
      </c>
      <c r="H1029" s="10"/>
      <c r="I1029" s="10"/>
      <c r="J1029" s="10"/>
      <c r="K1029" s="12">
        <f t="shared" si="297"/>
        <v>0</v>
      </c>
      <c r="M1029" s="10">
        <v>28</v>
      </c>
      <c r="N1029" s="30"/>
      <c r="O1029" s="31"/>
      <c r="P1029" s="47"/>
      <c r="Q1029" s="31"/>
      <c r="R1029" s="31"/>
      <c r="S1029" s="32">
        <f t="shared" si="305"/>
        <v>0</v>
      </c>
      <c r="T1029" s="10"/>
      <c r="U1029" s="10"/>
      <c r="V1029" s="10"/>
      <c r="W1029" s="12">
        <f t="shared" si="306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302"/>
        <v>0</v>
      </c>
      <c r="AF1029" s="10"/>
      <c r="AG1029" s="10"/>
      <c r="AH1029" s="10"/>
      <c r="AI1029" s="12">
        <f t="shared" si="303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/>
      <c r="H1030" s="10"/>
      <c r="I1030" s="10"/>
      <c r="J1030" s="10"/>
      <c r="K1030" s="12">
        <f t="shared" si="297"/>
        <v>0</v>
      </c>
      <c r="M1030" s="10">
        <v>29</v>
      </c>
      <c r="N1030" s="30"/>
      <c r="O1030" s="31"/>
      <c r="P1030" s="47"/>
      <c r="Q1030" s="31"/>
      <c r="R1030" s="31"/>
      <c r="S1030" s="32">
        <f t="shared" si="305"/>
        <v>0</v>
      </c>
      <c r="T1030" s="10"/>
      <c r="U1030" s="10"/>
      <c r="V1030" s="10"/>
      <c r="W1030" s="12">
        <f t="shared" si="306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302"/>
        <v>0</v>
      </c>
      <c r="AF1030" s="10"/>
      <c r="AG1030" s="10"/>
      <c r="AH1030" s="10"/>
      <c r="AI1030" s="12">
        <f t="shared" si="303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/>
      <c r="H1031" s="10"/>
      <c r="I1031" s="10"/>
      <c r="J1031" s="10"/>
      <c r="K1031" s="12">
        <f t="shared" si="297"/>
        <v>0</v>
      </c>
      <c r="M1031" s="10">
        <v>30</v>
      </c>
      <c r="N1031" s="30"/>
      <c r="O1031" s="31"/>
      <c r="P1031" s="47"/>
      <c r="Q1031" s="31"/>
      <c r="R1031" s="31"/>
      <c r="S1031" s="32">
        <f t="shared" si="305"/>
        <v>0</v>
      </c>
      <c r="T1031" s="10"/>
      <c r="U1031" s="10"/>
      <c r="V1031" s="10"/>
      <c r="W1031" s="12">
        <f t="shared" si="306"/>
        <v>0</v>
      </c>
      <c r="Y1031" s="10">
        <v>30</v>
      </c>
      <c r="Z1031" s="30"/>
      <c r="AA1031" s="31"/>
      <c r="AB1031" s="47"/>
      <c r="AC1031" s="31"/>
      <c r="AD1031" s="31"/>
      <c r="AE1031" s="32">
        <f t="shared" si="302"/>
        <v>0</v>
      </c>
      <c r="AF1031" s="10"/>
      <c r="AG1031" s="10"/>
      <c r="AH1031" s="10"/>
      <c r="AI1031" s="12">
        <f t="shared" si="303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57"/>
      <c r="D1032" s="32"/>
      <c r="E1032" s="32"/>
      <c r="F1032" s="32"/>
      <c r="G1032" s="32"/>
      <c r="H1032" s="10"/>
      <c r="I1032" s="10"/>
      <c r="J1032" s="10"/>
      <c r="K1032" s="12">
        <f t="shared" si="297"/>
        <v>0</v>
      </c>
      <c r="M1032" s="10">
        <v>31</v>
      </c>
      <c r="N1032" s="30"/>
      <c r="P1032" s="47"/>
      <c r="Q1032" s="31"/>
      <c r="R1032" s="31"/>
      <c r="S1032" s="32">
        <f t="shared" si="305"/>
        <v>0</v>
      </c>
      <c r="T1032" s="10"/>
      <c r="U1032" s="10"/>
      <c r="V1032" s="10"/>
      <c r="W1032" s="12">
        <f t="shared" si="306"/>
        <v>0</v>
      </c>
      <c r="Y1032" s="10">
        <v>31</v>
      </c>
      <c r="Z1032" s="30"/>
      <c r="AB1032" s="47"/>
      <c r="AC1032" s="31"/>
      <c r="AD1032" s="31"/>
      <c r="AE1032" s="32">
        <f t="shared" si="302"/>
        <v>0</v>
      </c>
      <c r="AF1032" s="10"/>
      <c r="AG1032" s="10"/>
      <c r="AH1032" s="10"/>
      <c r="AI1032" s="12">
        <f t="shared" si="303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31"/>
      <c r="D1033" s="32"/>
      <c r="E1033" s="32"/>
      <c r="F1033" s="32"/>
      <c r="G1033" s="32"/>
      <c r="H1033" s="10"/>
      <c r="I1033" s="10"/>
      <c r="J1033" s="10"/>
      <c r="K1033" s="12">
        <f t="shared" si="297"/>
        <v>0</v>
      </c>
      <c r="M1033" s="10">
        <v>32</v>
      </c>
      <c r="N1033" s="30"/>
      <c r="P1033" s="47"/>
      <c r="Q1033" s="31"/>
      <c r="R1033" s="31"/>
      <c r="S1033" s="32">
        <f t="shared" si="305"/>
        <v>0</v>
      </c>
      <c r="T1033" s="10"/>
      <c r="U1033" s="10"/>
      <c r="V1033" s="10"/>
      <c r="W1033" s="12">
        <f t="shared" si="306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302"/>
        <v>0</v>
      </c>
      <c r="AF1033" s="10"/>
      <c r="AG1033" s="10"/>
      <c r="AH1033" s="10"/>
      <c r="AI1033" s="12">
        <f t="shared" si="303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/>
      <c r="H1034" s="10"/>
      <c r="I1034" s="10"/>
      <c r="J1034" s="10"/>
      <c r="K1034" s="12">
        <f t="shared" si="297"/>
        <v>0</v>
      </c>
      <c r="M1034" s="10">
        <v>33</v>
      </c>
      <c r="N1034" s="30"/>
      <c r="O1034" s="31"/>
      <c r="P1034" s="47"/>
      <c r="Q1034" s="31"/>
      <c r="R1034" s="31"/>
      <c r="S1034" s="32">
        <f t="shared" si="305"/>
        <v>0</v>
      </c>
      <c r="T1034" s="10"/>
      <c r="U1034" s="10"/>
      <c r="V1034" s="10"/>
      <c r="W1034" s="12">
        <f t="shared" si="306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302"/>
        <v>0</v>
      </c>
      <c r="AF1034" s="10"/>
      <c r="AG1034" s="10"/>
      <c r="AH1034" s="10"/>
      <c r="AI1034" s="12">
        <f t="shared" si="303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57"/>
      <c r="D1035" s="32"/>
      <c r="E1035" s="32"/>
      <c r="F1035" s="32"/>
      <c r="G1035" s="32">
        <f t="shared" ref="G1035" si="307">SUM(D1035:E1035)</f>
        <v>0</v>
      </c>
      <c r="H1035" s="10"/>
      <c r="I1035" s="10"/>
      <c r="J1035" s="10"/>
      <c r="K1035" s="12">
        <f t="shared" si="297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305"/>
        <v>0</v>
      </c>
      <c r="T1035" s="10"/>
      <c r="U1035" s="10"/>
      <c r="V1035" s="10"/>
      <c r="W1035" s="12">
        <f t="shared" si="306"/>
        <v>0</v>
      </c>
      <c r="Y1035" s="10">
        <v>34</v>
      </c>
      <c r="Z1035" s="30"/>
      <c r="AB1035" s="47"/>
      <c r="AC1035" s="31"/>
      <c r="AD1035" s="31"/>
      <c r="AE1035" s="32">
        <f t="shared" si="302"/>
        <v>0</v>
      </c>
      <c r="AF1035" s="10"/>
      <c r="AG1035" s="10"/>
      <c r="AH1035" s="10"/>
      <c r="AI1035" s="12">
        <f t="shared" si="303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10">
        <v>35</v>
      </c>
      <c r="N1036" s="30"/>
      <c r="O1036" s="31"/>
      <c r="P1036" s="47"/>
      <c r="Q1036" s="31"/>
      <c r="R1036" s="31"/>
      <c r="S1036" s="32">
        <f t="shared" si="305"/>
        <v>0</v>
      </c>
      <c r="T1036" s="10"/>
      <c r="U1036" s="10"/>
      <c r="V1036" s="10"/>
      <c r="W1036" s="12">
        <f t="shared" si="306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302"/>
        <v>0</v>
      </c>
      <c r="AF1036" s="10"/>
      <c r="AG1036" s="10"/>
      <c r="AH1036" s="10"/>
      <c r="AI1036" s="12">
        <f t="shared" si="303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10">
        <v>36</v>
      </c>
      <c r="N1037" s="30"/>
      <c r="O1037" s="31"/>
      <c r="P1037" s="47"/>
      <c r="Q1037" s="31"/>
      <c r="R1037" s="31"/>
      <c r="S1037" s="32">
        <f t="shared" si="305"/>
        <v>0</v>
      </c>
      <c r="T1037" s="10"/>
      <c r="U1037" s="10"/>
      <c r="V1037" s="10"/>
      <c r="W1037" s="12">
        <f t="shared" si="306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302"/>
        <v>0</v>
      </c>
      <c r="AF1037" s="10"/>
      <c r="AG1037" s="10"/>
      <c r="AH1037" s="10"/>
      <c r="AI1037" s="12">
        <f t="shared" si="303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10">
        <v>37</v>
      </c>
      <c r="N1038" s="30"/>
      <c r="P1038" s="47"/>
      <c r="Q1038" s="31"/>
      <c r="R1038" s="31"/>
      <c r="S1038" s="32">
        <f t="shared" si="305"/>
        <v>0</v>
      </c>
      <c r="T1038" s="10"/>
      <c r="U1038" s="10"/>
      <c r="V1038" s="10"/>
      <c r="W1038" s="12">
        <f t="shared" si="306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302"/>
        <v>0</v>
      </c>
      <c r="AF1038" s="10"/>
      <c r="AG1038" s="10"/>
      <c r="AH1038" s="10"/>
      <c r="AI1038" s="12">
        <f t="shared" si="303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10">
        <v>38</v>
      </c>
      <c r="N1039" s="30"/>
      <c r="O1039" s="31"/>
      <c r="P1039" s="47"/>
      <c r="Q1039" s="31"/>
      <c r="R1039" s="31"/>
      <c r="S1039" s="32">
        <f t="shared" si="305"/>
        <v>0</v>
      </c>
      <c r="T1039" s="10"/>
      <c r="U1039" s="10"/>
      <c r="V1039" s="10"/>
      <c r="W1039" s="12">
        <f t="shared" si="306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302"/>
        <v>0</v>
      </c>
      <c r="AF1039" s="10"/>
      <c r="AG1039" s="10"/>
      <c r="AH1039" s="10"/>
      <c r="AI1039" s="12">
        <f t="shared" si="303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57"/>
      <c r="D1040" s="32"/>
      <c r="E1040" s="32"/>
      <c r="F1040" s="32"/>
      <c r="G1040" s="32"/>
      <c r="H1040" s="10"/>
      <c r="I1040" s="10"/>
      <c r="J1040" s="10"/>
      <c r="K1040" s="12"/>
      <c r="M1040" s="10">
        <v>39</v>
      </c>
      <c r="N1040" s="30"/>
      <c r="O1040" s="31"/>
      <c r="P1040" s="47"/>
      <c r="Q1040" s="31"/>
      <c r="R1040" s="31"/>
      <c r="S1040" s="32">
        <f t="shared" si="305"/>
        <v>0</v>
      </c>
      <c r="T1040" s="10"/>
      <c r="U1040" s="10"/>
      <c r="V1040" s="10"/>
      <c r="W1040" s="12">
        <f t="shared" si="306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302"/>
        <v>0</v>
      </c>
      <c r="AF1040" s="10"/>
      <c r="AG1040" s="10"/>
      <c r="AH1040" s="10"/>
      <c r="AI1040" s="12">
        <f t="shared" si="303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306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303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308">SUM(D1042:E1042)</f>
        <v>0</v>
      </c>
      <c r="H1042" s="10"/>
      <c r="I1042" s="10"/>
      <c r="J1042" s="10"/>
      <c r="K1042" s="12">
        <f t="shared" ref="K1042" si="309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310">SUM(P1042:Q1042)</f>
        <v>0</v>
      </c>
      <c r="T1042" s="10"/>
      <c r="U1042" s="10"/>
      <c r="V1042" s="10"/>
      <c r="W1042" s="12">
        <f t="shared" si="306"/>
        <v>0</v>
      </c>
      <c r="Y1042" s="10"/>
      <c r="Z1042" s="30"/>
      <c r="AA1042" s="31"/>
      <c r="AB1042" s="47"/>
      <c r="AC1042" s="31"/>
      <c r="AD1042" s="31"/>
      <c r="AE1042" s="32">
        <f t="shared" ref="AE1042" si="311">SUM(AB1042:AC1042)</f>
        <v>0</v>
      </c>
      <c r="AF1042" s="10"/>
      <c r="AG1042" s="10"/>
      <c r="AH1042" s="10"/>
      <c r="AI1042" s="12">
        <f t="shared" si="303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306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303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155401</v>
      </c>
      <c r="E1045" s="38">
        <f t="shared" ref="E1045:F1045" si="312">SUM(E1002:E1042)</f>
        <v>-1264</v>
      </c>
      <c r="F1045" s="38">
        <f t="shared" si="312"/>
        <v>0</v>
      </c>
      <c r="G1045" s="38">
        <f>SUM(G1002:G1044)</f>
        <v>154137</v>
      </c>
      <c r="H1045" s="4"/>
      <c r="I1045" s="39">
        <f>SUM(I1002:I1044)</f>
        <v>780</v>
      </c>
      <c r="J1045" s="39">
        <f>SUM(J1002:J1044)</f>
        <v>-4632</v>
      </c>
      <c r="K1045" s="40">
        <f>SUM(K1002:K1044)</f>
        <v>150285</v>
      </c>
      <c r="N1045" s="57"/>
      <c r="O1045" s="57"/>
      <c r="P1045" s="38">
        <f>SUM(P1002:P1044)</f>
        <v>150140</v>
      </c>
      <c r="Q1045" s="38">
        <f>SUM(Q1002:Q1026)</f>
        <v>-1752</v>
      </c>
      <c r="R1045" s="38">
        <f>SUM(R1002:R1026)</f>
        <v>0</v>
      </c>
      <c r="S1045" s="38">
        <f>SUM(S1002:S1044)</f>
        <v>148388</v>
      </c>
      <c r="T1045" s="4"/>
      <c r="U1045" s="41">
        <f>SUM(U1002:U1044)</f>
        <v>297.75</v>
      </c>
      <c r="V1045" s="41">
        <f>SUM(V1002:V1026)</f>
        <v>-120</v>
      </c>
      <c r="W1045" s="42">
        <f>SUM(W1002:W1044)</f>
        <v>148565.75</v>
      </c>
      <c r="Z1045" s="57"/>
      <c r="AA1045" s="57"/>
      <c r="AB1045" s="38">
        <f>SUM(AB1002:AB1044)</f>
        <v>302718</v>
      </c>
      <c r="AC1045" s="38">
        <f>SUM(AC1002:AC1026)</f>
        <v>-1686</v>
      </c>
      <c r="AD1045" s="38">
        <f>SUM(AD1002:AD1026)</f>
        <v>0</v>
      </c>
      <c r="AE1045" s="38">
        <f>SUM(AE1002:AE1044)</f>
        <v>301032</v>
      </c>
      <c r="AF1045" s="4"/>
      <c r="AG1045" s="41">
        <f>SUM(AG1002:AG1044)</f>
        <v>9795</v>
      </c>
      <c r="AH1045" s="41">
        <f>SUM(AH1002:AH1026)</f>
        <v>0</v>
      </c>
      <c r="AI1045" s="42">
        <f>SUM(AI1002:AI1044)</f>
        <v>310827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47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47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47</v>
      </c>
      <c r="Z1052" s="57"/>
      <c r="AA1052" s="57"/>
      <c r="AB1052" s="57"/>
      <c r="AC1052" s="57"/>
      <c r="AD1052" s="57"/>
      <c r="AE1052" s="57"/>
      <c r="AG1052" s="57" t="s">
        <v>16</v>
      </c>
      <c r="AH1052" s="20" t="s">
        <v>91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96</v>
      </c>
      <c r="B1053" s="20"/>
      <c r="C1053" s="57"/>
      <c r="D1053" s="57"/>
      <c r="E1053" s="57"/>
      <c r="G1053" s="57"/>
      <c r="I1053" s="22" t="s">
        <v>17</v>
      </c>
      <c r="J1053" s="23" t="s">
        <v>33</v>
      </c>
      <c r="K1053" s="24"/>
      <c r="M1053" s="21" t="s">
        <v>96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96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90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33" t="s">
        <v>18</v>
      </c>
      <c r="E1055" s="133"/>
      <c r="F1055" s="121"/>
      <c r="G1055" s="27"/>
      <c r="I1055" s="131" t="s">
        <v>19</v>
      </c>
      <c r="J1055" s="132"/>
      <c r="K1055" s="129" t="s">
        <v>20</v>
      </c>
      <c r="N1055" s="25"/>
      <c r="O1055" s="26"/>
      <c r="P1055" s="133" t="s">
        <v>18</v>
      </c>
      <c r="Q1055" s="133"/>
      <c r="R1055" s="120"/>
      <c r="S1055" s="27"/>
      <c r="U1055" s="131" t="s">
        <v>19</v>
      </c>
      <c r="V1055" s="132"/>
      <c r="W1055" s="129" t="s">
        <v>20</v>
      </c>
      <c r="Z1055" s="25"/>
      <c r="AA1055" s="26"/>
      <c r="AB1055" s="133" t="s">
        <v>18</v>
      </c>
      <c r="AC1055" s="133"/>
      <c r="AD1055" s="120"/>
      <c r="AE1055" s="27"/>
      <c r="AG1055" s="131" t="s">
        <v>19</v>
      </c>
      <c r="AH1055" s="132"/>
      <c r="AI1055" s="129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83" t="s">
        <v>23</v>
      </c>
      <c r="E1056" s="82" t="s">
        <v>24</v>
      </c>
      <c r="F1056" s="84" t="s">
        <v>36</v>
      </c>
      <c r="G1056" s="84" t="s">
        <v>25</v>
      </c>
      <c r="I1056" s="29" t="s">
        <v>26</v>
      </c>
      <c r="J1056" s="29" t="s">
        <v>27</v>
      </c>
      <c r="K1056" s="130"/>
      <c r="N1056" s="28" t="s">
        <v>21</v>
      </c>
      <c r="O1056" s="28" t="s">
        <v>22</v>
      </c>
      <c r="P1056" s="83" t="s">
        <v>23</v>
      </c>
      <c r="Q1056" s="84" t="s">
        <v>24</v>
      </c>
      <c r="R1056" s="84" t="s">
        <v>36</v>
      </c>
      <c r="S1056" s="84" t="s">
        <v>25</v>
      </c>
      <c r="U1056" s="29" t="s">
        <v>26</v>
      </c>
      <c r="V1056" s="29" t="s">
        <v>27</v>
      </c>
      <c r="W1056" s="130"/>
      <c r="Z1056" s="28" t="s">
        <v>21</v>
      </c>
      <c r="AA1056" s="28" t="s">
        <v>22</v>
      </c>
      <c r="AB1056" s="83" t="s">
        <v>23</v>
      </c>
      <c r="AC1056" s="84" t="s">
        <v>24</v>
      </c>
      <c r="AD1056" s="84" t="s">
        <v>36</v>
      </c>
      <c r="AE1056" s="84" t="s">
        <v>25</v>
      </c>
      <c r="AG1056" s="29" t="s">
        <v>26</v>
      </c>
      <c r="AH1056" s="29" t="s">
        <v>27</v>
      </c>
      <c r="AI1056" s="130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97</v>
      </c>
      <c r="C1057" s="31">
        <v>5520</v>
      </c>
      <c r="D1057" s="32">
        <f>15650+614+1192+257</f>
        <v>17713</v>
      </c>
      <c r="E1057" s="32"/>
      <c r="F1057" s="32"/>
      <c r="G1057" s="32">
        <f t="shared" ref="G1057:G1084" si="313">SUM(D1057:E1057)</f>
        <v>17713</v>
      </c>
      <c r="H1057" s="12"/>
      <c r="I1057" s="12">
        <v>270</v>
      </c>
      <c r="J1057" s="12"/>
      <c r="K1057" s="12">
        <f t="shared" ref="K1057:K1090" si="314">SUM(G1057:J1057)</f>
        <v>17983</v>
      </c>
      <c r="M1057" s="10">
        <v>1</v>
      </c>
      <c r="N1057" s="30" t="s">
        <v>97</v>
      </c>
      <c r="O1057" s="31">
        <v>5562</v>
      </c>
      <c r="P1057" s="32">
        <f>1878+28.5</f>
        <v>1906.5</v>
      </c>
      <c r="Q1057" s="32"/>
      <c r="R1057" s="32"/>
      <c r="S1057" s="32">
        <f>SUM(P1057:Q1057)</f>
        <v>1906.5</v>
      </c>
      <c r="T1057" s="12"/>
      <c r="U1057" s="12"/>
      <c r="V1057" s="12"/>
      <c r="W1057" s="12">
        <f>SUM(S1057:V1057)</f>
        <v>1906.5</v>
      </c>
      <c r="Y1057" s="10">
        <v>1</v>
      </c>
      <c r="Z1057" s="30" t="s">
        <v>97</v>
      </c>
      <c r="AA1057" s="31">
        <v>5414</v>
      </c>
      <c r="AB1057" s="32">
        <f>21910+1842+5960+500+458+650</f>
        <v>31320</v>
      </c>
      <c r="AC1057" s="32"/>
      <c r="AD1057" s="32"/>
      <c r="AE1057" s="32">
        <f>SUM(AB1057:AC1057)</f>
        <v>31320</v>
      </c>
      <c r="AF1057" s="12"/>
      <c r="AG1057" s="12">
        <f>120+297</f>
        <v>417</v>
      </c>
      <c r="AH1057" s="12"/>
      <c r="AI1057" s="12">
        <f>SUM(AE1057:AH1057)</f>
        <v>31737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97</v>
      </c>
      <c r="C1058" s="31">
        <f>C1057+1</f>
        <v>5521</v>
      </c>
      <c r="D1058" s="32">
        <f>3756+596+832+67</f>
        <v>5251</v>
      </c>
      <c r="E1058" s="32"/>
      <c r="F1058" s="32"/>
      <c r="G1058" s="32">
        <f t="shared" si="313"/>
        <v>5251</v>
      </c>
      <c r="H1058" s="12"/>
      <c r="I1058" s="12"/>
      <c r="J1058" s="12"/>
      <c r="K1058" s="12">
        <f t="shared" si="314"/>
        <v>5251</v>
      </c>
      <c r="M1058" s="10">
        <v>2</v>
      </c>
      <c r="N1058" s="30" t="s">
        <v>97</v>
      </c>
      <c r="O1058" s="31">
        <f t="shared" ref="O1058:O1079" si="315">O1057+1</f>
        <v>5563</v>
      </c>
      <c r="P1058" s="32">
        <f>3130+614+47.5</f>
        <v>3791.5</v>
      </c>
      <c r="Q1058" s="32"/>
      <c r="R1058" s="32"/>
      <c r="S1058" s="32">
        <f t="shared" ref="S1058:S1071" si="316">SUM(P1058:Q1058)</f>
        <v>3791.5</v>
      </c>
      <c r="T1058" s="12"/>
      <c r="U1058" s="12"/>
      <c r="V1058" s="12"/>
      <c r="W1058" s="12">
        <f t="shared" ref="W1058:W1071" si="317">SUM(S1058:V1058)</f>
        <v>3791.5</v>
      </c>
      <c r="Y1058" s="10">
        <v>2</v>
      </c>
      <c r="Z1058" s="30" t="s">
        <v>97</v>
      </c>
      <c r="AA1058" s="31">
        <f t="shared" ref="AA1058:AA1059" si="318">AA1057+1</f>
        <v>5415</v>
      </c>
      <c r="AB1058" s="32">
        <f>38812+1842+5960+458</f>
        <v>47072</v>
      </c>
      <c r="AC1058" s="32">
        <v>-462</v>
      </c>
      <c r="AD1058" s="32"/>
      <c r="AE1058" s="32">
        <f t="shared" ref="AE1058:AE1095" si="319">SUM(AB1058:AC1058)</f>
        <v>46610</v>
      </c>
      <c r="AF1058" s="12"/>
      <c r="AG1058" s="12"/>
      <c r="AH1058" s="12"/>
      <c r="AI1058" s="12">
        <f t="shared" ref="AI1058:AI1098" si="320">SUM(AE1058:AH1058)</f>
        <v>46610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97</v>
      </c>
      <c r="C1059" s="31">
        <f t="shared" ref="C1059:C1073" si="321">C1058+1</f>
        <v>5522</v>
      </c>
      <c r="D1059" s="33">
        <f>3756+596+67</f>
        <v>4419</v>
      </c>
      <c r="E1059" s="33"/>
      <c r="F1059" s="33"/>
      <c r="G1059" s="33">
        <f t="shared" si="313"/>
        <v>4419</v>
      </c>
      <c r="H1059" s="34"/>
      <c r="I1059" s="34">
        <v>18</v>
      </c>
      <c r="J1059" s="34"/>
      <c r="K1059" s="34">
        <f t="shared" si="314"/>
        <v>4437</v>
      </c>
      <c r="M1059" s="10">
        <v>3</v>
      </c>
      <c r="N1059" s="30" t="s">
        <v>97</v>
      </c>
      <c r="O1059" s="31">
        <f t="shared" si="315"/>
        <v>5564</v>
      </c>
      <c r="P1059" s="32">
        <f>2504+2384+76</f>
        <v>4964</v>
      </c>
      <c r="Q1059" s="32"/>
      <c r="R1059" s="32"/>
      <c r="S1059" s="32">
        <f t="shared" si="316"/>
        <v>4964</v>
      </c>
      <c r="T1059" s="12"/>
      <c r="U1059" s="12">
        <v>9</v>
      </c>
      <c r="V1059" s="12"/>
      <c r="W1059" s="12">
        <f t="shared" si="317"/>
        <v>4973</v>
      </c>
      <c r="Y1059" s="10">
        <v>3</v>
      </c>
      <c r="Z1059" s="30" t="s">
        <v>97</v>
      </c>
      <c r="AA1059" s="31">
        <f t="shared" si="318"/>
        <v>5416</v>
      </c>
      <c r="AB1059" s="33">
        <f>169020+12280+59600+2496+2290</f>
        <v>245686</v>
      </c>
      <c r="AC1059" s="33">
        <v>-2418</v>
      </c>
      <c r="AD1059" s="32"/>
      <c r="AE1059" s="32">
        <f t="shared" si="319"/>
        <v>243268</v>
      </c>
      <c r="AF1059" s="12"/>
      <c r="AG1059" s="12">
        <f>360</f>
        <v>360</v>
      </c>
      <c r="AH1059" s="12">
        <f>-12210+-2352</f>
        <v>-14562</v>
      </c>
      <c r="AI1059" s="12">
        <f t="shared" si="320"/>
        <v>229066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97</v>
      </c>
      <c r="C1060" s="31">
        <f t="shared" si="321"/>
        <v>5523</v>
      </c>
      <c r="D1060" s="32">
        <f>1252+19</f>
        <v>1271</v>
      </c>
      <c r="E1060" s="32"/>
      <c r="F1060" s="32"/>
      <c r="G1060" s="32">
        <f t="shared" si="313"/>
        <v>1271</v>
      </c>
      <c r="H1060" s="12"/>
      <c r="I1060" s="12"/>
      <c r="J1060" s="12"/>
      <c r="K1060" s="12">
        <f t="shared" si="314"/>
        <v>1271</v>
      </c>
      <c r="M1060" s="10">
        <v>4</v>
      </c>
      <c r="N1060" s="30" t="s">
        <v>97</v>
      </c>
      <c r="O1060" s="31">
        <f t="shared" si="315"/>
        <v>5565</v>
      </c>
      <c r="P1060" s="32">
        <f>626+9.5</f>
        <v>635.5</v>
      </c>
      <c r="Q1060" s="32"/>
      <c r="R1060" s="32"/>
      <c r="S1060" s="32">
        <f t="shared" si="316"/>
        <v>635.5</v>
      </c>
      <c r="T1060" s="12"/>
      <c r="U1060" s="12"/>
      <c r="V1060" s="12"/>
      <c r="W1060" s="12">
        <f t="shared" si="317"/>
        <v>635.5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319"/>
        <v>0</v>
      </c>
      <c r="AF1060" s="12"/>
      <c r="AH1060" s="12"/>
      <c r="AI1060" s="12">
        <f t="shared" si="320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97</v>
      </c>
      <c r="C1061" s="31">
        <f t="shared" si="321"/>
        <v>5524</v>
      </c>
      <c r="D1061" s="32">
        <f>5008+76</f>
        <v>5084</v>
      </c>
      <c r="E1061" s="32"/>
      <c r="F1061" s="32"/>
      <c r="G1061" s="32">
        <f t="shared" si="313"/>
        <v>5084</v>
      </c>
      <c r="H1061" s="12"/>
      <c r="I1061" s="12"/>
      <c r="J1061" s="12"/>
      <c r="K1061" s="12">
        <f t="shared" si="314"/>
        <v>5084</v>
      </c>
      <c r="M1061" s="10">
        <v>5</v>
      </c>
      <c r="N1061" s="30" t="s">
        <v>97</v>
      </c>
      <c r="O1061" s="31">
        <f t="shared" si="315"/>
        <v>5566</v>
      </c>
      <c r="P1061" s="32">
        <f>1228+1192+19</f>
        <v>2439</v>
      </c>
      <c r="Q1061" s="32"/>
      <c r="R1061" s="32"/>
      <c r="S1061" s="32">
        <f t="shared" si="316"/>
        <v>2439</v>
      </c>
      <c r="T1061" s="12"/>
      <c r="U1061" s="12">
        <f>9+11.25</f>
        <v>20.25</v>
      </c>
      <c r="V1061" s="12"/>
      <c r="W1061" s="12">
        <f t="shared" si="317"/>
        <v>2459.25</v>
      </c>
      <c r="Y1061" s="10">
        <v>5</v>
      </c>
      <c r="Z1061" s="30"/>
      <c r="AA1061" s="31"/>
      <c r="AB1061" s="32"/>
      <c r="AC1061" s="32"/>
      <c r="AD1061" s="32"/>
      <c r="AE1061" s="32">
        <f t="shared" si="319"/>
        <v>0</v>
      </c>
      <c r="AF1061" s="12"/>
      <c r="AG1061" s="12"/>
      <c r="AH1061" s="12"/>
      <c r="AI1061" s="12">
        <f t="shared" si="320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97</v>
      </c>
      <c r="C1062" s="31">
        <f t="shared" si="321"/>
        <v>5525</v>
      </c>
      <c r="D1062" s="32">
        <f>12520+190</f>
        <v>12710</v>
      </c>
      <c r="E1062" s="32"/>
      <c r="F1062" s="32"/>
      <c r="G1062" s="32">
        <f t="shared" si="313"/>
        <v>12710</v>
      </c>
      <c r="H1062" s="12"/>
      <c r="I1062" s="12"/>
      <c r="J1062" s="12"/>
      <c r="K1062" s="12">
        <f t="shared" si="314"/>
        <v>12710</v>
      </c>
      <c r="M1062" s="10">
        <v>6</v>
      </c>
      <c r="N1062" s="30" t="s">
        <v>97</v>
      </c>
      <c r="O1062" s="31">
        <f t="shared" si="315"/>
        <v>5567</v>
      </c>
      <c r="P1062" s="32">
        <f>1252+19</f>
        <v>1271</v>
      </c>
      <c r="Q1062" s="32"/>
      <c r="R1062" s="32"/>
      <c r="S1062" s="32">
        <f t="shared" si="316"/>
        <v>1271</v>
      </c>
      <c r="T1062" s="12"/>
      <c r="U1062" s="12">
        <v>9</v>
      </c>
      <c r="V1062" s="10"/>
      <c r="W1062" s="12">
        <f t="shared" si="317"/>
        <v>1280</v>
      </c>
      <c r="Y1062" s="10">
        <v>6</v>
      </c>
      <c r="Z1062" s="30"/>
      <c r="AA1062" s="31"/>
      <c r="AB1062" s="32"/>
      <c r="AC1062" s="32"/>
      <c r="AD1062" s="32"/>
      <c r="AE1062" s="32">
        <f t="shared" si="319"/>
        <v>0</v>
      </c>
      <c r="AF1062" s="12"/>
      <c r="AG1062" s="12"/>
      <c r="AH1062" s="10"/>
      <c r="AI1062" s="12">
        <f t="shared" si="320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97</v>
      </c>
      <c r="C1063" s="31">
        <f t="shared" si="321"/>
        <v>5526</v>
      </c>
      <c r="D1063" s="32">
        <f>2504+38</f>
        <v>2542</v>
      </c>
      <c r="E1063" s="32"/>
      <c r="F1063" s="32"/>
      <c r="G1063" s="32">
        <f t="shared" si="313"/>
        <v>2542</v>
      </c>
      <c r="H1063" s="12"/>
      <c r="I1063" s="12"/>
      <c r="J1063" s="12"/>
      <c r="K1063" s="12">
        <f t="shared" si="314"/>
        <v>2542</v>
      </c>
      <c r="M1063" s="10">
        <v>7</v>
      </c>
      <c r="N1063" s="30" t="s">
        <v>97</v>
      </c>
      <c r="O1063" s="31">
        <f t="shared" si="315"/>
        <v>5568</v>
      </c>
      <c r="P1063" s="32">
        <f>13146</f>
        <v>13146</v>
      </c>
      <c r="Q1063" s="32"/>
      <c r="R1063" s="32"/>
      <c r="S1063" s="32">
        <f t="shared" si="316"/>
        <v>13146</v>
      </c>
      <c r="T1063" s="12"/>
      <c r="U1063" s="12"/>
      <c r="V1063" s="12"/>
      <c r="W1063" s="12">
        <f t="shared" si="317"/>
        <v>13146</v>
      </c>
      <c r="Y1063" s="10">
        <v>7</v>
      </c>
      <c r="Z1063" s="30"/>
      <c r="AA1063" s="31"/>
      <c r="AB1063" s="32"/>
      <c r="AC1063" s="32"/>
      <c r="AD1063" s="32"/>
      <c r="AE1063" s="32">
        <f t="shared" si="319"/>
        <v>0</v>
      </c>
      <c r="AF1063" s="12"/>
      <c r="AG1063" s="58"/>
      <c r="AH1063" s="12"/>
      <c r="AI1063" s="12">
        <f t="shared" si="320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97</v>
      </c>
      <c r="C1064" s="31">
        <f t="shared" si="321"/>
        <v>5527</v>
      </c>
      <c r="D1064" s="32">
        <f>2504+38</f>
        <v>2542</v>
      </c>
      <c r="E1064" s="32"/>
      <c r="F1064" s="32"/>
      <c r="G1064" s="32">
        <f t="shared" si="313"/>
        <v>2542</v>
      </c>
      <c r="H1064" s="12"/>
      <c r="I1064" s="12">
        <v>5</v>
      </c>
      <c r="J1064" s="12"/>
      <c r="K1064" s="12">
        <f t="shared" si="314"/>
        <v>2547</v>
      </c>
      <c r="M1064" s="10">
        <v>8</v>
      </c>
      <c r="N1064" s="30" t="s">
        <v>97</v>
      </c>
      <c r="O1064" s="31">
        <f t="shared" si="315"/>
        <v>5569</v>
      </c>
      <c r="P1064" s="32">
        <f>3756</f>
        <v>3756</v>
      </c>
      <c r="Q1064" s="32"/>
      <c r="R1064" s="32"/>
      <c r="S1064" s="32">
        <f t="shared" si="316"/>
        <v>3756</v>
      </c>
      <c r="T1064" s="12"/>
      <c r="U1064" s="12">
        <v>111</v>
      </c>
      <c r="V1064" s="12"/>
      <c r="W1064" s="12">
        <f t="shared" si="317"/>
        <v>3867</v>
      </c>
      <c r="Y1064" s="10">
        <v>8</v>
      </c>
      <c r="Z1064" s="30"/>
      <c r="AA1064" s="31"/>
      <c r="AB1064" s="32"/>
      <c r="AC1064" s="32"/>
      <c r="AE1064" s="32">
        <f t="shared" si="319"/>
        <v>0</v>
      </c>
      <c r="AF1064" s="12"/>
      <c r="AG1064" s="12"/>
      <c r="AH1064" s="12"/>
      <c r="AI1064" s="12">
        <f t="shared" si="320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 t="s">
        <v>97</v>
      </c>
      <c r="C1065" s="31">
        <f t="shared" si="321"/>
        <v>5528</v>
      </c>
      <c r="D1065" s="32">
        <f>2504+38</f>
        <v>2542</v>
      </c>
      <c r="E1065" s="32"/>
      <c r="F1065" s="32"/>
      <c r="G1065" s="32">
        <f t="shared" si="313"/>
        <v>2542</v>
      </c>
      <c r="H1065" s="12"/>
      <c r="I1065" s="12"/>
      <c r="J1065" s="12"/>
      <c r="K1065" s="12">
        <f t="shared" si="314"/>
        <v>2542</v>
      </c>
      <c r="M1065" s="10">
        <v>9</v>
      </c>
      <c r="N1065" s="30" t="s">
        <v>97</v>
      </c>
      <c r="O1065" s="31">
        <f t="shared" si="315"/>
        <v>5570</v>
      </c>
      <c r="P1065" s="32">
        <f>6260+1788+123.5</f>
        <v>8171.5</v>
      </c>
      <c r="Q1065" s="32"/>
      <c r="R1065" s="32"/>
      <c r="S1065" s="32">
        <f t="shared" si="316"/>
        <v>8171.5</v>
      </c>
      <c r="T1065" s="12"/>
      <c r="U1065" s="12"/>
      <c r="V1065" s="12"/>
      <c r="W1065" s="12">
        <f t="shared" si="317"/>
        <v>8171.5</v>
      </c>
      <c r="Y1065" s="10">
        <v>9</v>
      </c>
      <c r="Z1065" s="30"/>
      <c r="AC1065" s="32"/>
      <c r="AD1065" s="32"/>
      <c r="AE1065" s="32">
        <f t="shared" si="319"/>
        <v>0</v>
      </c>
      <c r="AF1065" s="12"/>
      <c r="AH1065" s="12"/>
      <c r="AI1065" s="12">
        <f t="shared" si="320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 t="s">
        <v>97</v>
      </c>
      <c r="C1066" s="31">
        <f t="shared" si="321"/>
        <v>5529</v>
      </c>
      <c r="D1066" s="32">
        <f>11268+171</f>
        <v>11439</v>
      </c>
      <c r="E1066" s="32"/>
      <c r="F1066" s="32"/>
      <c r="G1066" s="32">
        <f t="shared" si="313"/>
        <v>11439</v>
      </c>
      <c r="H1066" s="12"/>
      <c r="I1066" s="12"/>
      <c r="J1066" s="12"/>
      <c r="K1066" s="12">
        <f t="shared" si="314"/>
        <v>11439</v>
      </c>
      <c r="M1066" s="10">
        <v>10</v>
      </c>
      <c r="N1066" s="30" t="s">
        <v>97</v>
      </c>
      <c r="O1066" s="31">
        <f t="shared" si="315"/>
        <v>5571</v>
      </c>
      <c r="P1066" s="32">
        <f>1878+596+38</f>
        <v>2512</v>
      </c>
      <c r="Q1066" s="32"/>
      <c r="R1066" s="32"/>
      <c r="S1066" s="32">
        <f t="shared" si="316"/>
        <v>2512</v>
      </c>
      <c r="T1066" s="12"/>
      <c r="U1066" s="12"/>
      <c r="V1066" s="12"/>
      <c r="W1066" s="12">
        <f t="shared" si="317"/>
        <v>2512</v>
      </c>
      <c r="Y1066" s="10">
        <v>10</v>
      </c>
      <c r="Z1066" s="30"/>
      <c r="AA1066" s="31"/>
      <c r="AB1066" s="32"/>
      <c r="AC1066" s="32"/>
      <c r="AD1066" s="32"/>
      <c r="AE1066" s="32">
        <f t="shared" si="319"/>
        <v>0</v>
      </c>
      <c r="AF1066" s="12"/>
      <c r="AG1066" s="12"/>
      <c r="AH1066" s="12"/>
      <c r="AI1066" s="12">
        <f t="shared" si="320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 t="s">
        <v>97</v>
      </c>
      <c r="C1067" s="31">
        <f t="shared" si="321"/>
        <v>5530</v>
      </c>
      <c r="D1067" s="32">
        <f>10016+152</f>
        <v>10168</v>
      </c>
      <c r="E1067" s="32"/>
      <c r="F1067" s="32"/>
      <c r="G1067" s="32">
        <f t="shared" si="313"/>
        <v>10168</v>
      </c>
      <c r="H1067" s="12"/>
      <c r="I1067" s="12">
        <v>14</v>
      </c>
      <c r="J1067" s="12"/>
      <c r="K1067" s="12">
        <f t="shared" si="314"/>
        <v>10182</v>
      </c>
      <c r="M1067" s="10">
        <v>11</v>
      </c>
      <c r="N1067" s="30" t="s">
        <v>97</v>
      </c>
      <c r="O1067" s="31">
        <f t="shared" si="315"/>
        <v>5572</v>
      </c>
      <c r="P1067" s="32">
        <f>16276+614+5960</f>
        <v>22850</v>
      </c>
      <c r="Q1067" s="32"/>
      <c r="R1067" s="32"/>
      <c r="S1067" s="32">
        <f t="shared" si="316"/>
        <v>22850</v>
      </c>
      <c r="T1067" s="12"/>
      <c r="U1067" s="12">
        <v>63</v>
      </c>
      <c r="V1067" s="12"/>
      <c r="W1067" s="12">
        <f t="shared" si="317"/>
        <v>22913</v>
      </c>
      <c r="Y1067" s="10">
        <v>11</v>
      </c>
      <c r="Z1067" s="30"/>
      <c r="AA1067" s="31"/>
      <c r="AB1067" s="32"/>
      <c r="AC1067" s="32"/>
      <c r="AD1067" s="32"/>
      <c r="AE1067" s="32">
        <f t="shared" si="319"/>
        <v>0</v>
      </c>
      <c r="AF1067" s="12"/>
      <c r="AG1067" s="12"/>
      <c r="AH1067" s="12"/>
      <c r="AI1067" s="12">
        <f t="shared" si="320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 t="s">
        <v>97</v>
      </c>
      <c r="C1068" s="31">
        <f t="shared" si="321"/>
        <v>5531</v>
      </c>
      <c r="D1068" s="32">
        <f>8138+614+124</f>
        <v>8876</v>
      </c>
      <c r="E1068" s="32"/>
      <c r="F1068" s="32"/>
      <c r="G1068" s="32">
        <f t="shared" si="313"/>
        <v>8876</v>
      </c>
      <c r="H1068" s="12"/>
      <c r="I1068" s="12">
        <v>5</v>
      </c>
      <c r="J1068" s="10"/>
      <c r="K1068" s="12">
        <f t="shared" si="314"/>
        <v>8881</v>
      </c>
      <c r="M1068" s="10">
        <v>12</v>
      </c>
      <c r="N1068" s="30" t="s">
        <v>97</v>
      </c>
      <c r="O1068" s="31">
        <f t="shared" si="315"/>
        <v>5573</v>
      </c>
      <c r="P1068" s="32">
        <f>1252+614+596+28.5</f>
        <v>2490.5</v>
      </c>
      <c r="Q1068" s="32"/>
      <c r="R1068" s="32"/>
      <c r="S1068" s="32">
        <f t="shared" si="316"/>
        <v>2490.5</v>
      </c>
      <c r="T1068" s="12"/>
      <c r="U1068" s="12"/>
      <c r="V1068" s="12"/>
      <c r="W1068" s="12">
        <f t="shared" si="317"/>
        <v>2490.5</v>
      </c>
      <c r="Y1068" s="10">
        <v>12</v>
      </c>
      <c r="Z1068" s="30"/>
      <c r="AA1068" s="31"/>
      <c r="AB1068" s="32"/>
      <c r="AC1068" s="32"/>
      <c r="AD1068" s="32"/>
      <c r="AE1068" s="32">
        <f t="shared" si="319"/>
        <v>0</v>
      </c>
      <c r="AF1068" s="12"/>
      <c r="AG1068" s="12"/>
      <c r="AH1068" s="12"/>
      <c r="AI1068" s="12">
        <f t="shared" si="320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 t="s">
        <v>97</v>
      </c>
      <c r="C1069" s="31">
        <f t="shared" si="321"/>
        <v>5532</v>
      </c>
      <c r="D1069" s="32">
        <f>5008+1175+1102+76</f>
        <v>7361</v>
      </c>
      <c r="E1069" s="32"/>
      <c r="F1069" s="32"/>
      <c r="G1069" s="32">
        <f t="shared" si="313"/>
        <v>7361</v>
      </c>
      <c r="H1069" s="12"/>
      <c r="I1069" s="12">
        <v>11</v>
      </c>
      <c r="J1069" s="12"/>
      <c r="K1069" s="12">
        <f t="shared" si="314"/>
        <v>7372</v>
      </c>
      <c r="M1069" s="10">
        <v>13</v>
      </c>
      <c r="N1069" s="30" t="s">
        <v>97</v>
      </c>
      <c r="O1069" s="31">
        <f t="shared" si="315"/>
        <v>5574</v>
      </c>
      <c r="P1069" s="32">
        <f>626*5+614+47.5</f>
        <v>3791.5</v>
      </c>
      <c r="Q1069" s="32"/>
      <c r="R1069" s="32"/>
      <c r="S1069" s="32">
        <f t="shared" si="316"/>
        <v>3791.5</v>
      </c>
      <c r="T1069" s="12"/>
      <c r="U1069" s="12"/>
      <c r="V1069" s="12"/>
      <c r="W1069" s="12">
        <f t="shared" si="317"/>
        <v>3791.5</v>
      </c>
      <c r="Y1069" s="10">
        <v>13</v>
      </c>
      <c r="Z1069" s="30"/>
      <c r="AA1069" s="31"/>
      <c r="AB1069" s="32"/>
      <c r="AC1069" s="32"/>
      <c r="AD1069" s="32"/>
      <c r="AE1069" s="32">
        <f t="shared" si="319"/>
        <v>0</v>
      </c>
      <c r="AF1069" s="12"/>
      <c r="AG1069" s="12"/>
      <c r="AH1069" s="12"/>
      <c r="AI1069" s="12">
        <f t="shared" si="320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 t="s">
        <v>97</v>
      </c>
      <c r="C1070" s="31">
        <f t="shared" si="321"/>
        <v>5533</v>
      </c>
      <c r="D1070" s="32">
        <f>12520</f>
        <v>12520</v>
      </c>
      <c r="E1070" s="32"/>
      <c r="F1070" s="32"/>
      <c r="G1070" s="32">
        <f t="shared" si="313"/>
        <v>12520</v>
      </c>
      <c r="H1070" s="12"/>
      <c r="I1070" s="12"/>
      <c r="J1070" s="12"/>
      <c r="K1070" s="12">
        <f t="shared" si="314"/>
        <v>12520</v>
      </c>
      <c r="M1070" s="10">
        <v>14</v>
      </c>
      <c r="N1070" s="30" t="s">
        <v>97</v>
      </c>
      <c r="O1070" s="31">
        <f t="shared" si="315"/>
        <v>5575</v>
      </c>
      <c r="P1070" s="32">
        <f>5008</f>
        <v>5008</v>
      </c>
      <c r="Q1070" s="32"/>
      <c r="R1070" s="32"/>
      <c r="S1070" s="32">
        <f t="shared" si="316"/>
        <v>5008</v>
      </c>
      <c r="T1070" s="12"/>
      <c r="U1070" s="12"/>
      <c r="V1070" s="12"/>
      <c r="W1070" s="12">
        <f t="shared" si="317"/>
        <v>5008</v>
      </c>
      <c r="Y1070" s="10">
        <v>14</v>
      </c>
      <c r="Z1070" s="30"/>
      <c r="AA1070" s="31"/>
      <c r="AB1070" s="32"/>
      <c r="AC1070" s="32"/>
      <c r="AD1070" s="32"/>
      <c r="AE1070" s="32">
        <f t="shared" si="319"/>
        <v>0</v>
      </c>
      <c r="AF1070" s="12"/>
      <c r="AG1070" s="12"/>
      <c r="AH1070" s="12"/>
      <c r="AI1070" s="12">
        <f t="shared" si="320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 t="s">
        <v>97</v>
      </c>
      <c r="C1071" s="31">
        <f t="shared" si="321"/>
        <v>5534</v>
      </c>
      <c r="D1071" s="32">
        <f>25040</f>
        <v>25040</v>
      </c>
      <c r="E1071" s="32"/>
      <c r="F1071" s="32"/>
      <c r="G1071" s="32">
        <f t="shared" si="313"/>
        <v>25040</v>
      </c>
      <c r="H1071" s="12"/>
      <c r="I1071" s="12"/>
      <c r="J1071" s="12"/>
      <c r="K1071" s="12">
        <f t="shared" si="314"/>
        <v>25040</v>
      </c>
      <c r="M1071" s="10">
        <v>15</v>
      </c>
      <c r="N1071" s="30" t="s">
        <v>97</v>
      </c>
      <c r="O1071" s="31">
        <f t="shared" si="315"/>
        <v>5576</v>
      </c>
      <c r="P1071" s="32">
        <f>4382+596</f>
        <v>4978</v>
      </c>
      <c r="R1071" s="32"/>
      <c r="S1071" s="32">
        <f t="shared" si="316"/>
        <v>4978</v>
      </c>
      <c r="T1071" s="12"/>
      <c r="U1071" s="12"/>
      <c r="W1071" s="12">
        <f t="shared" si="317"/>
        <v>4978</v>
      </c>
      <c r="Y1071" s="10">
        <v>15</v>
      </c>
      <c r="Z1071" s="30"/>
      <c r="AA1071" s="31"/>
      <c r="AB1071" s="32"/>
      <c r="AC1071" s="32"/>
      <c r="AD1071" s="32"/>
      <c r="AE1071" s="32">
        <f t="shared" si="319"/>
        <v>0</v>
      </c>
      <c r="AF1071" s="12"/>
      <c r="AG1071" s="12"/>
      <c r="AH1071" s="12"/>
      <c r="AI1071" s="12">
        <f t="shared" si="320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 t="s">
        <v>97</v>
      </c>
      <c r="C1072" s="31">
        <f t="shared" si="321"/>
        <v>5535</v>
      </c>
      <c r="D1072" s="32">
        <f>5008+76</f>
        <v>5084</v>
      </c>
      <c r="E1072" s="32"/>
      <c r="F1072" s="32"/>
      <c r="G1072" s="32">
        <f t="shared" si="313"/>
        <v>5084</v>
      </c>
      <c r="H1072" s="12"/>
      <c r="I1072" s="12"/>
      <c r="J1072" s="12"/>
      <c r="K1072" s="12">
        <f t="shared" si="314"/>
        <v>5084</v>
      </c>
      <c r="M1072" s="10">
        <v>16</v>
      </c>
      <c r="N1072" s="30" t="s">
        <v>97</v>
      </c>
      <c r="O1072" s="31">
        <f t="shared" si="315"/>
        <v>5577</v>
      </c>
      <c r="P1072" s="32">
        <f>3130+47.5</f>
        <v>3177.5</v>
      </c>
      <c r="Q1072" s="32"/>
      <c r="R1072" s="32"/>
      <c r="S1072" s="32">
        <f>SUM(P1072:Q1072)</f>
        <v>3177.5</v>
      </c>
      <c r="T1072" s="12"/>
      <c r="U1072" s="12">
        <v>14</v>
      </c>
      <c r="V1072" s="12"/>
      <c r="W1072" s="12">
        <f>SUM(S1072:V1072)</f>
        <v>3191.5</v>
      </c>
      <c r="Y1072" s="10">
        <v>16</v>
      </c>
      <c r="Z1072" s="30"/>
      <c r="AA1072" s="31"/>
      <c r="AB1072" s="32"/>
      <c r="AC1072" s="32"/>
      <c r="AD1072" s="32"/>
      <c r="AE1072" s="32">
        <f t="shared" si="319"/>
        <v>0</v>
      </c>
      <c r="AF1072" s="12"/>
      <c r="AG1072" s="12"/>
      <c r="AH1072" s="12"/>
      <c r="AI1072" s="12">
        <f t="shared" si="320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 t="s">
        <v>97</v>
      </c>
      <c r="C1073" s="31">
        <f t="shared" si="321"/>
        <v>5536</v>
      </c>
      <c r="D1073" s="32">
        <f>1252+19</f>
        <v>1271</v>
      </c>
      <c r="E1073" s="32"/>
      <c r="F1073" s="32"/>
      <c r="G1073" s="32">
        <f t="shared" si="313"/>
        <v>1271</v>
      </c>
      <c r="H1073" s="12"/>
      <c r="I1073" s="12"/>
      <c r="J1073" s="12"/>
      <c r="K1073" s="12">
        <f t="shared" si="314"/>
        <v>1271</v>
      </c>
      <c r="M1073" s="10">
        <v>17</v>
      </c>
      <c r="N1073" s="30" t="s">
        <v>97</v>
      </c>
      <c r="O1073" s="31">
        <f t="shared" si="315"/>
        <v>5578</v>
      </c>
      <c r="P1073" s="35">
        <f>1878+596+38</f>
        <v>2512</v>
      </c>
      <c r="Q1073" s="32"/>
      <c r="R1073" s="32"/>
      <c r="S1073" s="32">
        <f t="shared" ref="S1073:S1095" si="322">SUM(P1073:Q1073)</f>
        <v>2512</v>
      </c>
      <c r="T1073" s="12"/>
      <c r="U1073" s="12"/>
      <c r="V1073" s="12"/>
      <c r="W1073" s="12">
        <f t="shared" ref="W1073:W1098" si="323">SUM(S1073:V1073)</f>
        <v>2512</v>
      </c>
      <c r="Y1073" s="10">
        <v>17</v>
      </c>
      <c r="Z1073" s="30"/>
      <c r="AA1073" s="31"/>
      <c r="AB1073" s="35"/>
      <c r="AC1073" s="32"/>
      <c r="AD1073" s="32"/>
      <c r="AE1073" s="32">
        <f t="shared" si="319"/>
        <v>0</v>
      </c>
      <c r="AF1073" s="12"/>
      <c r="AG1073" s="12"/>
      <c r="AH1073" s="12"/>
      <c r="AI1073" s="12">
        <f t="shared" si="320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11" t="s">
        <v>28</v>
      </c>
      <c r="D1074" s="32"/>
      <c r="E1074" s="32"/>
      <c r="F1074" s="32"/>
      <c r="G1074" s="32">
        <f t="shared" si="313"/>
        <v>0</v>
      </c>
      <c r="H1074" s="12"/>
      <c r="I1074" s="12"/>
      <c r="J1074" s="12"/>
      <c r="K1074" s="12">
        <f t="shared" si="314"/>
        <v>0</v>
      </c>
      <c r="M1074" s="10">
        <v>18</v>
      </c>
      <c r="N1074" s="30" t="s">
        <v>97</v>
      </c>
      <c r="O1074" s="31">
        <f t="shared" si="315"/>
        <v>5579</v>
      </c>
      <c r="P1074" s="32">
        <f>3130+47.5</f>
        <v>3177.5</v>
      </c>
      <c r="Q1074" s="32"/>
      <c r="R1074" s="32"/>
      <c r="S1074" s="32">
        <f t="shared" si="322"/>
        <v>3177.5</v>
      </c>
      <c r="T1074" s="12"/>
      <c r="U1074" s="12"/>
      <c r="V1074" s="12"/>
      <c r="W1074" s="12">
        <f t="shared" si="323"/>
        <v>3177.5</v>
      </c>
      <c r="Y1074" s="10">
        <v>18</v>
      </c>
      <c r="Z1074" s="30"/>
      <c r="AA1074" s="31"/>
      <c r="AB1074" s="32"/>
      <c r="AC1074" s="32"/>
      <c r="AD1074" s="32"/>
      <c r="AE1074" s="32">
        <f t="shared" si="319"/>
        <v>0</v>
      </c>
      <c r="AF1074" s="12"/>
      <c r="AG1074" s="12"/>
      <c r="AH1074" s="12"/>
      <c r="AI1074" s="12">
        <f t="shared" si="320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313"/>
        <v>0</v>
      </c>
      <c r="H1075" s="12"/>
      <c r="I1075" s="12"/>
      <c r="J1075" s="12"/>
      <c r="K1075" s="12">
        <f t="shared" si="314"/>
        <v>0</v>
      </c>
      <c r="M1075" s="10">
        <v>19</v>
      </c>
      <c r="N1075" s="30" t="s">
        <v>97</v>
      </c>
      <c r="O1075" s="31">
        <f t="shared" si="315"/>
        <v>5580</v>
      </c>
      <c r="P1075" s="32">
        <f>10642+57</f>
        <v>10699</v>
      </c>
      <c r="Q1075" s="32"/>
      <c r="R1075" s="32"/>
      <c r="S1075" s="32">
        <f t="shared" si="322"/>
        <v>10699</v>
      </c>
      <c r="T1075" s="12"/>
      <c r="U1075" s="12">
        <f>27+9</f>
        <v>36</v>
      </c>
      <c r="V1075" s="12"/>
      <c r="W1075" s="12">
        <f t="shared" si="323"/>
        <v>10735</v>
      </c>
      <c r="Y1075" s="10">
        <v>19</v>
      </c>
      <c r="Z1075" s="30"/>
      <c r="AA1075" s="31"/>
      <c r="AB1075" s="32"/>
      <c r="AC1075" s="32"/>
      <c r="AD1075" s="32"/>
      <c r="AE1075" s="32">
        <f t="shared" si="319"/>
        <v>0</v>
      </c>
      <c r="AF1075" s="12"/>
      <c r="AG1075" s="12"/>
      <c r="AH1075" s="12"/>
      <c r="AI1075" s="12">
        <f t="shared" si="320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313"/>
        <v>0</v>
      </c>
      <c r="H1076" s="12"/>
      <c r="I1076" s="12"/>
      <c r="J1076" s="12"/>
      <c r="K1076" s="12">
        <f t="shared" si="314"/>
        <v>0</v>
      </c>
      <c r="M1076" s="10">
        <v>20</v>
      </c>
      <c r="N1076" s="30" t="s">
        <v>97</v>
      </c>
      <c r="O1076" s="31">
        <f t="shared" si="315"/>
        <v>5581</v>
      </c>
      <c r="P1076" s="32">
        <f>626+832+9.5</f>
        <v>1467.5</v>
      </c>
      <c r="Q1076" s="32"/>
      <c r="R1076" s="32"/>
      <c r="S1076" s="32">
        <f t="shared" si="322"/>
        <v>1467.5</v>
      </c>
      <c r="T1076" s="12"/>
      <c r="U1076" s="12"/>
      <c r="V1076" s="12"/>
      <c r="W1076" s="12">
        <f t="shared" si="323"/>
        <v>1467.5</v>
      </c>
      <c r="Y1076" s="10">
        <v>20</v>
      </c>
      <c r="Z1076" s="30"/>
      <c r="AA1076" s="31"/>
      <c r="AB1076" s="32"/>
      <c r="AC1076" s="32"/>
      <c r="AD1076" s="32"/>
      <c r="AE1076" s="32">
        <f t="shared" si="319"/>
        <v>0</v>
      </c>
      <c r="AF1076" s="12"/>
      <c r="AG1076" s="12"/>
      <c r="AH1076" s="12"/>
      <c r="AI1076" s="12">
        <f t="shared" si="320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C1077" s="31"/>
      <c r="D1077" s="32"/>
      <c r="E1077" s="32"/>
      <c r="F1077" s="32"/>
      <c r="G1077" s="32">
        <f t="shared" si="313"/>
        <v>0</v>
      </c>
      <c r="H1077" s="10"/>
      <c r="I1077" s="10"/>
      <c r="J1077" s="10"/>
      <c r="K1077" s="12">
        <f t="shared" si="314"/>
        <v>0</v>
      </c>
      <c r="M1077" s="10">
        <v>21</v>
      </c>
      <c r="N1077" s="30" t="s">
        <v>97</v>
      </c>
      <c r="O1077" s="31">
        <f t="shared" si="315"/>
        <v>5582</v>
      </c>
      <c r="P1077" s="46">
        <f>6260+95</f>
        <v>6355</v>
      </c>
      <c r="Q1077" s="31"/>
      <c r="R1077" s="31"/>
      <c r="S1077" s="32">
        <f t="shared" si="322"/>
        <v>6355</v>
      </c>
      <c r="T1077" s="10"/>
      <c r="U1077" s="10"/>
      <c r="V1077" s="10">
        <v>-555</v>
      </c>
      <c r="W1077" s="12">
        <f t="shared" si="323"/>
        <v>5800</v>
      </c>
      <c r="Y1077" s="10">
        <v>21</v>
      </c>
      <c r="Z1077" s="30"/>
      <c r="AB1077" s="46"/>
      <c r="AC1077" s="31"/>
      <c r="AD1077" s="31"/>
      <c r="AE1077" s="32">
        <f t="shared" si="319"/>
        <v>0</v>
      </c>
      <c r="AF1077" s="10"/>
      <c r="AG1077" s="10"/>
      <c r="AH1077" s="10"/>
      <c r="AI1077" s="12">
        <f t="shared" si="320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313"/>
        <v>0</v>
      </c>
      <c r="H1078" s="10"/>
      <c r="I1078" s="10"/>
      <c r="J1078" s="10"/>
      <c r="K1078" s="12">
        <f t="shared" si="314"/>
        <v>0</v>
      </c>
      <c r="M1078" s="10">
        <v>22</v>
      </c>
      <c r="N1078" s="30" t="s">
        <v>97</v>
      </c>
      <c r="O1078" s="31">
        <f t="shared" si="315"/>
        <v>5583</v>
      </c>
      <c r="P1078" s="45">
        <f>614+913</f>
        <v>1527</v>
      </c>
      <c r="Q1078" s="31"/>
      <c r="R1078" s="31"/>
      <c r="S1078" s="32">
        <f t="shared" si="322"/>
        <v>1527</v>
      </c>
      <c r="T1078" s="10"/>
      <c r="U1078" s="10">
        <v>16</v>
      </c>
      <c r="V1078" s="10"/>
      <c r="W1078" s="12">
        <f t="shared" si="323"/>
        <v>1543</v>
      </c>
      <c r="Y1078" s="10">
        <v>22</v>
      </c>
      <c r="Z1078" s="30"/>
      <c r="AA1078" s="31"/>
      <c r="AB1078" s="45"/>
      <c r="AC1078" s="31"/>
      <c r="AD1078" s="31"/>
      <c r="AE1078" s="32">
        <f t="shared" si="319"/>
        <v>0</v>
      </c>
      <c r="AF1078" s="10"/>
      <c r="AG1078" s="10"/>
      <c r="AH1078" s="10"/>
      <c r="AI1078" s="12">
        <f t="shared" si="320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D1079" s="32"/>
      <c r="E1079" s="32"/>
      <c r="F1079" s="32"/>
      <c r="G1079" s="32">
        <f t="shared" si="313"/>
        <v>0</v>
      </c>
      <c r="H1079" s="10"/>
      <c r="I1079" s="10"/>
      <c r="J1079" s="12"/>
      <c r="K1079" s="12">
        <f t="shared" si="314"/>
        <v>0</v>
      </c>
      <c r="M1079" s="10">
        <v>23</v>
      </c>
      <c r="N1079" s="30" t="s">
        <v>97</v>
      </c>
      <c r="O1079" s="31">
        <f t="shared" si="315"/>
        <v>5584</v>
      </c>
      <c r="P1079" s="47">
        <f>614+832</f>
        <v>1446</v>
      </c>
      <c r="Q1079" s="31"/>
      <c r="R1079" s="31"/>
      <c r="S1079" s="32">
        <f t="shared" si="322"/>
        <v>1446</v>
      </c>
      <c r="T1079" s="10"/>
      <c r="U1079" s="10"/>
      <c r="V1079" s="10"/>
      <c r="W1079" s="12">
        <f t="shared" si="323"/>
        <v>1446</v>
      </c>
      <c r="Y1079" s="10">
        <v>23</v>
      </c>
      <c r="Z1079" s="30"/>
      <c r="AA1079" s="31"/>
      <c r="AB1079" s="47"/>
      <c r="AC1079" s="31"/>
      <c r="AE1079" s="32">
        <f t="shared" si="319"/>
        <v>0</v>
      </c>
      <c r="AF1079" s="10"/>
      <c r="AG1079" s="10"/>
      <c r="AH1079" s="10"/>
      <c r="AI1079" s="12">
        <f t="shared" si="320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313"/>
        <v>0</v>
      </c>
      <c r="H1080" s="10"/>
      <c r="I1080" s="10"/>
      <c r="J1080" s="10"/>
      <c r="K1080" s="12">
        <f t="shared" si="314"/>
        <v>0</v>
      </c>
      <c r="M1080" s="10">
        <v>24</v>
      </c>
      <c r="N1080" s="30"/>
      <c r="O1080" s="11" t="s">
        <v>28</v>
      </c>
      <c r="P1080" s="47"/>
      <c r="Q1080" s="31"/>
      <c r="R1080" s="31"/>
      <c r="S1080" s="32">
        <f t="shared" si="322"/>
        <v>0</v>
      </c>
      <c r="T1080" s="10"/>
      <c r="U1080" s="10"/>
      <c r="V1080" s="10"/>
      <c r="W1080" s="12">
        <f t="shared" si="323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319"/>
        <v>0</v>
      </c>
      <c r="AF1080" s="10"/>
      <c r="AG1080" s="10"/>
      <c r="AH1080" s="10"/>
      <c r="AI1080" s="12">
        <f t="shared" si="320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313"/>
        <v>0</v>
      </c>
      <c r="H1081" s="10"/>
      <c r="I1081" s="10"/>
      <c r="J1081" s="10"/>
      <c r="K1081" s="12">
        <f t="shared" si="314"/>
        <v>0</v>
      </c>
      <c r="M1081" s="10">
        <v>25</v>
      </c>
      <c r="N1081" s="30"/>
      <c r="O1081" s="31"/>
      <c r="P1081" s="47"/>
      <c r="Q1081" s="31"/>
      <c r="R1081" s="31"/>
      <c r="S1081" s="32">
        <f t="shared" si="322"/>
        <v>0</v>
      </c>
      <c r="T1081" s="10"/>
      <c r="U1081" s="10"/>
      <c r="V1081" s="10"/>
      <c r="W1081" s="12">
        <f t="shared" si="323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319"/>
        <v>0</v>
      </c>
      <c r="AF1081" s="10"/>
      <c r="AG1081" s="10"/>
      <c r="AH1081" s="10"/>
      <c r="AI1081" s="12">
        <f t="shared" si="320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313"/>
        <v>0</v>
      </c>
      <c r="H1082" s="10"/>
      <c r="I1082" s="10"/>
      <c r="J1082" s="10"/>
      <c r="K1082" s="12">
        <f t="shared" si="314"/>
        <v>0</v>
      </c>
      <c r="M1082" s="10">
        <v>26</v>
      </c>
      <c r="N1082" s="30"/>
      <c r="O1082" s="31"/>
      <c r="P1082" s="47"/>
      <c r="Q1082" s="31"/>
      <c r="R1082" s="31"/>
      <c r="S1082" s="32">
        <f t="shared" si="322"/>
        <v>0</v>
      </c>
      <c r="T1082" s="10"/>
      <c r="U1082" s="10"/>
      <c r="V1082" s="10"/>
      <c r="W1082" s="12">
        <f t="shared" si="323"/>
        <v>0</v>
      </c>
      <c r="Y1082" s="10">
        <v>26</v>
      </c>
      <c r="Z1082" s="30"/>
      <c r="AA1082" s="31"/>
      <c r="AB1082" s="47"/>
      <c r="AC1082" s="31"/>
      <c r="AD1082" s="31"/>
      <c r="AE1082" s="32">
        <f t="shared" si="319"/>
        <v>0</v>
      </c>
      <c r="AF1082" s="10"/>
      <c r="AG1082" s="10"/>
      <c r="AH1082" s="10"/>
      <c r="AI1082" s="12">
        <f t="shared" si="320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313"/>
        <v>0</v>
      </c>
      <c r="H1083" s="10"/>
      <c r="I1083" s="10"/>
      <c r="J1083" s="10"/>
      <c r="K1083" s="12">
        <f t="shared" si="314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322"/>
        <v>0</v>
      </c>
      <c r="T1083" s="10"/>
      <c r="U1083" s="10"/>
      <c r="V1083" s="10"/>
      <c r="W1083" s="12">
        <f t="shared" si="323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319"/>
        <v>0</v>
      </c>
      <c r="AF1083" s="10"/>
      <c r="AG1083" s="10"/>
      <c r="AH1083" s="10"/>
      <c r="AI1083" s="12">
        <f t="shared" si="320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31"/>
      <c r="D1084" s="32"/>
      <c r="E1084" s="32"/>
      <c r="F1084" s="32"/>
      <c r="G1084" s="32">
        <f t="shared" si="313"/>
        <v>0</v>
      </c>
      <c r="H1084" s="10"/>
      <c r="I1084" s="10"/>
      <c r="J1084" s="10"/>
      <c r="K1084" s="12">
        <f t="shared" si="314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322"/>
        <v>0</v>
      </c>
      <c r="T1084" s="10"/>
      <c r="U1084" s="10"/>
      <c r="V1084" s="10"/>
      <c r="W1084" s="12">
        <f t="shared" si="323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319"/>
        <v>0</v>
      </c>
      <c r="AF1084" s="10"/>
      <c r="AG1084" s="10"/>
      <c r="AH1084" s="10"/>
      <c r="AI1084" s="12">
        <f t="shared" si="320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/>
      <c r="H1085" s="10"/>
      <c r="I1085" s="10"/>
      <c r="J1085" s="10"/>
      <c r="K1085" s="12">
        <f t="shared" si="314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322"/>
        <v>0</v>
      </c>
      <c r="T1085" s="10"/>
      <c r="U1085" s="10"/>
      <c r="V1085" s="10"/>
      <c r="W1085" s="12">
        <f t="shared" si="323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319"/>
        <v>0</v>
      </c>
      <c r="AF1085" s="10"/>
      <c r="AG1085" s="10"/>
      <c r="AH1085" s="10"/>
      <c r="AI1085" s="12">
        <f t="shared" si="320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/>
      <c r="H1086" s="10"/>
      <c r="I1086" s="10"/>
      <c r="J1086" s="10"/>
      <c r="K1086" s="12">
        <f t="shared" si="314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322"/>
        <v>0</v>
      </c>
      <c r="T1086" s="10"/>
      <c r="U1086" s="10"/>
      <c r="V1086" s="10"/>
      <c r="W1086" s="12">
        <f t="shared" si="323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319"/>
        <v>0</v>
      </c>
      <c r="AF1086" s="10"/>
      <c r="AG1086" s="10"/>
      <c r="AH1086" s="10"/>
      <c r="AI1086" s="12">
        <f t="shared" si="320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57"/>
      <c r="D1087" s="32"/>
      <c r="E1087" s="32"/>
      <c r="F1087" s="32"/>
      <c r="G1087" s="32"/>
      <c r="H1087" s="10"/>
      <c r="I1087" s="10"/>
      <c r="J1087" s="10"/>
      <c r="K1087" s="12">
        <f t="shared" si="314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322"/>
        <v>0</v>
      </c>
      <c r="T1087" s="10"/>
      <c r="U1087" s="10"/>
      <c r="V1087" s="10"/>
      <c r="W1087" s="12">
        <f t="shared" si="323"/>
        <v>0</v>
      </c>
      <c r="Y1087" s="10">
        <v>31</v>
      </c>
      <c r="Z1087" s="30"/>
      <c r="AB1087" s="47"/>
      <c r="AC1087" s="31"/>
      <c r="AD1087" s="31"/>
      <c r="AE1087" s="32">
        <f t="shared" si="319"/>
        <v>0</v>
      </c>
      <c r="AF1087" s="10"/>
      <c r="AG1087" s="10"/>
      <c r="AH1087" s="10"/>
      <c r="AI1087" s="12">
        <f t="shared" si="320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31"/>
      <c r="D1088" s="32"/>
      <c r="E1088" s="32"/>
      <c r="F1088" s="32"/>
      <c r="G1088" s="32"/>
      <c r="H1088" s="10"/>
      <c r="I1088" s="10"/>
      <c r="J1088" s="10"/>
      <c r="K1088" s="12">
        <f t="shared" si="314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322"/>
        <v>0</v>
      </c>
      <c r="T1088" s="10"/>
      <c r="U1088" s="10"/>
      <c r="V1088" s="10"/>
      <c r="W1088" s="12">
        <f t="shared" si="323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319"/>
        <v>0</v>
      </c>
      <c r="AF1088" s="10"/>
      <c r="AG1088" s="10"/>
      <c r="AH1088" s="10"/>
      <c r="AI1088" s="12">
        <f t="shared" si="320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/>
      <c r="H1089" s="10"/>
      <c r="I1089" s="10"/>
      <c r="J1089" s="10"/>
      <c r="K1089" s="12">
        <f t="shared" si="314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322"/>
        <v>0</v>
      </c>
      <c r="T1089" s="10"/>
      <c r="U1089" s="10"/>
      <c r="V1089" s="10"/>
      <c r="W1089" s="12">
        <f t="shared" si="323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319"/>
        <v>0</v>
      </c>
      <c r="AF1089" s="10"/>
      <c r="AG1089" s="10"/>
      <c r="AH1089" s="10"/>
      <c r="AI1089" s="12">
        <f t="shared" si="320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57"/>
      <c r="D1090" s="32"/>
      <c r="E1090" s="32"/>
      <c r="F1090" s="32"/>
      <c r="G1090" s="32">
        <f t="shared" ref="G1090" si="324">SUM(D1090:E1090)</f>
        <v>0</v>
      </c>
      <c r="H1090" s="10"/>
      <c r="I1090" s="10"/>
      <c r="J1090" s="10"/>
      <c r="K1090" s="12">
        <f t="shared" si="314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322"/>
        <v>0</v>
      </c>
      <c r="T1090" s="10"/>
      <c r="U1090" s="10"/>
      <c r="V1090" s="10"/>
      <c r="W1090" s="12">
        <f t="shared" si="323"/>
        <v>0</v>
      </c>
      <c r="Y1090" s="10">
        <v>34</v>
      </c>
      <c r="Z1090" s="30"/>
      <c r="AB1090" s="47"/>
      <c r="AC1090" s="31"/>
      <c r="AD1090" s="31"/>
      <c r="AE1090" s="32">
        <f t="shared" si="319"/>
        <v>0</v>
      </c>
      <c r="AF1090" s="10"/>
      <c r="AG1090" s="10"/>
      <c r="AH1090" s="10"/>
      <c r="AI1090" s="12">
        <f t="shared" si="320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3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322"/>
        <v>0</v>
      </c>
      <c r="T1091" s="10"/>
      <c r="U1091" s="10"/>
      <c r="V1091" s="10"/>
      <c r="W1091" s="12">
        <f t="shared" si="323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319"/>
        <v>0</v>
      </c>
      <c r="AF1091" s="10"/>
      <c r="AG1091" s="10"/>
      <c r="AH1091" s="10"/>
      <c r="AI1091" s="12">
        <f t="shared" si="320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322"/>
        <v>0</v>
      </c>
      <c r="T1092" s="10"/>
      <c r="U1092" s="10"/>
      <c r="V1092" s="10"/>
      <c r="W1092" s="12">
        <f t="shared" si="323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319"/>
        <v>0</v>
      </c>
      <c r="AF1092" s="10"/>
      <c r="AG1092" s="10"/>
      <c r="AH1092" s="10"/>
      <c r="AI1092" s="12">
        <f t="shared" si="320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322"/>
        <v>0</v>
      </c>
      <c r="T1093" s="10"/>
      <c r="U1093" s="10"/>
      <c r="V1093" s="10"/>
      <c r="W1093" s="12">
        <f t="shared" si="323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319"/>
        <v>0</v>
      </c>
      <c r="AF1093" s="10"/>
      <c r="AG1093" s="10"/>
      <c r="AH1093" s="10"/>
      <c r="AI1093" s="12">
        <f t="shared" si="320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322"/>
        <v>0</v>
      </c>
      <c r="T1094" s="10"/>
      <c r="U1094" s="10"/>
      <c r="V1094" s="10"/>
      <c r="W1094" s="12">
        <f t="shared" si="323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319"/>
        <v>0</v>
      </c>
      <c r="AF1094" s="10"/>
      <c r="AG1094" s="10"/>
      <c r="AH1094" s="10"/>
      <c r="AI1094" s="12">
        <f t="shared" si="320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57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322"/>
        <v>0</v>
      </c>
      <c r="T1095" s="10"/>
      <c r="U1095" s="10"/>
      <c r="V1095" s="10"/>
      <c r="W1095" s="12">
        <f t="shared" si="323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319"/>
        <v>0</v>
      </c>
      <c r="AF1095" s="10"/>
      <c r="AG1095" s="10"/>
      <c r="AH1095" s="10"/>
      <c r="AI1095" s="12">
        <f t="shared" si="320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323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320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325">SUM(D1097:E1097)</f>
        <v>0</v>
      </c>
      <c r="H1097" s="10"/>
      <c r="I1097" s="10"/>
      <c r="J1097" s="10"/>
      <c r="K1097" s="12">
        <f t="shared" ref="K1097" si="326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327">SUM(P1097:Q1097)</f>
        <v>0</v>
      </c>
      <c r="T1097" s="10"/>
      <c r="U1097" s="10"/>
      <c r="V1097" s="10"/>
      <c r="W1097" s="12">
        <f t="shared" si="323"/>
        <v>0</v>
      </c>
      <c r="Y1097" s="10"/>
      <c r="Z1097" s="30"/>
      <c r="AA1097" s="31"/>
      <c r="AB1097" s="47"/>
      <c r="AC1097" s="31"/>
      <c r="AD1097" s="31"/>
      <c r="AE1097" s="32">
        <f t="shared" ref="AE1097" si="328">SUM(AB1097:AC1097)</f>
        <v>0</v>
      </c>
      <c r="AF1097" s="10"/>
      <c r="AG1097" s="10"/>
      <c r="AH1097" s="10"/>
      <c r="AI1097" s="12">
        <f t="shared" si="320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323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320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135833</v>
      </c>
      <c r="E1100" s="38">
        <f t="shared" ref="E1100:F1100" si="329">SUM(E1057:E1097)</f>
        <v>0</v>
      </c>
      <c r="F1100" s="38">
        <f t="shared" si="329"/>
        <v>0</v>
      </c>
      <c r="G1100" s="38">
        <f>SUM(G1057:G1099)</f>
        <v>135833</v>
      </c>
      <c r="H1100" s="4"/>
      <c r="I1100" s="39">
        <f>SUM(I1057:I1099)</f>
        <v>323</v>
      </c>
      <c r="J1100" s="39">
        <f>SUM(J1057:J1099)</f>
        <v>0</v>
      </c>
      <c r="K1100" s="40">
        <f>SUM(K1057:K1099)</f>
        <v>136156</v>
      </c>
      <c r="N1100" s="57"/>
      <c r="O1100" s="57"/>
      <c r="P1100" s="38">
        <f>SUM(P1057:P1099)</f>
        <v>112072.5</v>
      </c>
      <c r="Q1100" s="38">
        <f>SUM(Q1057:Q1081)</f>
        <v>0</v>
      </c>
      <c r="R1100" s="38">
        <f>SUM(R1057:R1081)</f>
        <v>0</v>
      </c>
      <c r="S1100" s="38">
        <f>SUM(S1057:S1099)</f>
        <v>112072.5</v>
      </c>
      <c r="T1100" s="4"/>
      <c r="U1100" s="41">
        <f>SUM(U1057:U1099)</f>
        <v>278.25</v>
      </c>
      <c r="V1100" s="41">
        <f>SUM(V1057:V1081)</f>
        <v>-555</v>
      </c>
      <c r="W1100" s="42">
        <f>SUM(W1057:W1099)</f>
        <v>111795.75</v>
      </c>
      <c r="Z1100" s="57"/>
      <c r="AA1100" s="57"/>
      <c r="AB1100" s="38">
        <f>SUM(AB1057:AB1099)</f>
        <v>324078</v>
      </c>
      <c r="AC1100" s="38">
        <f>SUM(AC1057:AC1081)</f>
        <v>-2880</v>
      </c>
      <c r="AD1100" s="38">
        <f>SUM(AD1057:AD1081)</f>
        <v>0</v>
      </c>
      <c r="AE1100" s="38">
        <f>SUM(AE1057:AE1099)</f>
        <v>321198</v>
      </c>
      <c r="AF1100" s="4"/>
      <c r="AG1100" s="41">
        <f>SUM(AG1057:AG1099)</f>
        <v>777</v>
      </c>
      <c r="AH1100" s="41">
        <f>SUM(AH1057:AH1081)</f>
        <v>-14562</v>
      </c>
      <c r="AI1100" s="42">
        <f>SUM(AI1057:AI1099)</f>
        <v>307413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t="s">
        <v>0</v>
      </c>
      <c r="B1102" s="57"/>
      <c r="C1102" s="57"/>
      <c r="D1102" s="57"/>
      <c r="E1102" s="57"/>
      <c r="G1102" s="57"/>
      <c r="M1102" t="s">
        <v>0</v>
      </c>
      <c r="N1102" s="57"/>
      <c r="O1102" s="57"/>
      <c r="P1102" s="57"/>
      <c r="Q1102" s="57"/>
      <c r="R1102" s="57"/>
      <c r="S1102" s="57"/>
      <c r="Y1102" t="s">
        <v>0</v>
      </c>
      <c r="Z1102" s="57"/>
      <c r="AA1102" s="57"/>
      <c r="AB1102" s="57"/>
      <c r="AC1102" s="57"/>
      <c r="AD1102" s="57"/>
      <c r="AE1102" s="57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t="s">
        <v>29</v>
      </c>
      <c r="B1103" s="57"/>
      <c r="C1103" s="57"/>
      <c r="D1103" s="57"/>
      <c r="E1103" s="57"/>
      <c r="G1103" s="57"/>
      <c r="M1103" t="s">
        <v>29</v>
      </c>
      <c r="N1103" s="57"/>
      <c r="O1103" s="57"/>
      <c r="P1103" s="57"/>
      <c r="Q1103" s="57"/>
      <c r="R1103" s="57"/>
      <c r="S1103" s="57"/>
      <c r="Y1103" t="s">
        <v>29</v>
      </c>
      <c r="Z1103" s="57"/>
      <c r="AA1103" s="57"/>
      <c r="AB1103" s="57"/>
      <c r="AC1103" s="57"/>
      <c r="AD1103" s="57"/>
      <c r="AE1103" s="57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B1104" s="57"/>
      <c r="C1104" s="57"/>
      <c r="D1104" s="57"/>
      <c r="E1104" s="57"/>
      <c r="G1104" s="57"/>
      <c r="N1104" s="57"/>
      <c r="O1104" s="57"/>
      <c r="P1104" s="57"/>
      <c r="Q1104" s="57"/>
      <c r="R1104" s="57"/>
      <c r="S1104" s="57"/>
      <c r="Z1104" s="57"/>
      <c r="AA1104" s="57"/>
      <c r="AB1104" s="57"/>
      <c r="AC1104" s="57"/>
      <c r="AD1104" s="57"/>
      <c r="AE1104" s="57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4" t="s">
        <v>15</v>
      </c>
      <c r="B1105" s="57"/>
      <c r="C1105" s="57"/>
      <c r="D1105" s="57"/>
      <c r="E1105" s="57"/>
      <c r="G1105" s="57"/>
      <c r="M1105" s="4" t="s">
        <v>15</v>
      </c>
      <c r="N1105" s="57"/>
      <c r="O1105" s="57"/>
      <c r="P1105" s="57"/>
      <c r="Q1105" s="57"/>
      <c r="R1105" s="57"/>
      <c r="S1105" s="57"/>
      <c r="Y1105" s="4" t="s">
        <v>15</v>
      </c>
      <c r="Z1105" s="57"/>
      <c r="AA1105" s="57"/>
      <c r="AB1105" s="57"/>
      <c r="AC1105" s="57"/>
      <c r="AD1105" s="57"/>
      <c r="AE1105" s="57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B1106" s="57"/>
      <c r="C1106" s="57"/>
      <c r="D1106" s="57"/>
      <c r="E1106" s="57"/>
      <c r="G1106" s="57"/>
      <c r="N1106" s="57"/>
      <c r="O1106" s="57"/>
      <c r="P1106" s="57"/>
      <c r="Q1106" s="57"/>
      <c r="R1106" s="57"/>
      <c r="S1106" s="57"/>
      <c r="Z1106" s="57"/>
      <c r="AA1106" s="57"/>
      <c r="AB1106" s="57"/>
      <c r="AC1106" s="57"/>
      <c r="AD1106" s="57"/>
      <c r="AE1106" s="57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t="s">
        <v>50</v>
      </c>
      <c r="B1107" s="57"/>
      <c r="C1107" s="57"/>
      <c r="D1107" s="57"/>
      <c r="E1107" s="57"/>
      <c r="G1107" s="57"/>
      <c r="I1107" s="57" t="s">
        <v>16</v>
      </c>
      <c r="J1107" s="19">
        <v>1</v>
      </c>
      <c r="M1107" t="s">
        <v>50</v>
      </c>
      <c r="N1107" s="57"/>
      <c r="O1107" s="57"/>
      <c r="P1107" s="57"/>
      <c r="Q1107" s="57"/>
      <c r="R1107" s="57"/>
      <c r="S1107" s="57"/>
      <c r="U1107" s="57" t="s">
        <v>16</v>
      </c>
      <c r="V1107" s="19">
        <v>2</v>
      </c>
      <c r="Y1107" t="s">
        <v>50</v>
      </c>
      <c r="Z1107" s="57"/>
      <c r="AA1107" s="57"/>
      <c r="AB1107" s="57"/>
      <c r="AC1107" s="57"/>
      <c r="AD1107" s="57"/>
      <c r="AE1107" s="57"/>
      <c r="AG1107" s="57" t="s">
        <v>16</v>
      </c>
      <c r="AH1107" s="20" t="s">
        <v>91</v>
      </c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21" t="s">
        <v>99</v>
      </c>
      <c r="B1108" s="20"/>
      <c r="C1108" s="57"/>
      <c r="D1108" s="57"/>
      <c r="E1108" s="57"/>
      <c r="G1108" s="57"/>
      <c r="I1108" s="22" t="s">
        <v>17</v>
      </c>
      <c r="J1108" s="23" t="s">
        <v>33</v>
      </c>
      <c r="K1108" s="24"/>
      <c r="M1108" s="21" t="s">
        <v>99</v>
      </c>
      <c r="N1108" s="20"/>
      <c r="O1108" s="57"/>
      <c r="P1108" s="57"/>
      <c r="Q1108" s="57"/>
      <c r="R1108" s="57"/>
      <c r="S1108" s="57"/>
      <c r="U1108" s="22" t="s">
        <v>17</v>
      </c>
      <c r="V1108" s="23" t="s">
        <v>34</v>
      </c>
      <c r="W1108" s="24"/>
      <c r="Y1108" s="21" t="s">
        <v>99</v>
      </c>
      <c r="Z1108" s="20"/>
      <c r="AA1108" s="57"/>
      <c r="AB1108" s="57"/>
      <c r="AC1108" s="57"/>
      <c r="AD1108" s="57"/>
      <c r="AE1108" s="57"/>
      <c r="AG1108" s="22" t="s">
        <v>17</v>
      </c>
      <c r="AH1108" s="23" t="s">
        <v>90</v>
      </c>
      <c r="AI1108" s="24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B1109" s="57"/>
      <c r="C1109" s="57"/>
      <c r="D1109" s="57"/>
      <c r="E1109" s="57"/>
      <c r="G1109" s="57"/>
      <c r="N1109" s="57"/>
      <c r="O1109" s="57"/>
      <c r="P1109" s="57"/>
      <c r="Q1109" s="57"/>
      <c r="R1109" s="57"/>
      <c r="S1109" s="57"/>
      <c r="Z1109" s="57"/>
      <c r="AA1109" s="57"/>
      <c r="AB1109" s="57"/>
      <c r="AC1109" s="57"/>
      <c r="AD1109" s="57"/>
      <c r="AE1109" s="57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B1110" s="25"/>
      <c r="C1110" s="26"/>
      <c r="D1110" s="133" t="s">
        <v>18</v>
      </c>
      <c r="E1110" s="133"/>
      <c r="F1110" s="122"/>
      <c r="G1110" s="27"/>
      <c r="I1110" s="131" t="s">
        <v>19</v>
      </c>
      <c r="J1110" s="132"/>
      <c r="K1110" s="129" t="s">
        <v>20</v>
      </c>
      <c r="N1110" s="25"/>
      <c r="O1110" s="26"/>
      <c r="P1110" s="133" t="s">
        <v>18</v>
      </c>
      <c r="Q1110" s="133"/>
      <c r="R1110" s="122"/>
      <c r="S1110" s="27"/>
      <c r="U1110" s="131" t="s">
        <v>19</v>
      </c>
      <c r="V1110" s="132"/>
      <c r="W1110" s="129" t="s">
        <v>20</v>
      </c>
      <c r="Z1110" s="25"/>
      <c r="AA1110" s="26"/>
      <c r="AB1110" s="133" t="s">
        <v>18</v>
      </c>
      <c r="AC1110" s="133"/>
      <c r="AD1110" s="122"/>
      <c r="AE1110" s="27"/>
      <c r="AG1110" s="131" t="s">
        <v>19</v>
      </c>
      <c r="AH1110" s="132"/>
      <c r="AI1110" s="129" t="s">
        <v>20</v>
      </c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ht="30" x14ac:dyDescent="0.25">
      <c r="B1111" s="28" t="s">
        <v>21</v>
      </c>
      <c r="C1111" s="28" t="s">
        <v>22</v>
      </c>
      <c r="D1111" s="83" t="s">
        <v>23</v>
      </c>
      <c r="E1111" s="82" t="s">
        <v>24</v>
      </c>
      <c r="F1111" s="84" t="s">
        <v>36</v>
      </c>
      <c r="G1111" s="84" t="s">
        <v>25</v>
      </c>
      <c r="I1111" s="29" t="s">
        <v>26</v>
      </c>
      <c r="J1111" s="29" t="s">
        <v>27</v>
      </c>
      <c r="K1111" s="130"/>
      <c r="N1111" s="28" t="s">
        <v>21</v>
      </c>
      <c r="O1111" s="28" t="s">
        <v>22</v>
      </c>
      <c r="P1111" s="83" t="s">
        <v>23</v>
      </c>
      <c r="Q1111" s="84" t="s">
        <v>24</v>
      </c>
      <c r="R1111" s="84" t="s">
        <v>36</v>
      </c>
      <c r="S1111" s="84" t="s">
        <v>25</v>
      </c>
      <c r="U1111" s="29" t="s">
        <v>26</v>
      </c>
      <c r="V1111" s="29" t="s">
        <v>27</v>
      </c>
      <c r="W1111" s="130"/>
      <c r="Z1111" s="28" t="s">
        <v>21</v>
      </c>
      <c r="AA1111" s="28" t="s">
        <v>22</v>
      </c>
      <c r="AB1111" s="83" t="s">
        <v>23</v>
      </c>
      <c r="AC1111" s="84" t="s">
        <v>24</v>
      </c>
      <c r="AD1111" s="84" t="s">
        <v>36</v>
      </c>
      <c r="AE1111" s="84" t="s">
        <v>25</v>
      </c>
      <c r="AG1111" s="29" t="s">
        <v>26</v>
      </c>
      <c r="AH1111" s="29" t="s">
        <v>27</v>
      </c>
      <c r="AI1111" s="130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10">
        <v>1</v>
      </c>
      <c r="B1112" s="30" t="s">
        <v>100</v>
      </c>
      <c r="C1112" s="31">
        <v>5537</v>
      </c>
      <c r="D1112" s="32">
        <f>3130+48</f>
        <v>3178</v>
      </c>
      <c r="E1112" s="32"/>
      <c r="F1112" s="32"/>
      <c r="G1112" s="32">
        <f t="shared" ref="G1112:G1139" si="330">SUM(D1112:E1112)</f>
        <v>3178</v>
      </c>
      <c r="H1112" s="12"/>
      <c r="I1112" s="12"/>
      <c r="J1112" s="12"/>
      <c r="K1112" s="12">
        <f t="shared" ref="K1112:K1145" si="331">SUM(G1112:J1112)</f>
        <v>3178</v>
      </c>
      <c r="M1112" s="10">
        <v>1</v>
      </c>
      <c r="N1112" s="30" t="s">
        <v>100</v>
      </c>
      <c r="O1112" s="31">
        <v>5585</v>
      </c>
      <c r="P1112" s="32">
        <f>156500+3684+29800+4580</f>
        <v>194564</v>
      </c>
      <c r="Q1112" s="32">
        <v>-2844</v>
      </c>
      <c r="R1112" s="32"/>
      <c r="S1112" s="32">
        <f>SUM(P1112:Q1112)</f>
        <v>191720</v>
      </c>
      <c r="T1112" s="12"/>
      <c r="U1112" s="12">
        <f>468+252</f>
        <v>720</v>
      </c>
      <c r="V1112" s="12">
        <v>-2553</v>
      </c>
      <c r="W1112" s="12">
        <f>SUM(S1112:V1112)</f>
        <v>189887</v>
      </c>
      <c r="Y1112" s="10">
        <v>1</v>
      </c>
      <c r="Z1112" s="30" t="s">
        <v>100</v>
      </c>
      <c r="AA1112" s="31">
        <v>5417</v>
      </c>
      <c r="AB1112" s="32">
        <f>8138+614+674+2980+229</f>
        <v>12635</v>
      </c>
      <c r="AC1112" s="32"/>
      <c r="AD1112" s="32"/>
      <c r="AE1112" s="32">
        <f>SUM(AB1112:AC1112)</f>
        <v>12635</v>
      </c>
      <c r="AF1112" s="12"/>
      <c r="AG1112" s="12">
        <v>19</v>
      </c>
      <c r="AH1112" s="12"/>
      <c r="AI1112" s="12">
        <f>SUM(AE1112:AH1112)</f>
        <v>12654</v>
      </c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10">
        <v>2</v>
      </c>
      <c r="B1113" s="30" t="s">
        <v>100</v>
      </c>
      <c r="C1113" s="31">
        <f>C1112+1</f>
        <v>5538</v>
      </c>
      <c r="D1113" s="32">
        <f>1252+19</f>
        <v>1271</v>
      </c>
      <c r="E1113" s="32"/>
      <c r="F1113" s="32"/>
      <c r="G1113" s="32">
        <f t="shared" si="330"/>
        <v>1271</v>
      </c>
      <c r="H1113" s="12"/>
      <c r="I1113" s="12"/>
      <c r="J1113" s="12"/>
      <c r="K1113" s="12">
        <f t="shared" si="331"/>
        <v>1271</v>
      </c>
      <c r="M1113" s="10">
        <v>2</v>
      </c>
      <c r="N1113" s="30" t="s">
        <v>100</v>
      </c>
      <c r="O1113" s="31">
        <f t="shared" ref="O1113" si="332">O1112+1</f>
        <v>5586</v>
      </c>
      <c r="P1113" s="32"/>
      <c r="Q1113" s="32"/>
      <c r="R1113" s="32"/>
      <c r="S1113" s="32">
        <f t="shared" ref="S1113:S1126" si="333">SUM(P1113:Q1113)</f>
        <v>0</v>
      </c>
      <c r="T1113" s="12"/>
      <c r="U1113" s="12"/>
      <c r="V1113" s="12">
        <f>-94572+-312</f>
        <v>-94884</v>
      </c>
      <c r="W1113" s="12">
        <f t="shared" ref="W1113:W1126" si="334">SUM(S1113:V1113)</f>
        <v>-94884</v>
      </c>
      <c r="Y1113" s="10">
        <v>2</v>
      </c>
      <c r="Z1113" s="30" t="s">
        <v>100</v>
      </c>
      <c r="AA1113" s="31">
        <f t="shared" ref="AA1113:AA1118" si="335">AA1112+1</f>
        <v>5418</v>
      </c>
      <c r="AB1113" s="32">
        <f>12520+229</f>
        <v>12749</v>
      </c>
      <c r="AC1113" s="32"/>
      <c r="AD1113" s="32"/>
      <c r="AE1113" s="32">
        <f t="shared" ref="AE1113:AE1150" si="336">SUM(AB1113:AC1113)</f>
        <v>12749</v>
      </c>
      <c r="AF1113" s="12"/>
      <c r="AG1113" s="12"/>
      <c r="AH1113" s="12"/>
      <c r="AI1113" s="12">
        <f t="shared" ref="AI1113:AI1153" si="337">SUM(AE1113:AH1113)</f>
        <v>12749</v>
      </c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10">
        <v>3</v>
      </c>
      <c r="B1114" s="30" t="s">
        <v>100</v>
      </c>
      <c r="C1114" s="31">
        <f t="shared" ref="C1114:C1123" si="338">C1113+1</f>
        <v>5539</v>
      </c>
      <c r="D1114" s="33">
        <f>7512+1788+143</f>
        <v>9443</v>
      </c>
      <c r="E1114" s="33"/>
      <c r="F1114" s="33"/>
      <c r="G1114" s="33">
        <f t="shared" si="330"/>
        <v>9443</v>
      </c>
      <c r="H1114" s="34"/>
      <c r="I1114" s="34"/>
      <c r="J1114" s="34"/>
      <c r="K1114" s="34">
        <f t="shared" si="331"/>
        <v>9443</v>
      </c>
      <c r="M1114" s="10">
        <v>3</v>
      </c>
      <c r="N1114" s="30"/>
      <c r="O1114" s="11" t="s">
        <v>28</v>
      </c>
      <c r="P1114" s="32"/>
      <c r="Q1114" s="32"/>
      <c r="R1114" s="32"/>
      <c r="S1114" s="32">
        <f t="shared" si="333"/>
        <v>0</v>
      </c>
      <c r="T1114" s="12"/>
      <c r="U1114" s="12"/>
      <c r="V1114" s="12"/>
      <c r="W1114" s="12">
        <f t="shared" si="334"/>
        <v>0</v>
      </c>
      <c r="Y1114" s="10">
        <v>3</v>
      </c>
      <c r="Z1114" s="30" t="s">
        <v>100</v>
      </c>
      <c r="AA1114" s="31">
        <f t="shared" si="335"/>
        <v>5419</v>
      </c>
      <c r="AB1114" s="33">
        <f>4260+5025</f>
        <v>9285</v>
      </c>
      <c r="AC1114" s="33"/>
      <c r="AD1114" s="32"/>
      <c r="AE1114" s="32">
        <f t="shared" si="336"/>
        <v>9285</v>
      </c>
      <c r="AF1114" s="12"/>
      <c r="AG1114" s="12"/>
      <c r="AH1114" s="12"/>
      <c r="AI1114" s="12">
        <f t="shared" si="337"/>
        <v>9285</v>
      </c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10">
        <v>4</v>
      </c>
      <c r="B1115" s="30" t="s">
        <v>100</v>
      </c>
      <c r="C1115" s="31">
        <f t="shared" si="338"/>
        <v>5540</v>
      </c>
      <c r="D1115" s="32">
        <f>626*8+596*4+1175+1175+114+1300</f>
        <v>11156</v>
      </c>
      <c r="E1115" s="32"/>
      <c r="F1115" s="32"/>
      <c r="G1115" s="32">
        <f t="shared" si="330"/>
        <v>11156</v>
      </c>
      <c r="H1115" s="12"/>
      <c r="I1115" s="12"/>
      <c r="J1115" s="12"/>
      <c r="K1115" s="12">
        <f t="shared" si="331"/>
        <v>11156</v>
      </c>
      <c r="M1115" s="10">
        <v>4</v>
      </c>
      <c r="N1115" s="30"/>
      <c r="O1115" s="31"/>
      <c r="P1115" s="32"/>
      <c r="Q1115" s="32"/>
      <c r="R1115" s="32"/>
      <c r="S1115" s="32">
        <f t="shared" si="333"/>
        <v>0</v>
      </c>
      <c r="T1115" s="12"/>
      <c r="U1115" s="12"/>
      <c r="V1115" s="12"/>
      <c r="W1115" s="12">
        <f t="shared" si="334"/>
        <v>0</v>
      </c>
      <c r="Y1115" s="10">
        <v>4</v>
      </c>
      <c r="Z1115" s="30" t="s">
        <v>100</v>
      </c>
      <c r="AA1115" s="31">
        <f t="shared" si="335"/>
        <v>5420</v>
      </c>
      <c r="AB1115" s="32">
        <f>31300+1228+1788+458</f>
        <v>34774</v>
      </c>
      <c r="AC1115" s="32">
        <v>-342</v>
      </c>
      <c r="AD1115" s="32"/>
      <c r="AE1115" s="32">
        <f t="shared" si="336"/>
        <v>34432</v>
      </c>
      <c r="AF1115" s="12"/>
      <c r="AH1115" s="12"/>
      <c r="AI1115" s="12">
        <f t="shared" si="337"/>
        <v>34432</v>
      </c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10">
        <v>5</v>
      </c>
      <c r="B1116" s="30" t="s">
        <v>100</v>
      </c>
      <c r="C1116" s="31">
        <f t="shared" si="338"/>
        <v>5541</v>
      </c>
      <c r="D1116" s="32">
        <f>626+10</f>
        <v>636</v>
      </c>
      <c r="E1116" s="32"/>
      <c r="F1116" s="32"/>
      <c r="G1116" s="32">
        <f t="shared" si="330"/>
        <v>636</v>
      </c>
      <c r="H1116" s="12"/>
      <c r="I1116" s="12"/>
      <c r="J1116" s="12"/>
      <c r="K1116" s="12">
        <f t="shared" si="331"/>
        <v>636</v>
      </c>
      <c r="M1116" s="10">
        <v>5</v>
      </c>
      <c r="N1116" s="30"/>
      <c r="O1116" s="31"/>
      <c r="P1116" s="32"/>
      <c r="Q1116" s="32"/>
      <c r="R1116" s="32"/>
      <c r="S1116" s="32">
        <f t="shared" si="333"/>
        <v>0</v>
      </c>
      <c r="T1116" s="12"/>
      <c r="U1116" s="12"/>
      <c r="V1116" s="12"/>
      <c r="W1116" s="12">
        <f t="shared" si="334"/>
        <v>0</v>
      </c>
      <c r="Y1116" s="10">
        <v>5</v>
      </c>
      <c r="Z1116" s="30" t="s">
        <v>100</v>
      </c>
      <c r="AA1116" s="31">
        <f t="shared" si="335"/>
        <v>5421</v>
      </c>
      <c r="AB1116" s="32">
        <f>626*18+1842+229</f>
        <v>13339</v>
      </c>
      <c r="AC1116" s="32"/>
      <c r="AD1116" s="32"/>
      <c r="AE1116" s="32">
        <f t="shared" si="336"/>
        <v>13339</v>
      </c>
      <c r="AF1116" s="12"/>
      <c r="AG1116" s="12"/>
      <c r="AH1116" s="12"/>
      <c r="AI1116" s="12">
        <f t="shared" si="337"/>
        <v>13339</v>
      </c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10">
        <v>6</v>
      </c>
      <c r="B1117" s="30" t="s">
        <v>100</v>
      </c>
      <c r="C1117" s="31">
        <f t="shared" si="338"/>
        <v>5542</v>
      </c>
      <c r="D1117" s="32">
        <f>1252+19</f>
        <v>1271</v>
      </c>
      <c r="E1117" s="32"/>
      <c r="F1117" s="32"/>
      <c r="G1117" s="32">
        <f t="shared" si="330"/>
        <v>1271</v>
      </c>
      <c r="H1117" s="12"/>
      <c r="I1117" s="12"/>
      <c r="J1117" s="12"/>
      <c r="K1117" s="12">
        <f t="shared" si="331"/>
        <v>1271</v>
      </c>
      <c r="M1117" s="10">
        <v>6</v>
      </c>
      <c r="N1117" s="30"/>
      <c r="O1117" s="31"/>
      <c r="P1117" s="32"/>
      <c r="Q1117" s="32"/>
      <c r="R1117" s="32"/>
      <c r="S1117" s="32">
        <f t="shared" si="333"/>
        <v>0</v>
      </c>
      <c r="T1117" s="12"/>
      <c r="U1117" s="12"/>
      <c r="V1117" s="10"/>
      <c r="W1117" s="12">
        <f t="shared" si="334"/>
        <v>0</v>
      </c>
      <c r="Y1117" s="10">
        <v>6</v>
      </c>
      <c r="Z1117" s="30" t="s">
        <v>100</v>
      </c>
      <c r="AA1117" s="31">
        <f t="shared" si="335"/>
        <v>5422</v>
      </c>
      <c r="AB1117" s="32">
        <f>25040+4298+458</f>
        <v>29796</v>
      </c>
      <c r="AC1117" s="32"/>
      <c r="AD1117" s="32"/>
      <c r="AE1117" s="32">
        <f t="shared" si="336"/>
        <v>29796</v>
      </c>
      <c r="AF1117" s="12"/>
      <c r="AG1117" s="12"/>
      <c r="AH1117" s="10"/>
      <c r="AI1117" s="12">
        <f t="shared" si="337"/>
        <v>29796</v>
      </c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10">
        <v>7</v>
      </c>
      <c r="B1118" s="30" t="s">
        <v>100</v>
      </c>
      <c r="C1118" s="31">
        <f t="shared" si="338"/>
        <v>5543</v>
      </c>
      <c r="D1118" s="32">
        <f>2504+38</f>
        <v>2542</v>
      </c>
      <c r="E1118" s="32"/>
      <c r="F1118" s="32"/>
      <c r="G1118" s="32">
        <f t="shared" si="330"/>
        <v>2542</v>
      </c>
      <c r="H1118" s="12"/>
      <c r="I1118" s="12"/>
      <c r="J1118" s="12"/>
      <c r="K1118" s="12">
        <f t="shared" si="331"/>
        <v>2542</v>
      </c>
      <c r="M1118" s="10">
        <v>7</v>
      </c>
      <c r="N1118" s="30"/>
      <c r="O1118" s="31"/>
      <c r="P1118" s="32"/>
      <c r="Q1118" s="32"/>
      <c r="R1118" s="32"/>
      <c r="S1118" s="32">
        <f t="shared" si="333"/>
        <v>0</v>
      </c>
      <c r="T1118" s="12"/>
      <c r="U1118" s="12"/>
      <c r="V1118" s="12"/>
      <c r="W1118" s="12">
        <f t="shared" si="334"/>
        <v>0</v>
      </c>
      <c r="Y1118" s="10">
        <v>7</v>
      </c>
      <c r="Z1118" s="30" t="s">
        <v>100</v>
      </c>
      <c r="AA1118" s="31">
        <f t="shared" si="335"/>
        <v>5423</v>
      </c>
      <c r="AB1118" s="32">
        <f>15650+4172+1704+2010+458+1000</f>
        <v>24994</v>
      </c>
      <c r="AC1118" s="32"/>
      <c r="AD1118" s="32"/>
      <c r="AE1118" s="32">
        <f t="shared" si="336"/>
        <v>24994</v>
      </c>
      <c r="AF1118" s="12"/>
      <c r="AG1118" s="58"/>
      <c r="AH1118" s="12"/>
      <c r="AI1118" s="12">
        <f t="shared" si="337"/>
        <v>24994</v>
      </c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10">
        <v>8</v>
      </c>
      <c r="B1119" s="30" t="s">
        <v>100</v>
      </c>
      <c r="C1119" s="31">
        <f t="shared" si="338"/>
        <v>5544</v>
      </c>
      <c r="D1119" s="32">
        <f>1252+19</f>
        <v>1271</v>
      </c>
      <c r="E1119" s="32"/>
      <c r="F1119" s="32"/>
      <c r="G1119" s="32">
        <f t="shared" si="330"/>
        <v>1271</v>
      </c>
      <c r="H1119" s="12"/>
      <c r="I1119" s="12"/>
      <c r="J1119" s="12"/>
      <c r="K1119" s="12">
        <f t="shared" si="331"/>
        <v>1271</v>
      </c>
      <c r="M1119" s="10">
        <v>8</v>
      </c>
      <c r="N1119" s="30"/>
      <c r="O1119" s="31"/>
      <c r="P1119" s="32"/>
      <c r="Q1119" s="32"/>
      <c r="R1119" s="32"/>
      <c r="S1119" s="32">
        <f t="shared" si="333"/>
        <v>0</v>
      </c>
      <c r="T1119" s="12"/>
      <c r="U1119" s="12"/>
      <c r="V1119" s="12"/>
      <c r="W1119" s="12">
        <f t="shared" si="334"/>
        <v>0</v>
      </c>
      <c r="Y1119" s="10">
        <v>8</v>
      </c>
      <c r="Z1119" s="30"/>
      <c r="AA1119" s="11" t="s">
        <v>28</v>
      </c>
      <c r="AB1119" s="32"/>
      <c r="AC1119" s="32"/>
      <c r="AE1119" s="32">
        <f t="shared" si="336"/>
        <v>0</v>
      </c>
      <c r="AF1119" s="12"/>
      <c r="AG1119" s="12"/>
      <c r="AH1119" s="12"/>
      <c r="AI1119" s="12">
        <f t="shared" si="337"/>
        <v>0</v>
      </c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10">
        <v>9</v>
      </c>
      <c r="B1120" s="30" t="s">
        <v>100</v>
      </c>
      <c r="C1120" s="31">
        <f t="shared" si="338"/>
        <v>5545</v>
      </c>
      <c r="D1120" s="32">
        <f>1878+29</f>
        <v>1907</v>
      </c>
      <c r="E1120" s="32"/>
      <c r="F1120" s="32"/>
      <c r="G1120" s="32">
        <f t="shared" si="330"/>
        <v>1907</v>
      </c>
      <c r="H1120" s="12"/>
      <c r="I1120" s="12"/>
      <c r="J1120" s="12"/>
      <c r="K1120" s="12">
        <f t="shared" si="331"/>
        <v>1907</v>
      </c>
      <c r="M1120" s="10">
        <v>9</v>
      </c>
      <c r="N1120" s="30"/>
      <c r="O1120" s="31"/>
      <c r="P1120" s="32"/>
      <c r="Q1120" s="32"/>
      <c r="R1120" s="32"/>
      <c r="S1120" s="32">
        <f t="shared" si="333"/>
        <v>0</v>
      </c>
      <c r="T1120" s="12"/>
      <c r="U1120" s="12"/>
      <c r="V1120" s="12"/>
      <c r="W1120" s="12">
        <f t="shared" si="334"/>
        <v>0</v>
      </c>
      <c r="Y1120" s="10">
        <v>9</v>
      </c>
      <c r="Z1120" s="30"/>
      <c r="AA1120" s="31"/>
      <c r="AC1120" s="32"/>
      <c r="AD1120" s="32"/>
      <c r="AE1120" s="32">
        <f t="shared" si="336"/>
        <v>0</v>
      </c>
      <c r="AF1120" s="12"/>
      <c r="AH1120" s="12"/>
      <c r="AI1120" s="12">
        <f t="shared" si="337"/>
        <v>0</v>
      </c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10">
        <v>10</v>
      </c>
      <c r="B1121" s="30" t="s">
        <v>100</v>
      </c>
      <c r="C1121" s="31">
        <f t="shared" si="338"/>
        <v>5546</v>
      </c>
      <c r="D1121" s="32">
        <f>2504+614+38</f>
        <v>3156</v>
      </c>
      <c r="E1121" s="32"/>
      <c r="F1121" s="32"/>
      <c r="G1121" s="32">
        <f t="shared" si="330"/>
        <v>3156</v>
      </c>
      <c r="H1121" s="12"/>
      <c r="I1121" s="12"/>
      <c r="J1121" s="12"/>
      <c r="K1121" s="12">
        <f t="shared" si="331"/>
        <v>3156</v>
      </c>
      <c r="M1121" s="10">
        <v>10</v>
      </c>
      <c r="N1121" s="30"/>
      <c r="O1121" s="31"/>
      <c r="P1121" s="32"/>
      <c r="Q1121" s="32"/>
      <c r="R1121" s="32"/>
      <c r="S1121" s="32">
        <f t="shared" si="333"/>
        <v>0</v>
      </c>
      <c r="T1121" s="12"/>
      <c r="U1121" s="12"/>
      <c r="V1121" s="12"/>
      <c r="W1121" s="12">
        <f t="shared" si="334"/>
        <v>0</v>
      </c>
      <c r="Y1121" s="10">
        <v>10</v>
      </c>
      <c r="Z1121" s="30"/>
      <c r="AA1121" s="31"/>
      <c r="AB1121" s="32"/>
      <c r="AC1121" s="32"/>
      <c r="AD1121" s="32"/>
      <c r="AE1121" s="32">
        <f t="shared" si="336"/>
        <v>0</v>
      </c>
      <c r="AF1121" s="12"/>
      <c r="AG1121" s="12"/>
      <c r="AH1121" s="12"/>
      <c r="AI1121" s="12">
        <f t="shared" si="337"/>
        <v>0</v>
      </c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10">
        <v>11</v>
      </c>
      <c r="B1122" s="30" t="s">
        <v>100</v>
      </c>
      <c r="C1122" s="31">
        <f t="shared" si="338"/>
        <v>5547</v>
      </c>
      <c r="D1122" s="32">
        <f>1878+29</f>
        <v>1907</v>
      </c>
      <c r="E1122" s="32"/>
      <c r="F1122" s="32"/>
      <c r="G1122" s="32">
        <f t="shared" si="330"/>
        <v>1907</v>
      </c>
      <c r="H1122" s="12"/>
      <c r="I1122" s="12"/>
      <c r="J1122" s="12"/>
      <c r="K1122" s="12">
        <f t="shared" si="331"/>
        <v>1907</v>
      </c>
      <c r="M1122" s="10">
        <v>11</v>
      </c>
      <c r="N1122" s="30"/>
      <c r="O1122" s="31"/>
      <c r="P1122" s="32"/>
      <c r="Q1122" s="32"/>
      <c r="R1122" s="32"/>
      <c r="S1122" s="32">
        <f t="shared" si="333"/>
        <v>0</v>
      </c>
      <c r="T1122" s="12"/>
      <c r="U1122" s="12"/>
      <c r="V1122" s="12"/>
      <c r="W1122" s="12">
        <f t="shared" si="334"/>
        <v>0</v>
      </c>
      <c r="Y1122" s="10">
        <v>11</v>
      </c>
      <c r="Z1122" s="30"/>
      <c r="AA1122" s="31"/>
      <c r="AB1122" s="32"/>
      <c r="AC1122" s="32"/>
      <c r="AD1122" s="32"/>
      <c r="AE1122" s="32">
        <f t="shared" si="336"/>
        <v>0</v>
      </c>
      <c r="AF1122" s="12"/>
      <c r="AG1122" s="12"/>
      <c r="AH1122" s="12"/>
      <c r="AI1122" s="12">
        <f t="shared" si="337"/>
        <v>0</v>
      </c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10">
        <v>12</v>
      </c>
      <c r="B1123" s="30" t="s">
        <v>100</v>
      </c>
      <c r="C1123" s="31">
        <f t="shared" si="338"/>
        <v>5548</v>
      </c>
      <c r="D1123" s="32">
        <f>676080+29472+1175+96552+1175+1175+11908+650</f>
        <v>818187</v>
      </c>
      <c r="E1123" s="32">
        <v>-12114</v>
      </c>
      <c r="F1123" s="32"/>
      <c r="G1123" s="32">
        <f t="shared" si="330"/>
        <v>806073</v>
      </c>
      <c r="H1123" s="12"/>
      <c r="I1123" s="12">
        <f>88245+3588+3441</f>
        <v>95274</v>
      </c>
      <c r="J1123" s="10">
        <f>-240+-360</f>
        <v>-600</v>
      </c>
      <c r="K1123" s="12">
        <f t="shared" si="331"/>
        <v>900747</v>
      </c>
      <c r="M1123" s="10">
        <v>12</v>
      </c>
      <c r="N1123" s="30"/>
      <c r="O1123" s="31"/>
      <c r="P1123" s="32"/>
      <c r="Q1123" s="32"/>
      <c r="R1123" s="32"/>
      <c r="S1123" s="32">
        <f t="shared" si="333"/>
        <v>0</v>
      </c>
      <c r="T1123" s="12"/>
      <c r="U1123" s="12"/>
      <c r="V1123" s="12"/>
      <c r="W1123" s="12">
        <f t="shared" si="334"/>
        <v>0</v>
      </c>
      <c r="Y1123" s="10">
        <v>12</v>
      </c>
      <c r="Z1123" s="30"/>
      <c r="AA1123" s="31"/>
      <c r="AB1123" s="32"/>
      <c r="AC1123" s="32"/>
      <c r="AD1123" s="32"/>
      <c r="AE1123" s="32">
        <f t="shared" si="336"/>
        <v>0</v>
      </c>
      <c r="AF1123" s="12"/>
      <c r="AG1123" s="12"/>
      <c r="AH1123" s="12"/>
      <c r="AI1123" s="12">
        <f t="shared" si="337"/>
        <v>0</v>
      </c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10">
        <v>13</v>
      </c>
      <c r="B1124" s="30"/>
      <c r="C1124" s="11" t="s">
        <v>28</v>
      </c>
      <c r="D1124" s="32"/>
      <c r="E1124" s="32"/>
      <c r="F1124" s="32"/>
      <c r="G1124" s="32">
        <f t="shared" si="330"/>
        <v>0</v>
      </c>
      <c r="H1124" s="12"/>
      <c r="I1124" s="12"/>
      <c r="J1124" s="12"/>
      <c r="K1124" s="12">
        <f t="shared" si="331"/>
        <v>0</v>
      </c>
      <c r="M1124" s="10">
        <v>13</v>
      </c>
      <c r="N1124" s="30"/>
      <c r="O1124" s="31"/>
      <c r="P1124" s="32"/>
      <c r="Q1124" s="32"/>
      <c r="R1124" s="32"/>
      <c r="S1124" s="32">
        <f t="shared" si="333"/>
        <v>0</v>
      </c>
      <c r="T1124" s="12"/>
      <c r="U1124" s="12"/>
      <c r="V1124" s="12"/>
      <c r="W1124" s="12">
        <f t="shared" si="334"/>
        <v>0</v>
      </c>
      <c r="Y1124" s="10">
        <v>13</v>
      </c>
      <c r="Z1124" s="30"/>
      <c r="AA1124" s="31"/>
      <c r="AB1124" s="32"/>
      <c r="AC1124" s="32"/>
      <c r="AD1124" s="32"/>
      <c r="AE1124" s="32">
        <f t="shared" si="336"/>
        <v>0</v>
      </c>
      <c r="AF1124" s="12"/>
      <c r="AG1124" s="12"/>
      <c r="AH1124" s="12"/>
      <c r="AI1124" s="12">
        <f t="shared" si="337"/>
        <v>0</v>
      </c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10">
        <v>14</v>
      </c>
      <c r="B1125" s="30"/>
      <c r="C1125" s="31"/>
      <c r="D1125" s="32"/>
      <c r="E1125" s="32"/>
      <c r="F1125" s="32"/>
      <c r="G1125" s="32">
        <f t="shared" si="330"/>
        <v>0</v>
      </c>
      <c r="H1125" s="12"/>
      <c r="I1125" s="12"/>
      <c r="J1125" s="12"/>
      <c r="K1125" s="12">
        <f t="shared" si="331"/>
        <v>0</v>
      </c>
      <c r="M1125" s="10">
        <v>14</v>
      </c>
      <c r="N1125" s="30"/>
      <c r="O1125" s="31"/>
      <c r="P1125" s="32"/>
      <c r="Q1125" s="32"/>
      <c r="R1125" s="32"/>
      <c r="S1125" s="32">
        <f t="shared" si="333"/>
        <v>0</v>
      </c>
      <c r="T1125" s="12"/>
      <c r="U1125" s="12"/>
      <c r="V1125" s="12"/>
      <c r="W1125" s="12">
        <f t="shared" si="334"/>
        <v>0</v>
      </c>
      <c r="Y1125" s="10">
        <v>14</v>
      </c>
      <c r="Z1125" s="30"/>
      <c r="AA1125" s="31"/>
      <c r="AB1125" s="32"/>
      <c r="AC1125" s="32"/>
      <c r="AD1125" s="32"/>
      <c r="AE1125" s="32">
        <f t="shared" si="336"/>
        <v>0</v>
      </c>
      <c r="AF1125" s="12"/>
      <c r="AG1125" s="12"/>
      <c r="AH1125" s="12"/>
      <c r="AI1125" s="12">
        <f t="shared" si="337"/>
        <v>0</v>
      </c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10">
        <v>15</v>
      </c>
      <c r="B1126" s="30"/>
      <c r="C1126" s="31"/>
      <c r="D1126" s="32"/>
      <c r="E1126" s="32"/>
      <c r="F1126" s="32"/>
      <c r="G1126" s="32">
        <f t="shared" si="330"/>
        <v>0</v>
      </c>
      <c r="H1126" s="12"/>
      <c r="I1126" s="12"/>
      <c r="J1126" s="12"/>
      <c r="K1126" s="12">
        <f t="shared" si="331"/>
        <v>0</v>
      </c>
      <c r="M1126" s="10">
        <v>15</v>
      </c>
      <c r="N1126" s="30"/>
      <c r="O1126" s="31"/>
      <c r="P1126" s="32"/>
      <c r="R1126" s="32"/>
      <c r="S1126" s="32">
        <f t="shared" si="333"/>
        <v>0</v>
      </c>
      <c r="T1126" s="12"/>
      <c r="U1126" s="12"/>
      <c r="W1126" s="12">
        <f t="shared" si="334"/>
        <v>0</v>
      </c>
      <c r="Y1126" s="10">
        <v>15</v>
      </c>
      <c r="Z1126" s="30"/>
      <c r="AA1126" s="31"/>
      <c r="AB1126" s="32"/>
      <c r="AC1126" s="32"/>
      <c r="AD1126" s="32"/>
      <c r="AE1126" s="32">
        <f t="shared" si="336"/>
        <v>0</v>
      </c>
      <c r="AF1126" s="12"/>
      <c r="AG1126" s="12"/>
      <c r="AH1126" s="12"/>
      <c r="AI1126" s="12">
        <f t="shared" si="337"/>
        <v>0</v>
      </c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10">
        <v>16</v>
      </c>
      <c r="B1127" s="30"/>
      <c r="C1127" s="31"/>
      <c r="D1127" s="32"/>
      <c r="E1127" s="32"/>
      <c r="F1127" s="32"/>
      <c r="G1127" s="32">
        <f t="shared" si="330"/>
        <v>0</v>
      </c>
      <c r="H1127" s="12"/>
      <c r="I1127" s="12"/>
      <c r="J1127" s="12"/>
      <c r="K1127" s="12">
        <f t="shared" si="331"/>
        <v>0</v>
      </c>
      <c r="M1127" s="10">
        <v>16</v>
      </c>
      <c r="N1127" s="30"/>
      <c r="O1127" s="31"/>
      <c r="P1127" s="32"/>
      <c r="Q1127" s="32"/>
      <c r="R1127" s="32"/>
      <c r="S1127" s="32">
        <f>SUM(P1127:Q1127)</f>
        <v>0</v>
      </c>
      <c r="T1127" s="12"/>
      <c r="U1127" s="12"/>
      <c r="V1127" s="12"/>
      <c r="W1127" s="12">
        <f>SUM(S1127:V1127)</f>
        <v>0</v>
      </c>
      <c r="Y1127" s="10">
        <v>16</v>
      </c>
      <c r="Z1127" s="30"/>
      <c r="AB1127" s="32"/>
      <c r="AC1127" s="32"/>
      <c r="AD1127" s="32"/>
      <c r="AE1127" s="32">
        <f t="shared" si="336"/>
        <v>0</v>
      </c>
      <c r="AF1127" s="12"/>
      <c r="AG1127" s="12"/>
      <c r="AH1127" s="12"/>
      <c r="AI1127" s="12">
        <f t="shared" si="337"/>
        <v>0</v>
      </c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10">
        <v>17</v>
      </c>
      <c r="B1128" s="30"/>
      <c r="C1128" s="31"/>
      <c r="D1128" s="32"/>
      <c r="E1128" s="32"/>
      <c r="F1128" s="32"/>
      <c r="G1128" s="32">
        <f t="shared" si="330"/>
        <v>0</v>
      </c>
      <c r="H1128" s="12"/>
      <c r="I1128" s="12"/>
      <c r="J1128" s="12"/>
      <c r="K1128" s="12">
        <f t="shared" si="331"/>
        <v>0</v>
      </c>
      <c r="M1128" s="10">
        <v>17</v>
      </c>
      <c r="N1128" s="30"/>
      <c r="O1128" s="31"/>
      <c r="P1128" s="35"/>
      <c r="Q1128" s="32"/>
      <c r="R1128" s="32"/>
      <c r="S1128" s="32">
        <f t="shared" ref="S1128:S1150" si="339">SUM(P1128:Q1128)</f>
        <v>0</v>
      </c>
      <c r="T1128" s="12"/>
      <c r="U1128" s="12"/>
      <c r="V1128" s="12"/>
      <c r="W1128" s="12">
        <f t="shared" ref="W1128:W1153" si="340">SUM(S1128:V1128)</f>
        <v>0</v>
      </c>
      <c r="Y1128" s="10">
        <v>17</v>
      </c>
      <c r="Z1128" s="30"/>
      <c r="AA1128" s="31"/>
      <c r="AB1128" s="35"/>
      <c r="AC1128" s="32"/>
      <c r="AD1128" s="32"/>
      <c r="AE1128" s="32">
        <f t="shared" si="336"/>
        <v>0</v>
      </c>
      <c r="AF1128" s="12"/>
      <c r="AG1128" s="12"/>
      <c r="AH1128" s="12"/>
      <c r="AI1128" s="12">
        <f t="shared" si="337"/>
        <v>0</v>
      </c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10">
        <v>18</v>
      </c>
      <c r="B1129" s="30"/>
      <c r="D1129" s="32"/>
      <c r="E1129" s="32"/>
      <c r="F1129" s="32"/>
      <c r="G1129" s="32">
        <f t="shared" si="330"/>
        <v>0</v>
      </c>
      <c r="H1129" s="12"/>
      <c r="I1129" s="12"/>
      <c r="J1129" s="12"/>
      <c r="K1129" s="12">
        <f t="shared" si="331"/>
        <v>0</v>
      </c>
      <c r="M1129" s="10">
        <v>18</v>
      </c>
      <c r="N1129" s="30"/>
      <c r="O1129" s="31"/>
      <c r="P1129" s="32"/>
      <c r="Q1129" s="32"/>
      <c r="R1129" s="32"/>
      <c r="S1129" s="32">
        <f t="shared" si="339"/>
        <v>0</v>
      </c>
      <c r="T1129" s="12"/>
      <c r="U1129" s="12"/>
      <c r="V1129" s="12"/>
      <c r="W1129" s="12">
        <f t="shared" si="340"/>
        <v>0</v>
      </c>
      <c r="Y1129" s="10">
        <v>18</v>
      </c>
      <c r="Z1129" s="30"/>
      <c r="AA1129" s="31"/>
      <c r="AB1129" s="32"/>
      <c r="AC1129" s="32"/>
      <c r="AD1129" s="32"/>
      <c r="AE1129" s="32">
        <f t="shared" si="336"/>
        <v>0</v>
      </c>
      <c r="AF1129" s="12"/>
      <c r="AG1129" s="12"/>
      <c r="AH1129" s="12"/>
      <c r="AI1129" s="12">
        <f t="shared" si="337"/>
        <v>0</v>
      </c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10">
        <v>19</v>
      </c>
      <c r="B1130" s="30"/>
      <c r="C1130" s="31"/>
      <c r="D1130" s="32"/>
      <c r="E1130" s="32"/>
      <c r="F1130" s="32"/>
      <c r="G1130" s="32">
        <f t="shared" si="330"/>
        <v>0</v>
      </c>
      <c r="H1130" s="12"/>
      <c r="I1130" s="12"/>
      <c r="J1130" s="12"/>
      <c r="K1130" s="12">
        <f t="shared" si="331"/>
        <v>0</v>
      </c>
      <c r="M1130" s="10">
        <v>19</v>
      </c>
      <c r="N1130" s="30"/>
      <c r="O1130" s="31"/>
      <c r="P1130" s="32"/>
      <c r="Q1130" s="32"/>
      <c r="R1130" s="32"/>
      <c r="S1130" s="32">
        <f t="shared" si="339"/>
        <v>0</v>
      </c>
      <c r="T1130" s="12"/>
      <c r="U1130" s="12"/>
      <c r="V1130" s="12"/>
      <c r="W1130" s="12">
        <f t="shared" si="340"/>
        <v>0</v>
      </c>
      <c r="Y1130" s="10">
        <v>19</v>
      </c>
      <c r="Z1130" s="30"/>
      <c r="AA1130" s="31"/>
      <c r="AB1130" s="32"/>
      <c r="AC1130" s="32"/>
      <c r="AD1130" s="32"/>
      <c r="AE1130" s="32">
        <f t="shared" si="336"/>
        <v>0</v>
      </c>
      <c r="AF1130" s="12"/>
      <c r="AG1130" s="12"/>
      <c r="AH1130" s="12"/>
      <c r="AI1130" s="12">
        <f t="shared" si="337"/>
        <v>0</v>
      </c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10">
        <v>20</v>
      </c>
      <c r="B1131" s="30"/>
      <c r="C1131" s="31"/>
      <c r="D1131" s="32"/>
      <c r="E1131" s="32"/>
      <c r="F1131" s="32"/>
      <c r="G1131" s="32">
        <f t="shared" si="330"/>
        <v>0</v>
      </c>
      <c r="H1131" s="12"/>
      <c r="I1131" s="12"/>
      <c r="J1131" s="12"/>
      <c r="K1131" s="12">
        <f t="shared" si="331"/>
        <v>0</v>
      </c>
      <c r="M1131" s="10">
        <v>20</v>
      </c>
      <c r="N1131" s="30"/>
      <c r="O1131" s="31"/>
      <c r="P1131" s="32"/>
      <c r="Q1131" s="32"/>
      <c r="R1131" s="32"/>
      <c r="S1131" s="32">
        <f t="shared" si="339"/>
        <v>0</v>
      </c>
      <c r="T1131" s="12"/>
      <c r="U1131" s="12"/>
      <c r="V1131" s="12"/>
      <c r="W1131" s="12">
        <f t="shared" si="340"/>
        <v>0</v>
      </c>
      <c r="Y1131" s="10">
        <v>20</v>
      </c>
      <c r="Z1131" s="30"/>
      <c r="AA1131" s="31"/>
      <c r="AB1131" s="32"/>
      <c r="AC1131" s="32"/>
      <c r="AD1131" s="32"/>
      <c r="AE1131" s="32">
        <f t="shared" si="336"/>
        <v>0</v>
      </c>
      <c r="AF1131" s="12"/>
      <c r="AG1131" s="12"/>
      <c r="AH1131" s="12"/>
      <c r="AI1131" s="12">
        <f t="shared" si="337"/>
        <v>0</v>
      </c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10">
        <v>21</v>
      </c>
      <c r="B1132" s="30"/>
      <c r="D1132" s="32"/>
      <c r="E1132" s="32"/>
      <c r="F1132" s="32"/>
      <c r="G1132" s="32">
        <f t="shared" si="330"/>
        <v>0</v>
      </c>
      <c r="H1132" s="10"/>
      <c r="I1132" s="10"/>
      <c r="J1132" s="10"/>
      <c r="K1132" s="12">
        <f t="shared" si="331"/>
        <v>0</v>
      </c>
      <c r="M1132" s="10">
        <v>21</v>
      </c>
      <c r="N1132" s="30"/>
      <c r="O1132" s="31"/>
      <c r="P1132" s="46"/>
      <c r="Q1132" s="31"/>
      <c r="R1132" s="31"/>
      <c r="S1132" s="32">
        <f t="shared" si="339"/>
        <v>0</v>
      </c>
      <c r="T1132" s="10"/>
      <c r="U1132" s="10"/>
      <c r="V1132" s="10"/>
      <c r="W1132" s="12">
        <f t="shared" si="340"/>
        <v>0</v>
      </c>
      <c r="Y1132" s="10">
        <v>21</v>
      </c>
      <c r="Z1132" s="30"/>
      <c r="AB1132" s="46"/>
      <c r="AC1132" s="31"/>
      <c r="AD1132" s="31"/>
      <c r="AE1132" s="32">
        <f t="shared" si="336"/>
        <v>0</v>
      </c>
      <c r="AF1132" s="10"/>
      <c r="AG1132" s="10"/>
      <c r="AH1132" s="10"/>
      <c r="AI1132" s="12">
        <f t="shared" si="337"/>
        <v>0</v>
      </c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10">
        <v>22</v>
      </c>
      <c r="B1133" s="30"/>
      <c r="C1133" s="31"/>
      <c r="D1133" s="32"/>
      <c r="E1133" s="32"/>
      <c r="F1133" s="32"/>
      <c r="G1133" s="32">
        <f t="shared" si="330"/>
        <v>0</v>
      </c>
      <c r="H1133" s="10"/>
      <c r="I1133" s="10"/>
      <c r="J1133" s="10"/>
      <c r="K1133" s="12">
        <f t="shared" si="331"/>
        <v>0</v>
      </c>
      <c r="M1133" s="10">
        <v>22</v>
      </c>
      <c r="N1133" s="30"/>
      <c r="O1133" s="31"/>
      <c r="P1133" s="45"/>
      <c r="Q1133" s="31"/>
      <c r="R1133" s="31"/>
      <c r="S1133" s="32">
        <f t="shared" si="339"/>
        <v>0</v>
      </c>
      <c r="T1133" s="10"/>
      <c r="U1133" s="10"/>
      <c r="V1133" s="10"/>
      <c r="W1133" s="12">
        <f t="shared" si="340"/>
        <v>0</v>
      </c>
      <c r="Y1133" s="10">
        <v>22</v>
      </c>
      <c r="Z1133" s="30"/>
      <c r="AA1133" s="31"/>
      <c r="AB1133" s="45"/>
      <c r="AC1133" s="31"/>
      <c r="AD1133" s="31"/>
      <c r="AE1133" s="32">
        <f t="shared" si="336"/>
        <v>0</v>
      </c>
      <c r="AF1133" s="10"/>
      <c r="AG1133" s="10"/>
      <c r="AH1133" s="10"/>
      <c r="AI1133" s="12">
        <f t="shared" si="337"/>
        <v>0</v>
      </c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10">
        <v>23</v>
      </c>
      <c r="B1134" s="30"/>
      <c r="C1134" s="57"/>
      <c r="D1134" s="32"/>
      <c r="E1134" s="32"/>
      <c r="F1134" s="32"/>
      <c r="G1134" s="32">
        <f t="shared" si="330"/>
        <v>0</v>
      </c>
      <c r="H1134" s="10"/>
      <c r="I1134" s="10"/>
      <c r="J1134" s="12"/>
      <c r="K1134" s="12">
        <f t="shared" si="331"/>
        <v>0</v>
      </c>
      <c r="M1134" s="10">
        <v>23</v>
      </c>
      <c r="N1134" s="30"/>
      <c r="O1134" s="31"/>
      <c r="P1134" s="47"/>
      <c r="Q1134" s="31"/>
      <c r="R1134" s="31"/>
      <c r="S1134" s="32">
        <f t="shared" si="339"/>
        <v>0</v>
      </c>
      <c r="T1134" s="10"/>
      <c r="U1134" s="10"/>
      <c r="V1134" s="10"/>
      <c r="W1134" s="12">
        <f t="shared" si="340"/>
        <v>0</v>
      </c>
      <c r="Y1134" s="10">
        <v>23</v>
      </c>
      <c r="Z1134" s="30"/>
      <c r="AA1134" s="31"/>
      <c r="AB1134" s="47"/>
      <c r="AC1134" s="31"/>
      <c r="AE1134" s="32">
        <f t="shared" si="336"/>
        <v>0</v>
      </c>
      <c r="AF1134" s="10"/>
      <c r="AG1134" s="10"/>
      <c r="AH1134" s="10"/>
      <c r="AI1134" s="12">
        <f t="shared" si="337"/>
        <v>0</v>
      </c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10">
        <v>24</v>
      </c>
      <c r="B1135" s="30"/>
      <c r="C1135" s="31"/>
      <c r="D1135" s="32"/>
      <c r="E1135" s="32"/>
      <c r="F1135" s="32"/>
      <c r="G1135" s="32">
        <f t="shared" si="330"/>
        <v>0</v>
      </c>
      <c r="H1135" s="10"/>
      <c r="I1135" s="10"/>
      <c r="J1135" s="10"/>
      <c r="K1135" s="12">
        <f t="shared" si="331"/>
        <v>0</v>
      </c>
      <c r="M1135" s="10">
        <v>24</v>
      </c>
      <c r="N1135" s="30"/>
      <c r="P1135" s="47"/>
      <c r="Q1135" s="31"/>
      <c r="R1135" s="31"/>
      <c r="S1135" s="32">
        <f t="shared" si="339"/>
        <v>0</v>
      </c>
      <c r="T1135" s="10"/>
      <c r="U1135" s="10"/>
      <c r="V1135" s="10"/>
      <c r="W1135" s="12">
        <f t="shared" si="340"/>
        <v>0</v>
      </c>
      <c r="Y1135" s="10">
        <v>24</v>
      </c>
      <c r="Z1135" s="30"/>
      <c r="AA1135" s="31"/>
      <c r="AB1135" s="47"/>
      <c r="AC1135" s="31"/>
      <c r="AD1135" s="31"/>
      <c r="AE1135" s="32">
        <f t="shared" si="336"/>
        <v>0</v>
      </c>
      <c r="AF1135" s="10"/>
      <c r="AG1135" s="10"/>
      <c r="AH1135" s="10"/>
      <c r="AI1135" s="12">
        <f t="shared" si="337"/>
        <v>0</v>
      </c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10">
        <v>25</v>
      </c>
      <c r="B1136" s="30"/>
      <c r="C1136" s="31"/>
      <c r="D1136" s="32"/>
      <c r="E1136" s="32"/>
      <c r="F1136" s="32"/>
      <c r="G1136" s="32">
        <f t="shared" si="330"/>
        <v>0</v>
      </c>
      <c r="H1136" s="10"/>
      <c r="I1136" s="10"/>
      <c r="J1136" s="10"/>
      <c r="K1136" s="12">
        <f t="shared" si="331"/>
        <v>0</v>
      </c>
      <c r="M1136" s="10">
        <v>25</v>
      </c>
      <c r="N1136" s="30"/>
      <c r="O1136" s="31"/>
      <c r="P1136" s="47"/>
      <c r="Q1136" s="31"/>
      <c r="R1136" s="31"/>
      <c r="S1136" s="32">
        <f t="shared" si="339"/>
        <v>0</v>
      </c>
      <c r="T1136" s="10"/>
      <c r="U1136" s="10"/>
      <c r="V1136" s="10"/>
      <c r="W1136" s="12">
        <f t="shared" si="340"/>
        <v>0</v>
      </c>
      <c r="Y1136" s="10">
        <v>25</v>
      </c>
      <c r="Z1136" s="30"/>
      <c r="AA1136" s="31"/>
      <c r="AB1136" s="47"/>
      <c r="AC1136" s="31"/>
      <c r="AD1136" s="31"/>
      <c r="AE1136" s="32">
        <f t="shared" si="336"/>
        <v>0</v>
      </c>
      <c r="AF1136" s="10"/>
      <c r="AG1136" s="10"/>
      <c r="AH1136" s="10"/>
      <c r="AI1136" s="12">
        <f t="shared" si="337"/>
        <v>0</v>
      </c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10">
        <v>26</v>
      </c>
      <c r="B1137" s="30"/>
      <c r="C1137" s="31"/>
      <c r="D1137" s="32"/>
      <c r="E1137" s="32"/>
      <c r="F1137" s="32"/>
      <c r="G1137" s="32">
        <f t="shared" si="330"/>
        <v>0</v>
      </c>
      <c r="H1137" s="10"/>
      <c r="I1137" s="10"/>
      <c r="J1137" s="10"/>
      <c r="K1137" s="12">
        <f t="shared" si="331"/>
        <v>0</v>
      </c>
      <c r="M1137" s="10">
        <v>26</v>
      </c>
      <c r="N1137" s="30"/>
      <c r="O1137" s="31"/>
      <c r="P1137" s="47"/>
      <c r="Q1137" s="31"/>
      <c r="R1137" s="31"/>
      <c r="S1137" s="32">
        <f t="shared" si="339"/>
        <v>0</v>
      </c>
      <c r="T1137" s="10"/>
      <c r="U1137" s="10"/>
      <c r="V1137" s="10"/>
      <c r="W1137" s="12">
        <f t="shared" si="340"/>
        <v>0</v>
      </c>
      <c r="Y1137" s="10">
        <v>26</v>
      </c>
      <c r="Z1137" s="30"/>
      <c r="AA1137" s="31"/>
      <c r="AB1137" s="47"/>
      <c r="AC1137" s="31"/>
      <c r="AD1137" s="31"/>
      <c r="AE1137" s="32">
        <f t="shared" si="336"/>
        <v>0</v>
      </c>
      <c r="AF1137" s="10"/>
      <c r="AG1137" s="10"/>
      <c r="AH1137" s="10"/>
      <c r="AI1137" s="12">
        <f t="shared" si="337"/>
        <v>0</v>
      </c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10">
        <v>27</v>
      </c>
      <c r="B1138" s="30"/>
      <c r="C1138" s="31"/>
      <c r="D1138" s="32"/>
      <c r="E1138" s="32"/>
      <c r="F1138" s="32"/>
      <c r="G1138" s="32">
        <f t="shared" si="330"/>
        <v>0</v>
      </c>
      <c r="H1138" s="10"/>
      <c r="I1138" s="10"/>
      <c r="J1138" s="10"/>
      <c r="K1138" s="12">
        <f t="shared" si="331"/>
        <v>0</v>
      </c>
      <c r="M1138" s="10">
        <v>27</v>
      </c>
      <c r="N1138" s="30"/>
      <c r="O1138" s="31"/>
      <c r="P1138" s="47"/>
      <c r="Q1138" s="31"/>
      <c r="R1138" s="31"/>
      <c r="S1138" s="32">
        <f t="shared" si="339"/>
        <v>0</v>
      </c>
      <c r="T1138" s="10"/>
      <c r="U1138" s="10"/>
      <c r="V1138" s="10"/>
      <c r="W1138" s="12">
        <f t="shared" si="340"/>
        <v>0</v>
      </c>
      <c r="Y1138" s="10">
        <v>27</v>
      </c>
      <c r="Z1138" s="30"/>
      <c r="AA1138" s="31"/>
      <c r="AB1138" s="47"/>
      <c r="AC1138" s="31"/>
      <c r="AD1138" s="31"/>
      <c r="AE1138" s="32">
        <f t="shared" si="336"/>
        <v>0</v>
      </c>
      <c r="AF1138" s="10"/>
      <c r="AG1138" s="10"/>
      <c r="AH1138" s="10"/>
      <c r="AI1138" s="12">
        <f t="shared" si="337"/>
        <v>0</v>
      </c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10">
        <v>28</v>
      </c>
      <c r="B1139" s="30"/>
      <c r="C1139" s="31"/>
      <c r="D1139" s="32"/>
      <c r="E1139" s="32"/>
      <c r="F1139" s="32"/>
      <c r="G1139" s="32">
        <f t="shared" si="330"/>
        <v>0</v>
      </c>
      <c r="H1139" s="10"/>
      <c r="I1139" s="10"/>
      <c r="J1139" s="10"/>
      <c r="K1139" s="12">
        <f t="shared" si="331"/>
        <v>0</v>
      </c>
      <c r="M1139" s="10">
        <v>28</v>
      </c>
      <c r="N1139" s="30"/>
      <c r="O1139" s="31"/>
      <c r="P1139" s="47"/>
      <c r="Q1139" s="31"/>
      <c r="R1139" s="31"/>
      <c r="S1139" s="32">
        <f t="shared" si="339"/>
        <v>0</v>
      </c>
      <c r="T1139" s="10"/>
      <c r="U1139" s="10"/>
      <c r="V1139" s="10"/>
      <c r="W1139" s="12">
        <f t="shared" si="340"/>
        <v>0</v>
      </c>
      <c r="Y1139" s="10">
        <v>28</v>
      </c>
      <c r="Z1139" s="30"/>
      <c r="AA1139" s="31"/>
      <c r="AB1139" s="47"/>
      <c r="AC1139" s="31"/>
      <c r="AD1139" s="31"/>
      <c r="AE1139" s="32">
        <f t="shared" si="336"/>
        <v>0</v>
      </c>
      <c r="AF1139" s="10"/>
      <c r="AG1139" s="10"/>
      <c r="AH1139" s="10"/>
      <c r="AI1139" s="12">
        <f t="shared" si="337"/>
        <v>0</v>
      </c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10">
        <v>29</v>
      </c>
      <c r="B1140" s="30"/>
      <c r="C1140" s="31"/>
      <c r="D1140" s="32"/>
      <c r="E1140" s="32"/>
      <c r="F1140" s="32"/>
      <c r="G1140" s="32"/>
      <c r="H1140" s="10"/>
      <c r="I1140" s="10"/>
      <c r="J1140" s="10"/>
      <c r="K1140" s="12">
        <f t="shared" si="331"/>
        <v>0</v>
      </c>
      <c r="M1140" s="10">
        <v>29</v>
      </c>
      <c r="N1140" s="30"/>
      <c r="O1140" s="31"/>
      <c r="P1140" s="47"/>
      <c r="Q1140" s="31"/>
      <c r="R1140" s="31"/>
      <c r="S1140" s="32">
        <f t="shared" si="339"/>
        <v>0</v>
      </c>
      <c r="T1140" s="10"/>
      <c r="U1140" s="10"/>
      <c r="V1140" s="10"/>
      <c r="W1140" s="12">
        <f t="shared" si="340"/>
        <v>0</v>
      </c>
      <c r="Y1140" s="10">
        <v>29</v>
      </c>
      <c r="Z1140" s="30"/>
      <c r="AA1140" s="31"/>
      <c r="AB1140" s="47"/>
      <c r="AC1140" s="31"/>
      <c r="AD1140" s="31"/>
      <c r="AE1140" s="32">
        <f t="shared" si="336"/>
        <v>0</v>
      </c>
      <c r="AF1140" s="10"/>
      <c r="AG1140" s="10"/>
      <c r="AH1140" s="10"/>
      <c r="AI1140" s="12">
        <f t="shared" si="337"/>
        <v>0</v>
      </c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10">
        <v>30</v>
      </c>
      <c r="B1141" s="30"/>
      <c r="C1141" s="31"/>
      <c r="D1141" s="32"/>
      <c r="E1141" s="32"/>
      <c r="F1141" s="32"/>
      <c r="G1141" s="32"/>
      <c r="H1141" s="10"/>
      <c r="I1141" s="10"/>
      <c r="J1141" s="10"/>
      <c r="K1141" s="12">
        <f t="shared" si="331"/>
        <v>0</v>
      </c>
      <c r="M1141" s="10">
        <v>30</v>
      </c>
      <c r="N1141" s="30"/>
      <c r="O1141" s="31"/>
      <c r="P1141" s="47"/>
      <c r="Q1141" s="31"/>
      <c r="R1141" s="31"/>
      <c r="S1141" s="32">
        <f t="shared" si="339"/>
        <v>0</v>
      </c>
      <c r="T1141" s="10"/>
      <c r="U1141" s="10"/>
      <c r="V1141" s="10"/>
      <c r="W1141" s="12">
        <f t="shared" si="340"/>
        <v>0</v>
      </c>
      <c r="Y1141" s="10">
        <v>30</v>
      </c>
      <c r="Z1141" s="30"/>
      <c r="AA1141" s="31"/>
      <c r="AB1141" s="47"/>
      <c r="AC1141" s="31"/>
      <c r="AD1141" s="31"/>
      <c r="AE1141" s="32">
        <f t="shared" si="336"/>
        <v>0</v>
      </c>
      <c r="AF1141" s="10"/>
      <c r="AG1141" s="10"/>
      <c r="AH1141" s="10"/>
      <c r="AI1141" s="12">
        <f t="shared" si="337"/>
        <v>0</v>
      </c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10">
        <v>31</v>
      </c>
      <c r="B1142" s="30"/>
      <c r="C1142" s="57"/>
      <c r="D1142" s="32"/>
      <c r="E1142" s="32"/>
      <c r="F1142" s="32"/>
      <c r="G1142" s="32"/>
      <c r="H1142" s="10"/>
      <c r="I1142" s="10"/>
      <c r="J1142" s="10"/>
      <c r="K1142" s="12">
        <f t="shared" si="331"/>
        <v>0</v>
      </c>
      <c r="M1142" s="10">
        <v>31</v>
      </c>
      <c r="N1142" s="30"/>
      <c r="O1142" s="31"/>
      <c r="P1142" s="47"/>
      <c r="Q1142" s="31"/>
      <c r="R1142" s="31"/>
      <c r="S1142" s="32">
        <f t="shared" si="339"/>
        <v>0</v>
      </c>
      <c r="T1142" s="10"/>
      <c r="U1142" s="10"/>
      <c r="V1142" s="10"/>
      <c r="W1142" s="12">
        <f t="shared" si="340"/>
        <v>0</v>
      </c>
      <c r="Y1142" s="10">
        <v>31</v>
      </c>
      <c r="Z1142" s="30"/>
      <c r="AB1142" s="47"/>
      <c r="AC1142" s="31"/>
      <c r="AD1142" s="31"/>
      <c r="AE1142" s="32">
        <f t="shared" si="336"/>
        <v>0</v>
      </c>
      <c r="AF1142" s="10"/>
      <c r="AG1142" s="10"/>
      <c r="AH1142" s="10"/>
      <c r="AI1142" s="12">
        <f t="shared" si="337"/>
        <v>0</v>
      </c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10">
        <v>32</v>
      </c>
      <c r="B1143" s="30"/>
      <c r="C1143" s="31"/>
      <c r="D1143" s="32"/>
      <c r="E1143" s="32"/>
      <c r="F1143" s="32"/>
      <c r="G1143" s="32"/>
      <c r="H1143" s="10"/>
      <c r="I1143" s="10"/>
      <c r="J1143" s="10"/>
      <c r="K1143" s="12">
        <f t="shared" si="331"/>
        <v>0</v>
      </c>
      <c r="M1143" s="10">
        <v>32</v>
      </c>
      <c r="N1143" s="30"/>
      <c r="O1143" s="31"/>
      <c r="P1143" s="47"/>
      <c r="Q1143" s="31"/>
      <c r="R1143" s="31"/>
      <c r="S1143" s="32">
        <f t="shared" si="339"/>
        <v>0</v>
      </c>
      <c r="T1143" s="10"/>
      <c r="U1143" s="10"/>
      <c r="V1143" s="10"/>
      <c r="W1143" s="12">
        <f t="shared" si="340"/>
        <v>0</v>
      </c>
      <c r="Y1143" s="10">
        <v>32</v>
      </c>
      <c r="Z1143" s="30"/>
      <c r="AA1143" s="31"/>
      <c r="AB1143" s="47"/>
      <c r="AC1143" s="31"/>
      <c r="AD1143" s="31"/>
      <c r="AE1143" s="32">
        <f t="shared" si="336"/>
        <v>0</v>
      </c>
      <c r="AF1143" s="10"/>
      <c r="AG1143" s="10"/>
      <c r="AH1143" s="10"/>
      <c r="AI1143" s="12">
        <f t="shared" si="337"/>
        <v>0</v>
      </c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10">
        <v>33</v>
      </c>
      <c r="B1144" s="30"/>
      <c r="C1144" s="31"/>
      <c r="D1144" s="32"/>
      <c r="E1144" s="32"/>
      <c r="F1144" s="32"/>
      <c r="G1144" s="32"/>
      <c r="H1144" s="10"/>
      <c r="I1144" s="10"/>
      <c r="J1144" s="10"/>
      <c r="K1144" s="12">
        <f t="shared" si="331"/>
        <v>0</v>
      </c>
      <c r="M1144" s="10">
        <v>33</v>
      </c>
      <c r="N1144" s="30"/>
      <c r="O1144" s="31"/>
      <c r="P1144" s="47"/>
      <c r="Q1144" s="31"/>
      <c r="R1144" s="31"/>
      <c r="S1144" s="32">
        <f t="shared" si="339"/>
        <v>0</v>
      </c>
      <c r="T1144" s="10"/>
      <c r="U1144" s="10"/>
      <c r="V1144" s="10"/>
      <c r="W1144" s="12">
        <f t="shared" si="340"/>
        <v>0</v>
      </c>
      <c r="Y1144" s="10">
        <v>33</v>
      </c>
      <c r="Z1144" s="30"/>
      <c r="AA1144" s="31"/>
      <c r="AB1144" s="47"/>
      <c r="AC1144" s="31"/>
      <c r="AD1144" s="31"/>
      <c r="AE1144" s="32">
        <f t="shared" si="336"/>
        <v>0</v>
      </c>
      <c r="AF1144" s="10"/>
      <c r="AG1144" s="10"/>
      <c r="AH1144" s="10"/>
      <c r="AI1144" s="12">
        <f t="shared" si="337"/>
        <v>0</v>
      </c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10"/>
      <c r="B1145" s="30"/>
      <c r="C1145" s="57"/>
      <c r="D1145" s="32"/>
      <c r="E1145" s="32"/>
      <c r="F1145" s="32"/>
      <c r="G1145" s="32">
        <f t="shared" ref="G1145" si="341">SUM(D1145:E1145)</f>
        <v>0</v>
      </c>
      <c r="H1145" s="10"/>
      <c r="I1145" s="10"/>
      <c r="J1145" s="10"/>
      <c r="K1145" s="12">
        <f t="shared" si="331"/>
        <v>0</v>
      </c>
      <c r="M1145" s="10">
        <v>34</v>
      </c>
      <c r="N1145" s="30"/>
      <c r="O1145" s="31"/>
      <c r="P1145" s="47"/>
      <c r="Q1145" s="31"/>
      <c r="R1145" s="31"/>
      <c r="S1145" s="32">
        <f t="shared" si="339"/>
        <v>0</v>
      </c>
      <c r="T1145" s="10"/>
      <c r="U1145" s="10"/>
      <c r="V1145" s="10"/>
      <c r="W1145" s="12">
        <f t="shared" si="340"/>
        <v>0</v>
      </c>
      <c r="Y1145" s="10">
        <v>34</v>
      </c>
      <c r="Z1145" s="30"/>
      <c r="AB1145" s="47"/>
      <c r="AC1145" s="31"/>
      <c r="AD1145" s="31"/>
      <c r="AE1145" s="32">
        <f t="shared" si="336"/>
        <v>0</v>
      </c>
      <c r="AF1145" s="10"/>
      <c r="AG1145" s="10"/>
      <c r="AH1145" s="10"/>
      <c r="AI1145" s="12">
        <f t="shared" si="337"/>
        <v>0</v>
      </c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10"/>
      <c r="B1146" s="30"/>
      <c r="C1146" s="31"/>
      <c r="D1146" s="32"/>
      <c r="E1146" s="32"/>
      <c r="F1146" s="32"/>
      <c r="G1146" s="32"/>
      <c r="H1146" s="10"/>
      <c r="I1146" s="10"/>
      <c r="J1146" s="10"/>
      <c r="K1146" s="12"/>
      <c r="M1146" s="10">
        <v>35</v>
      </c>
      <c r="N1146" s="30"/>
      <c r="O1146" s="31"/>
      <c r="P1146" s="47"/>
      <c r="Q1146" s="31"/>
      <c r="R1146" s="31"/>
      <c r="S1146" s="32">
        <f t="shared" si="339"/>
        <v>0</v>
      </c>
      <c r="T1146" s="10"/>
      <c r="U1146" s="10"/>
      <c r="V1146" s="10"/>
      <c r="W1146" s="12">
        <f t="shared" si="340"/>
        <v>0</v>
      </c>
      <c r="Y1146" s="10">
        <v>35</v>
      </c>
      <c r="Z1146" s="30"/>
      <c r="AA1146" s="31"/>
      <c r="AB1146" s="47"/>
      <c r="AC1146" s="31"/>
      <c r="AD1146" s="31"/>
      <c r="AE1146" s="32">
        <f t="shared" si="336"/>
        <v>0</v>
      </c>
      <c r="AF1146" s="10"/>
      <c r="AG1146" s="10"/>
      <c r="AH1146" s="10"/>
      <c r="AI1146" s="12">
        <f t="shared" si="337"/>
        <v>0</v>
      </c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10"/>
      <c r="B1147" s="30"/>
      <c r="C1147" s="31"/>
      <c r="D1147" s="32"/>
      <c r="E1147" s="32"/>
      <c r="F1147" s="32"/>
      <c r="G1147" s="32"/>
      <c r="H1147" s="10"/>
      <c r="I1147" s="10"/>
      <c r="J1147" s="10"/>
      <c r="K1147" s="12"/>
      <c r="M1147" s="10">
        <v>36</v>
      </c>
      <c r="N1147" s="30"/>
      <c r="O1147" s="31"/>
      <c r="P1147" s="47"/>
      <c r="Q1147" s="31"/>
      <c r="R1147" s="31"/>
      <c r="S1147" s="32">
        <f t="shared" si="339"/>
        <v>0</v>
      </c>
      <c r="T1147" s="10"/>
      <c r="U1147" s="10"/>
      <c r="V1147" s="10"/>
      <c r="W1147" s="12">
        <f t="shared" si="340"/>
        <v>0</v>
      </c>
      <c r="Y1147" s="10">
        <v>36</v>
      </c>
      <c r="Z1147" s="30"/>
      <c r="AA1147" s="31"/>
      <c r="AB1147" s="47"/>
      <c r="AC1147" s="31"/>
      <c r="AD1147" s="31"/>
      <c r="AE1147" s="32">
        <f t="shared" si="336"/>
        <v>0</v>
      </c>
      <c r="AF1147" s="10"/>
      <c r="AG1147" s="10"/>
      <c r="AH1147" s="10"/>
      <c r="AI1147" s="12">
        <f t="shared" si="337"/>
        <v>0</v>
      </c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10"/>
      <c r="B1148" s="30"/>
      <c r="C1148" s="31"/>
      <c r="D1148" s="32"/>
      <c r="E1148" s="32"/>
      <c r="F1148" s="32"/>
      <c r="G1148" s="32"/>
      <c r="H1148" s="10"/>
      <c r="I1148" s="10"/>
      <c r="J1148" s="10"/>
      <c r="K1148" s="12"/>
      <c r="M1148" s="10">
        <v>37</v>
      </c>
      <c r="N1148" s="30"/>
      <c r="P1148" s="47"/>
      <c r="Q1148" s="31"/>
      <c r="R1148" s="31"/>
      <c r="S1148" s="32">
        <f t="shared" si="339"/>
        <v>0</v>
      </c>
      <c r="T1148" s="10"/>
      <c r="U1148" s="10"/>
      <c r="V1148" s="10"/>
      <c r="W1148" s="12">
        <f t="shared" si="340"/>
        <v>0</v>
      </c>
      <c r="Y1148" s="10">
        <v>37</v>
      </c>
      <c r="Z1148" s="30"/>
      <c r="AA1148" s="31"/>
      <c r="AB1148" s="47"/>
      <c r="AC1148" s="31"/>
      <c r="AD1148" s="31"/>
      <c r="AE1148" s="32">
        <f t="shared" si="336"/>
        <v>0</v>
      </c>
      <c r="AF1148" s="10"/>
      <c r="AG1148" s="10"/>
      <c r="AH1148" s="10"/>
      <c r="AI1148" s="12">
        <f t="shared" si="337"/>
        <v>0</v>
      </c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10"/>
      <c r="B1149" s="30"/>
      <c r="C1149" s="31"/>
      <c r="D1149" s="32"/>
      <c r="E1149" s="32"/>
      <c r="F1149" s="32"/>
      <c r="G1149" s="32"/>
      <c r="H1149" s="10"/>
      <c r="I1149" s="10"/>
      <c r="J1149" s="10"/>
      <c r="K1149" s="12"/>
      <c r="M1149" s="10">
        <v>38</v>
      </c>
      <c r="N1149" s="30"/>
      <c r="O1149" s="31"/>
      <c r="P1149" s="47"/>
      <c r="Q1149" s="31"/>
      <c r="R1149" s="31"/>
      <c r="S1149" s="32">
        <f t="shared" si="339"/>
        <v>0</v>
      </c>
      <c r="T1149" s="10"/>
      <c r="U1149" s="10"/>
      <c r="V1149" s="10"/>
      <c r="W1149" s="12">
        <f t="shared" si="340"/>
        <v>0</v>
      </c>
      <c r="Y1149" s="10">
        <v>38</v>
      </c>
      <c r="Z1149" s="30"/>
      <c r="AA1149" s="31"/>
      <c r="AB1149" s="47"/>
      <c r="AC1149" s="31"/>
      <c r="AD1149" s="31"/>
      <c r="AE1149" s="32">
        <f t="shared" si="336"/>
        <v>0</v>
      </c>
      <c r="AF1149" s="10"/>
      <c r="AG1149" s="10"/>
      <c r="AH1149" s="10"/>
      <c r="AI1149" s="12">
        <f t="shared" si="337"/>
        <v>0</v>
      </c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10"/>
      <c r="B1150" s="30"/>
      <c r="C1150" s="57"/>
      <c r="D1150" s="32"/>
      <c r="E1150" s="32"/>
      <c r="F1150" s="32"/>
      <c r="G1150" s="32"/>
      <c r="H1150" s="10"/>
      <c r="I1150" s="10"/>
      <c r="J1150" s="10"/>
      <c r="K1150" s="12"/>
      <c r="M1150" s="10">
        <v>39</v>
      </c>
      <c r="N1150" s="30"/>
      <c r="O1150" s="31"/>
      <c r="P1150" s="47"/>
      <c r="Q1150" s="31"/>
      <c r="R1150" s="31"/>
      <c r="S1150" s="32">
        <f t="shared" si="339"/>
        <v>0</v>
      </c>
      <c r="T1150" s="10"/>
      <c r="U1150" s="10"/>
      <c r="V1150" s="10"/>
      <c r="W1150" s="12">
        <f t="shared" si="340"/>
        <v>0</v>
      </c>
      <c r="Y1150" s="10">
        <v>39</v>
      </c>
      <c r="Z1150" s="30"/>
      <c r="AA1150" s="31"/>
      <c r="AB1150" s="47"/>
      <c r="AC1150" s="31"/>
      <c r="AD1150" s="31"/>
      <c r="AE1150" s="32">
        <f t="shared" si="336"/>
        <v>0</v>
      </c>
      <c r="AF1150" s="10"/>
      <c r="AG1150" s="10"/>
      <c r="AH1150" s="10"/>
      <c r="AI1150" s="12">
        <f t="shared" si="337"/>
        <v>0</v>
      </c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10"/>
      <c r="B1151" s="30"/>
      <c r="C1151" s="31"/>
      <c r="D1151" s="32"/>
      <c r="E1151" s="32"/>
      <c r="F1151" s="32"/>
      <c r="G1151" s="32"/>
      <c r="H1151" s="10"/>
      <c r="I1151" s="10"/>
      <c r="J1151" s="10"/>
      <c r="K1151" s="12"/>
      <c r="M1151" s="10"/>
      <c r="N1151" s="30"/>
      <c r="P1151" s="47"/>
      <c r="Q1151" s="31"/>
      <c r="R1151" s="31"/>
      <c r="S1151" s="32"/>
      <c r="T1151" s="10"/>
      <c r="U1151" s="10"/>
      <c r="V1151" s="10"/>
      <c r="W1151" s="12">
        <f t="shared" si="340"/>
        <v>0</v>
      </c>
      <c r="Y1151" s="10"/>
      <c r="Z1151" s="30"/>
      <c r="AB1151" s="47"/>
      <c r="AC1151" s="31"/>
      <c r="AD1151" s="31"/>
      <c r="AE1151" s="32"/>
      <c r="AF1151" s="10"/>
      <c r="AG1151" s="10"/>
      <c r="AH1151" s="10"/>
      <c r="AI1151" s="12">
        <f t="shared" si="337"/>
        <v>0</v>
      </c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10"/>
      <c r="B1152" s="30"/>
      <c r="C1152" s="31"/>
      <c r="D1152" s="32"/>
      <c r="E1152" s="32"/>
      <c r="F1152" s="32"/>
      <c r="G1152" s="32">
        <f t="shared" ref="G1152" si="342">SUM(D1152:E1152)</f>
        <v>0</v>
      </c>
      <c r="H1152" s="10"/>
      <c r="I1152" s="10"/>
      <c r="J1152" s="10"/>
      <c r="K1152" s="12">
        <f t="shared" ref="K1152" si="343">SUM(G1152:J1152)</f>
        <v>0</v>
      </c>
      <c r="M1152" s="10"/>
      <c r="N1152" s="30"/>
      <c r="O1152" s="31"/>
      <c r="P1152" s="47"/>
      <c r="Q1152" s="31"/>
      <c r="R1152" s="31"/>
      <c r="S1152" s="32">
        <f t="shared" ref="S1152" si="344">SUM(P1152:Q1152)</f>
        <v>0</v>
      </c>
      <c r="T1152" s="10"/>
      <c r="U1152" s="10"/>
      <c r="V1152" s="10"/>
      <c r="W1152" s="12">
        <f t="shared" si="340"/>
        <v>0</v>
      </c>
      <c r="Y1152" s="10"/>
      <c r="Z1152" s="30"/>
      <c r="AA1152" s="31"/>
      <c r="AB1152" s="47"/>
      <c r="AC1152" s="31"/>
      <c r="AD1152" s="31"/>
      <c r="AE1152" s="32">
        <f t="shared" ref="AE1152" si="345">SUM(AB1152:AC1152)</f>
        <v>0</v>
      </c>
      <c r="AF1152" s="10"/>
      <c r="AG1152" s="10"/>
      <c r="AH1152" s="10"/>
      <c r="AI1152" s="12">
        <f t="shared" si="337"/>
        <v>0</v>
      </c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10"/>
      <c r="B1153" s="30"/>
      <c r="C1153" s="30"/>
      <c r="D1153" s="32"/>
      <c r="E1153" s="32"/>
      <c r="F1153" s="32"/>
      <c r="G1153" s="32"/>
      <c r="H1153" s="10"/>
      <c r="I1153" s="10"/>
      <c r="J1153" s="10"/>
      <c r="K1153" s="12"/>
      <c r="M1153" s="10"/>
      <c r="N1153" s="31"/>
      <c r="O1153" s="31"/>
      <c r="P1153" s="31"/>
      <c r="Q1153" s="31"/>
      <c r="R1153" s="31"/>
      <c r="S1153" s="31"/>
      <c r="T1153" s="10"/>
      <c r="U1153" s="10"/>
      <c r="V1153" s="10"/>
      <c r="W1153" s="12">
        <f t="shared" si="340"/>
        <v>0</v>
      </c>
      <c r="Y1153" s="10"/>
      <c r="Z1153" s="31"/>
      <c r="AA1153" s="31"/>
      <c r="AB1153" s="31"/>
      <c r="AC1153" s="31"/>
      <c r="AD1153" s="31"/>
      <c r="AE1153" s="31"/>
      <c r="AF1153" s="10"/>
      <c r="AG1153" s="10"/>
      <c r="AH1153" s="10"/>
      <c r="AI1153" s="12">
        <f t="shared" si="337"/>
        <v>0</v>
      </c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B1154" s="57"/>
      <c r="C1154" s="57"/>
      <c r="D1154" s="36"/>
      <c r="E1154" s="36"/>
      <c r="F1154" s="36"/>
      <c r="G1154" s="36"/>
      <c r="H1154" s="37"/>
      <c r="I1154" s="37"/>
      <c r="J1154" s="37"/>
      <c r="K1154" s="37"/>
      <c r="N1154" s="57"/>
      <c r="O1154" s="57"/>
      <c r="P1154" s="36"/>
      <c r="Q1154" s="36"/>
      <c r="R1154" s="36"/>
      <c r="S1154" s="36"/>
      <c r="T1154" s="37"/>
      <c r="U1154" s="37"/>
      <c r="V1154" s="37"/>
      <c r="W1154" s="37"/>
      <c r="Z1154" s="57"/>
      <c r="AA1154" s="57"/>
      <c r="AB1154" s="36"/>
      <c r="AC1154" s="36"/>
      <c r="AD1154" s="36"/>
      <c r="AE1154" s="36"/>
      <c r="AF1154" s="37"/>
      <c r="AG1154" s="37"/>
      <c r="AH1154" s="37"/>
      <c r="AI1154" s="37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B1155" s="57"/>
      <c r="C1155" s="57"/>
      <c r="D1155" s="38">
        <f>SUM(D1112:D1154)</f>
        <v>855925</v>
      </c>
      <c r="E1155" s="38">
        <f t="shared" ref="E1155:F1155" si="346">SUM(E1112:E1152)</f>
        <v>-12114</v>
      </c>
      <c r="F1155" s="38">
        <f t="shared" si="346"/>
        <v>0</v>
      </c>
      <c r="G1155" s="38">
        <f>SUM(G1112:G1154)</f>
        <v>843811</v>
      </c>
      <c r="H1155" s="4"/>
      <c r="I1155" s="39">
        <f>SUM(I1112:I1154)</f>
        <v>95274</v>
      </c>
      <c r="J1155" s="39">
        <f>SUM(J1112:J1154)</f>
        <v>-600</v>
      </c>
      <c r="K1155" s="40">
        <f>SUM(K1112:K1154)</f>
        <v>938485</v>
      </c>
      <c r="N1155" s="57"/>
      <c r="O1155" s="57"/>
      <c r="P1155" s="38">
        <f>SUM(P1112:P1154)</f>
        <v>194564</v>
      </c>
      <c r="Q1155" s="38">
        <f>SUM(Q1112:Q1136)</f>
        <v>-2844</v>
      </c>
      <c r="R1155" s="38">
        <f>SUM(R1112:R1136)</f>
        <v>0</v>
      </c>
      <c r="S1155" s="38">
        <f>SUM(S1112:S1154)</f>
        <v>191720</v>
      </c>
      <c r="T1155" s="4"/>
      <c r="U1155" s="41">
        <f>SUM(U1112:U1154)</f>
        <v>720</v>
      </c>
      <c r="V1155" s="41">
        <f>SUM(V1112:V1136)</f>
        <v>-97437</v>
      </c>
      <c r="W1155" s="42">
        <f>SUM(W1112:W1154)</f>
        <v>95003</v>
      </c>
      <c r="Z1155" s="57"/>
      <c r="AA1155" s="57"/>
      <c r="AB1155" s="38">
        <f>SUM(AB1112:AB1154)</f>
        <v>137572</v>
      </c>
      <c r="AC1155" s="38">
        <f>SUM(AC1112:AC1136)</f>
        <v>-342</v>
      </c>
      <c r="AD1155" s="38">
        <f>SUM(AD1112:AD1136)</f>
        <v>0</v>
      </c>
      <c r="AE1155" s="38">
        <f>SUM(AE1112:AE1154)</f>
        <v>137230</v>
      </c>
      <c r="AF1155" s="4"/>
      <c r="AG1155" s="41">
        <f>SUM(AG1112:AG1154)</f>
        <v>19</v>
      </c>
      <c r="AH1155" s="41">
        <f>SUM(AH1112:AH1136)</f>
        <v>0</v>
      </c>
      <c r="AI1155" s="42">
        <f>SUM(AI1112:AI1154)</f>
        <v>137249</v>
      </c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t="s">
        <v>0</v>
      </c>
      <c r="B1157" s="57"/>
      <c r="C1157" s="57"/>
      <c r="D1157" s="57"/>
      <c r="E1157" s="57"/>
      <c r="G1157" s="57"/>
      <c r="M1157" t="s">
        <v>0</v>
      </c>
      <c r="N1157" s="57"/>
      <c r="O1157" s="57"/>
      <c r="P1157" s="57"/>
      <c r="Q1157" s="57"/>
      <c r="R1157" s="57"/>
      <c r="S1157" s="57"/>
      <c r="Y1157" t="s">
        <v>0</v>
      </c>
      <c r="Z1157" s="57"/>
      <c r="AA1157" s="57"/>
      <c r="AB1157" s="57"/>
      <c r="AC1157" s="57"/>
      <c r="AD1157" s="57"/>
      <c r="AE1157" s="57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t="s">
        <v>29</v>
      </c>
      <c r="B1158" s="57"/>
      <c r="C1158" s="57"/>
      <c r="D1158" s="57"/>
      <c r="E1158" s="57"/>
      <c r="G1158" s="57"/>
      <c r="M1158" t="s">
        <v>29</v>
      </c>
      <c r="N1158" s="57"/>
      <c r="O1158" s="57"/>
      <c r="P1158" s="57"/>
      <c r="Q1158" s="57"/>
      <c r="R1158" s="57"/>
      <c r="S1158" s="57"/>
      <c r="Y1158" t="s">
        <v>29</v>
      </c>
      <c r="Z1158" s="57"/>
      <c r="AA1158" s="57"/>
      <c r="AB1158" s="57"/>
      <c r="AC1158" s="57"/>
      <c r="AD1158" s="57"/>
      <c r="AE1158" s="57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B1159" s="57"/>
      <c r="C1159" s="57"/>
      <c r="D1159" s="57"/>
      <c r="E1159" s="57"/>
      <c r="G1159" s="57"/>
      <c r="N1159" s="57"/>
      <c r="O1159" s="57"/>
      <c r="P1159" s="57"/>
      <c r="Q1159" s="57"/>
      <c r="R1159" s="57"/>
      <c r="S1159" s="57"/>
      <c r="Z1159" s="57"/>
      <c r="AA1159" s="57"/>
      <c r="AB1159" s="57"/>
      <c r="AC1159" s="57"/>
      <c r="AD1159" s="57"/>
      <c r="AE1159" s="57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4" t="s">
        <v>15</v>
      </c>
      <c r="B1160" s="57"/>
      <c r="C1160" s="57"/>
      <c r="D1160" s="57"/>
      <c r="E1160" s="57"/>
      <c r="G1160" s="57"/>
      <c r="M1160" s="4" t="s">
        <v>15</v>
      </c>
      <c r="N1160" s="57"/>
      <c r="O1160" s="57"/>
      <c r="P1160" s="57"/>
      <c r="Q1160" s="57"/>
      <c r="R1160" s="57"/>
      <c r="S1160" s="57"/>
      <c r="Y1160" s="4" t="s">
        <v>15</v>
      </c>
      <c r="Z1160" s="57"/>
      <c r="AA1160" s="57"/>
      <c r="AB1160" s="57"/>
      <c r="AC1160" s="57"/>
      <c r="AD1160" s="57"/>
      <c r="AE1160" s="57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B1161" s="57"/>
      <c r="C1161" s="57"/>
      <c r="D1161" s="57"/>
      <c r="E1161" s="57"/>
      <c r="G1161" s="57"/>
      <c r="N1161" s="57"/>
      <c r="O1161" s="57"/>
      <c r="P1161" s="57"/>
      <c r="Q1161" s="57"/>
      <c r="R1161" s="57"/>
      <c r="S1161" s="57"/>
      <c r="Z1161" s="57"/>
      <c r="AA1161" s="57"/>
      <c r="AB1161" s="57"/>
      <c r="AC1161" s="57"/>
      <c r="AD1161" s="57"/>
      <c r="AE1161" s="57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t="s">
        <v>37</v>
      </c>
      <c r="B1162" s="57"/>
      <c r="C1162" s="57"/>
      <c r="D1162" s="57"/>
      <c r="E1162" s="57"/>
      <c r="G1162" s="57"/>
      <c r="I1162" s="57" t="s">
        <v>16</v>
      </c>
      <c r="J1162" s="19">
        <v>1</v>
      </c>
      <c r="M1162" t="s">
        <v>37</v>
      </c>
      <c r="N1162" s="57"/>
      <c r="O1162" s="57"/>
      <c r="P1162" s="57"/>
      <c r="Q1162" s="57"/>
      <c r="R1162" s="57"/>
      <c r="S1162" s="57"/>
      <c r="U1162" s="57" t="s">
        <v>16</v>
      </c>
      <c r="V1162" s="19">
        <v>2</v>
      </c>
      <c r="Y1162" t="s">
        <v>37</v>
      </c>
      <c r="Z1162" s="57"/>
      <c r="AA1162" s="57"/>
      <c r="AB1162" s="57"/>
      <c r="AC1162" s="57"/>
      <c r="AD1162" s="57"/>
      <c r="AE1162" s="57"/>
      <c r="AG1162" s="57" t="s">
        <v>16</v>
      </c>
      <c r="AH1162" s="20" t="s">
        <v>91</v>
      </c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21" t="s">
        <v>102</v>
      </c>
      <c r="B1163" s="20"/>
      <c r="C1163" s="57"/>
      <c r="D1163" s="57"/>
      <c r="E1163" s="57"/>
      <c r="G1163" s="57"/>
      <c r="I1163" s="22" t="s">
        <v>17</v>
      </c>
      <c r="J1163" s="23" t="s">
        <v>33</v>
      </c>
      <c r="K1163" s="24"/>
      <c r="M1163" s="21" t="s">
        <v>102</v>
      </c>
      <c r="N1163" s="20"/>
      <c r="O1163" s="57"/>
      <c r="P1163" s="57"/>
      <c r="Q1163" s="57"/>
      <c r="R1163" s="57"/>
      <c r="S1163" s="57"/>
      <c r="U1163" s="22" t="s">
        <v>17</v>
      </c>
      <c r="V1163" s="23" t="s">
        <v>34</v>
      </c>
      <c r="W1163" s="24"/>
      <c r="Y1163" s="21" t="s">
        <v>102</v>
      </c>
      <c r="Z1163" s="20"/>
      <c r="AA1163" s="57"/>
      <c r="AB1163" s="57"/>
      <c r="AC1163" s="57"/>
      <c r="AD1163" s="57"/>
      <c r="AE1163" s="57"/>
      <c r="AG1163" s="22" t="s">
        <v>17</v>
      </c>
      <c r="AH1163" s="23" t="s">
        <v>90</v>
      </c>
      <c r="AI1163" s="24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B1164" s="57"/>
      <c r="C1164" s="57"/>
      <c r="D1164" s="57"/>
      <c r="E1164" s="57"/>
      <c r="G1164" s="57"/>
      <c r="N1164" s="57"/>
      <c r="O1164" s="57"/>
      <c r="P1164" s="57"/>
      <c r="Q1164" s="57"/>
      <c r="R1164" s="57"/>
      <c r="S1164" s="57"/>
      <c r="Z1164" s="57"/>
      <c r="AA1164" s="57"/>
      <c r="AB1164" s="57"/>
      <c r="AC1164" s="57"/>
      <c r="AD1164" s="57"/>
      <c r="AE1164" s="57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B1165" s="25"/>
      <c r="C1165" s="26"/>
      <c r="D1165" s="133" t="s">
        <v>18</v>
      </c>
      <c r="E1165" s="133"/>
      <c r="F1165" s="123"/>
      <c r="G1165" s="27"/>
      <c r="I1165" s="131" t="s">
        <v>19</v>
      </c>
      <c r="J1165" s="132"/>
      <c r="K1165" s="129" t="s">
        <v>20</v>
      </c>
      <c r="N1165" s="25"/>
      <c r="O1165" s="26"/>
      <c r="P1165" s="133" t="s">
        <v>18</v>
      </c>
      <c r="Q1165" s="133"/>
      <c r="R1165" s="123"/>
      <c r="S1165" s="27"/>
      <c r="U1165" s="131" t="s">
        <v>19</v>
      </c>
      <c r="V1165" s="132"/>
      <c r="W1165" s="129" t="s">
        <v>20</v>
      </c>
      <c r="Z1165" s="25"/>
      <c r="AA1165" s="26"/>
      <c r="AB1165" s="133" t="s">
        <v>18</v>
      </c>
      <c r="AC1165" s="133"/>
      <c r="AD1165" s="123"/>
      <c r="AE1165" s="27"/>
      <c r="AG1165" s="131" t="s">
        <v>19</v>
      </c>
      <c r="AH1165" s="132"/>
      <c r="AI1165" s="129" t="s">
        <v>20</v>
      </c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ht="30" x14ac:dyDescent="0.25">
      <c r="B1166" s="28" t="s">
        <v>21</v>
      </c>
      <c r="C1166" s="28" t="s">
        <v>22</v>
      </c>
      <c r="D1166" s="83" t="s">
        <v>23</v>
      </c>
      <c r="E1166" s="82" t="s">
        <v>24</v>
      </c>
      <c r="F1166" s="84" t="s">
        <v>36</v>
      </c>
      <c r="G1166" s="84" t="s">
        <v>25</v>
      </c>
      <c r="I1166" s="29" t="s">
        <v>26</v>
      </c>
      <c r="J1166" s="29" t="s">
        <v>27</v>
      </c>
      <c r="K1166" s="130"/>
      <c r="N1166" s="28" t="s">
        <v>21</v>
      </c>
      <c r="O1166" s="28" t="s">
        <v>22</v>
      </c>
      <c r="P1166" s="83" t="s">
        <v>23</v>
      </c>
      <c r="Q1166" s="84" t="s">
        <v>24</v>
      </c>
      <c r="R1166" s="84" t="s">
        <v>36</v>
      </c>
      <c r="S1166" s="84" t="s">
        <v>25</v>
      </c>
      <c r="U1166" s="29" t="s">
        <v>26</v>
      </c>
      <c r="V1166" s="29" t="s">
        <v>27</v>
      </c>
      <c r="W1166" s="130"/>
      <c r="Z1166" s="28" t="s">
        <v>21</v>
      </c>
      <c r="AA1166" s="28" t="s">
        <v>22</v>
      </c>
      <c r="AB1166" s="83" t="s">
        <v>23</v>
      </c>
      <c r="AC1166" s="84" t="s">
        <v>24</v>
      </c>
      <c r="AD1166" s="84" t="s">
        <v>36</v>
      </c>
      <c r="AE1166" s="84" t="s">
        <v>25</v>
      </c>
      <c r="AG1166" s="29" t="s">
        <v>26</v>
      </c>
      <c r="AH1166" s="29" t="s">
        <v>27</v>
      </c>
      <c r="AI1166" s="130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10">
        <v>1</v>
      </c>
      <c r="B1167" s="30" t="s">
        <v>103</v>
      </c>
      <c r="C1167" s="31">
        <v>5601</v>
      </c>
      <c r="D1167" s="32">
        <f>6260+614+95</f>
        <v>6969</v>
      </c>
      <c r="E1167" s="32"/>
      <c r="F1167" s="32"/>
      <c r="G1167" s="32">
        <f t="shared" ref="G1167:G1194" si="347">SUM(D1167:E1167)</f>
        <v>6969</v>
      </c>
      <c r="H1167" s="12"/>
      <c r="I1167" s="12">
        <f>18+8</f>
        <v>26</v>
      </c>
      <c r="J1167" s="12"/>
      <c r="K1167" s="12">
        <f t="shared" ref="K1167:K1200" si="348">SUM(G1167:J1167)</f>
        <v>6995</v>
      </c>
      <c r="M1167" s="10">
        <v>1</v>
      </c>
      <c r="N1167" s="30" t="s">
        <v>103</v>
      </c>
      <c r="O1167" s="31">
        <v>5281</v>
      </c>
      <c r="P1167" s="32">
        <f>2504</f>
        <v>2504</v>
      </c>
      <c r="Q1167" s="32"/>
      <c r="R1167" s="32"/>
      <c r="S1167" s="32">
        <f>SUM(P1167:Q1167)</f>
        <v>2504</v>
      </c>
      <c r="T1167" s="12"/>
      <c r="U1167" s="12"/>
      <c r="V1167" s="12"/>
      <c r="W1167" s="12">
        <f>SUM(S1167:V1167)</f>
        <v>2504</v>
      </c>
      <c r="Y1167" s="10">
        <v>1</v>
      </c>
      <c r="Z1167" s="30" t="s">
        <v>103</v>
      </c>
      <c r="AA1167" s="31">
        <v>5455</v>
      </c>
      <c r="AB1167" s="32">
        <f>135216+3070+3370+64368+2748</f>
        <v>208772</v>
      </c>
      <c r="AC1167" s="32"/>
      <c r="AD1167" s="32"/>
      <c r="AE1167" s="32">
        <f>SUM(AB1167:AC1167)</f>
        <v>208772</v>
      </c>
      <c r="AF1167" s="12"/>
      <c r="AG1167" s="12">
        <f>9990+468</f>
        <v>10458</v>
      </c>
      <c r="AH1167" s="12"/>
      <c r="AI1167" s="12">
        <f>SUM(AE1167:AH1167)</f>
        <v>219230</v>
      </c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10">
        <v>2</v>
      </c>
      <c r="B1168" s="30" t="s">
        <v>103</v>
      </c>
      <c r="C1168" s="31">
        <f>C1167+1</f>
        <v>5602</v>
      </c>
      <c r="D1168" s="32">
        <f>3130+48</f>
        <v>3178</v>
      </c>
      <c r="E1168" s="32"/>
      <c r="F1168" s="32"/>
      <c r="G1168" s="32">
        <f t="shared" si="347"/>
        <v>3178</v>
      </c>
      <c r="H1168" s="12"/>
      <c r="I1168" s="12">
        <v>14</v>
      </c>
      <c r="J1168" s="12"/>
      <c r="K1168" s="12">
        <f t="shared" si="348"/>
        <v>3192</v>
      </c>
      <c r="M1168" s="10">
        <v>2</v>
      </c>
      <c r="N1168" s="30" t="s">
        <v>103</v>
      </c>
      <c r="O1168" s="31">
        <f t="shared" ref="O1168:O1184" si="349">O1167+1</f>
        <v>5282</v>
      </c>
      <c r="P1168" s="32">
        <f>1252+1192+38</f>
        <v>2482</v>
      </c>
      <c r="Q1168" s="32"/>
      <c r="R1168" s="32"/>
      <c r="S1168" s="32">
        <f t="shared" ref="S1168:S1181" si="350">SUM(P1168:Q1168)</f>
        <v>2482</v>
      </c>
      <c r="T1168" s="12"/>
      <c r="U1168" s="12"/>
      <c r="V1168" s="12"/>
      <c r="W1168" s="12">
        <f t="shared" ref="W1168:W1181" si="351">SUM(S1168:V1168)</f>
        <v>2482</v>
      </c>
      <c r="Y1168" s="10">
        <v>2</v>
      </c>
      <c r="Z1168" s="30" t="s">
        <v>103</v>
      </c>
      <c r="AA1168" s="31">
        <v>5424</v>
      </c>
      <c r="AB1168" s="32">
        <f>48202+6140+5960+2496+916</f>
        <v>63714</v>
      </c>
      <c r="AC1168" s="32">
        <v>-624</v>
      </c>
      <c r="AD1168" s="32"/>
      <c r="AE1168" s="32">
        <f t="shared" ref="AE1168:AE1205" si="352">SUM(AB1168:AC1168)</f>
        <v>63090</v>
      </c>
      <c r="AF1168" s="12"/>
      <c r="AG1168" s="12">
        <f>3441</f>
        <v>3441</v>
      </c>
      <c r="AH1168" s="12">
        <v>-156</v>
      </c>
      <c r="AI1168" s="12">
        <f t="shared" ref="AI1168:AI1208" si="353">SUM(AE1168:AH1168)</f>
        <v>66375</v>
      </c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10">
        <v>3</v>
      </c>
      <c r="B1169" s="30" t="s">
        <v>103</v>
      </c>
      <c r="C1169" s="31">
        <v>5047</v>
      </c>
      <c r="D1169" s="33">
        <f>2504+9.5*4</f>
        <v>2542</v>
      </c>
      <c r="E1169" s="33"/>
      <c r="F1169" s="33"/>
      <c r="G1169" s="33">
        <f t="shared" si="347"/>
        <v>2542</v>
      </c>
      <c r="H1169" s="34"/>
      <c r="I1169" s="34"/>
      <c r="J1169" s="34"/>
      <c r="K1169" s="34">
        <f t="shared" si="348"/>
        <v>2542</v>
      </c>
      <c r="M1169" s="10">
        <v>3</v>
      </c>
      <c r="N1169" s="30" t="s">
        <v>103</v>
      </c>
      <c r="O1169" s="31">
        <f t="shared" si="349"/>
        <v>5283</v>
      </c>
      <c r="P1169" s="32">
        <f>2504+1788</f>
        <v>4292</v>
      </c>
      <c r="Q1169" s="32"/>
      <c r="R1169" s="32"/>
      <c r="S1169" s="32">
        <f t="shared" si="350"/>
        <v>4292</v>
      </c>
      <c r="T1169" s="12"/>
      <c r="U1169" s="12">
        <v>4.5</v>
      </c>
      <c r="V1169" s="12"/>
      <c r="W1169" s="12">
        <f t="shared" si="351"/>
        <v>4296.5</v>
      </c>
      <c r="Y1169" s="10">
        <v>3</v>
      </c>
      <c r="Z1169" s="30" t="s">
        <v>103</v>
      </c>
      <c r="AA1169" s="31">
        <f t="shared" ref="AA1169:AA1170" si="354">AA1168+1</f>
        <v>5425</v>
      </c>
      <c r="AB1169" s="33">
        <f>135216+64368+2748</f>
        <v>202332</v>
      </c>
      <c r="AC1169" s="33"/>
      <c r="AD1169" s="32"/>
      <c r="AE1169" s="32">
        <f t="shared" si="352"/>
        <v>202332</v>
      </c>
      <c r="AF1169" s="12"/>
      <c r="AG1169" s="12">
        <f>24864+936</f>
        <v>25800</v>
      </c>
      <c r="AH1169" s="12"/>
      <c r="AI1169" s="12">
        <f t="shared" si="353"/>
        <v>228132</v>
      </c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10">
        <v>4</v>
      </c>
      <c r="B1170" s="30" t="s">
        <v>103</v>
      </c>
      <c r="C1170" s="31">
        <f t="shared" ref="C1170:C1175" si="355">C1169+1</f>
        <v>5048</v>
      </c>
      <c r="D1170" s="32">
        <f>626+614+10</f>
        <v>1250</v>
      </c>
      <c r="E1170" s="32"/>
      <c r="F1170" s="32"/>
      <c r="G1170" s="32">
        <f t="shared" si="347"/>
        <v>1250</v>
      </c>
      <c r="H1170" s="12"/>
      <c r="I1170" s="12"/>
      <c r="J1170" s="12"/>
      <c r="K1170" s="12">
        <f t="shared" si="348"/>
        <v>1250</v>
      </c>
      <c r="M1170" s="10">
        <v>4</v>
      </c>
      <c r="N1170" s="30" t="s">
        <v>103</v>
      </c>
      <c r="O1170" s="31">
        <f t="shared" si="349"/>
        <v>5284</v>
      </c>
      <c r="P1170" s="32">
        <f>3130+47.5</f>
        <v>3177.5</v>
      </c>
      <c r="Q1170" s="32"/>
      <c r="R1170" s="32"/>
      <c r="S1170" s="32">
        <f t="shared" si="350"/>
        <v>3177.5</v>
      </c>
      <c r="T1170" s="12"/>
      <c r="U1170" s="12"/>
      <c r="V1170" s="12"/>
      <c r="W1170" s="12">
        <f t="shared" si="351"/>
        <v>3177.5</v>
      </c>
      <c r="Y1170" s="10">
        <v>4</v>
      </c>
      <c r="Z1170" s="30" t="s">
        <v>103</v>
      </c>
      <c r="AA1170" s="31">
        <f t="shared" si="354"/>
        <v>5426</v>
      </c>
      <c r="AB1170" s="32">
        <f>67608+9210+89400+4260+1145</f>
        <v>171623</v>
      </c>
      <c r="AC1170" s="32">
        <v>-1698</v>
      </c>
      <c r="AD1170" s="32"/>
      <c r="AE1170" s="32">
        <f t="shared" si="352"/>
        <v>169925</v>
      </c>
      <c r="AF1170" s="12"/>
      <c r="AG1170">
        <f>1776+156+270</f>
        <v>2202</v>
      </c>
      <c r="AH1170" s="12"/>
      <c r="AI1170" s="12">
        <f t="shared" si="353"/>
        <v>172127</v>
      </c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10">
        <v>5</v>
      </c>
      <c r="B1171" s="30" t="s">
        <v>103</v>
      </c>
      <c r="C1171" s="31">
        <f t="shared" si="355"/>
        <v>5049</v>
      </c>
      <c r="D1171" s="32">
        <f>4382+614+596+76</f>
        <v>5668</v>
      </c>
      <c r="E1171" s="32"/>
      <c r="F1171" s="32"/>
      <c r="G1171" s="32">
        <f t="shared" si="347"/>
        <v>5668</v>
      </c>
      <c r="H1171" s="12"/>
      <c r="I1171" s="12"/>
      <c r="J1171" s="12"/>
      <c r="K1171" s="12">
        <f t="shared" si="348"/>
        <v>5668</v>
      </c>
      <c r="M1171" s="10">
        <v>5</v>
      </c>
      <c r="N1171" s="30" t="s">
        <v>103</v>
      </c>
      <c r="O1171" s="31">
        <v>5587</v>
      </c>
      <c r="P1171" s="32">
        <f>1252+19</f>
        <v>1271</v>
      </c>
      <c r="Q1171" s="32"/>
      <c r="R1171" s="32"/>
      <c r="S1171" s="32">
        <f t="shared" si="350"/>
        <v>1271</v>
      </c>
      <c r="T1171" s="12"/>
      <c r="U1171" s="12"/>
      <c r="V1171" s="12"/>
      <c r="W1171" s="12">
        <f t="shared" si="351"/>
        <v>1271</v>
      </c>
      <c r="Y1171" s="10">
        <v>5</v>
      </c>
      <c r="Z1171" s="30"/>
      <c r="AA1171" s="11" t="s">
        <v>28</v>
      </c>
      <c r="AB1171" s="32"/>
      <c r="AC1171" s="32"/>
      <c r="AD1171" s="32"/>
      <c r="AE1171" s="32">
        <f t="shared" si="352"/>
        <v>0</v>
      </c>
      <c r="AF1171" s="12"/>
      <c r="AG1171" s="12"/>
      <c r="AH1171" s="12"/>
      <c r="AI1171" s="12">
        <f t="shared" si="353"/>
        <v>0</v>
      </c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10">
        <v>6</v>
      </c>
      <c r="B1172" s="30" t="s">
        <v>103</v>
      </c>
      <c r="C1172" s="31">
        <v>5550</v>
      </c>
      <c r="D1172" s="32">
        <f>1145</f>
        <v>1145</v>
      </c>
      <c r="E1172" s="32"/>
      <c r="F1172" s="32"/>
      <c r="G1172" s="32">
        <f t="shared" si="347"/>
        <v>1145</v>
      </c>
      <c r="H1172" s="12"/>
      <c r="I1172" s="12"/>
      <c r="J1172" s="12"/>
      <c r="K1172" s="12">
        <f t="shared" si="348"/>
        <v>1145</v>
      </c>
      <c r="M1172" s="10">
        <v>6</v>
      </c>
      <c r="N1172" s="30" t="s">
        <v>103</v>
      </c>
      <c r="O1172" s="31">
        <f t="shared" si="349"/>
        <v>5588</v>
      </c>
      <c r="P1172" s="32">
        <f>2504+1788+66.5</f>
        <v>4358.5</v>
      </c>
      <c r="Q1172" s="32"/>
      <c r="R1172" s="32"/>
      <c r="S1172" s="32">
        <f t="shared" si="350"/>
        <v>4358.5</v>
      </c>
      <c r="T1172" s="12"/>
      <c r="U1172" s="12"/>
      <c r="V1172" s="10"/>
      <c r="W1172" s="12">
        <f t="shared" si="351"/>
        <v>4358.5</v>
      </c>
      <c r="Y1172" s="10">
        <v>6</v>
      </c>
      <c r="Z1172" s="30"/>
      <c r="AA1172" s="31"/>
      <c r="AB1172" s="32"/>
      <c r="AC1172" s="32"/>
      <c r="AD1172" s="32"/>
      <c r="AE1172" s="32">
        <f t="shared" si="352"/>
        <v>0</v>
      </c>
      <c r="AF1172" s="12"/>
      <c r="AG1172" s="12"/>
      <c r="AH1172" s="10"/>
      <c r="AI1172" s="12">
        <f t="shared" si="353"/>
        <v>0</v>
      </c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10">
        <v>7</v>
      </c>
      <c r="B1173" s="30" t="s">
        <v>103</v>
      </c>
      <c r="C1173" s="31">
        <v>5549</v>
      </c>
      <c r="D1173" s="32">
        <f>1878+29</f>
        <v>1907</v>
      </c>
      <c r="E1173" s="32"/>
      <c r="F1173" s="32"/>
      <c r="G1173" s="32">
        <f t="shared" si="347"/>
        <v>1907</v>
      </c>
      <c r="H1173" s="12"/>
      <c r="I1173" s="12"/>
      <c r="J1173" s="12"/>
      <c r="K1173" s="12">
        <f t="shared" si="348"/>
        <v>1907</v>
      </c>
      <c r="M1173" s="10">
        <v>7</v>
      </c>
      <c r="N1173" s="30" t="s">
        <v>103</v>
      </c>
      <c r="O1173" s="31">
        <f t="shared" si="349"/>
        <v>5589</v>
      </c>
      <c r="P1173" s="32">
        <f>4382+66.5</f>
        <v>4448.5</v>
      </c>
      <c r="Q1173" s="32"/>
      <c r="R1173" s="32"/>
      <c r="S1173" s="32">
        <f t="shared" si="350"/>
        <v>4448.5</v>
      </c>
      <c r="T1173" s="12"/>
      <c r="U1173" s="12"/>
      <c r="V1173" s="12"/>
      <c r="W1173" s="12">
        <f t="shared" si="351"/>
        <v>4448.5</v>
      </c>
      <c r="Y1173" s="10">
        <v>7</v>
      </c>
      <c r="Z1173" s="30"/>
      <c r="AA1173" s="31"/>
      <c r="AB1173" s="32"/>
      <c r="AC1173" s="32"/>
      <c r="AD1173" s="32"/>
      <c r="AE1173" s="32">
        <f t="shared" si="352"/>
        <v>0</v>
      </c>
      <c r="AF1173" s="12"/>
      <c r="AG1173" s="58"/>
      <c r="AH1173" s="12"/>
      <c r="AI1173" s="12">
        <f t="shared" si="353"/>
        <v>0</v>
      </c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10">
        <v>8</v>
      </c>
      <c r="B1174" s="30" t="s">
        <v>103</v>
      </c>
      <c r="C1174" s="31">
        <v>5095</v>
      </c>
      <c r="D1174" s="32">
        <f>3130+614+48</f>
        <v>3792</v>
      </c>
      <c r="E1174" s="32"/>
      <c r="F1174" s="32"/>
      <c r="G1174" s="32">
        <f t="shared" si="347"/>
        <v>3792</v>
      </c>
      <c r="H1174" s="12"/>
      <c r="I1174" s="12"/>
      <c r="J1174" s="12"/>
      <c r="K1174" s="12">
        <f t="shared" si="348"/>
        <v>3792</v>
      </c>
      <c r="M1174" s="10">
        <v>8</v>
      </c>
      <c r="N1174" s="30" t="s">
        <v>103</v>
      </c>
      <c r="O1174" s="31">
        <f t="shared" si="349"/>
        <v>5590</v>
      </c>
      <c r="P1174" s="32">
        <f>20032+614</f>
        <v>20646</v>
      </c>
      <c r="Q1174" s="32"/>
      <c r="R1174" s="32"/>
      <c r="S1174" s="32">
        <f t="shared" si="350"/>
        <v>20646</v>
      </c>
      <c r="T1174" s="12"/>
      <c r="U1174" s="12"/>
      <c r="V1174" s="12"/>
      <c r="W1174" s="12">
        <f t="shared" si="351"/>
        <v>20646</v>
      </c>
      <c r="Y1174" s="10">
        <v>8</v>
      </c>
      <c r="Z1174" s="30"/>
      <c r="AA1174" s="31"/>
      <c r="AB1174" s="32"/>
      <c r="AC1174" s="32"/>
      <c r="AE1174" s="32">
        <f t="shared" si="352"/>
        <v>0</v>
      </c>
      <c r="AF1174" s="12"/>
      <c r="AG1174" s="12"/>
      <c r="AH1174" s="12"/>
      <c r="AI1174" s="12">
        <f t="shared" si="353"/>
        <v>0</v>
      </c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10">
        <v>9</v>
      </c>
      <c r="B1175" s="30" t="s">
        <v>103</v>
      </c>
      <c r="C1175" s="31">
        <f t="shared" si="355"/>
        <v>5096</v>
      </c>
      <c r="D1175" s="32">
        <f>650</f>
        <v>650</v>
      </c>
      <c r="E1175" s="32"/>
      <c r="F1175" s="32"/>
      <c r="G1175" s="32">
        <f t="shared" si="347"/>
        <v>650</v>
      </c>
      <c r="H1175" s="12"/>
      <c r="I1175" s="12"/>
      <c r="J1175" s="12"/>
      <c r="K1175" s="12">
        <f t="shared" si="348"/>
        <v>650</v>
      </c>
      <c r="M1175" s="10">
        <v>9</v>
      </c>
      <c r="N1175" s="30" t="s">
        <v>103</v>
      </c>
      <c r="O1175" s="31">
        <f t="shared" si="349"/>
        <v>5591</v>
      </c>
      <c r="P1175" s="32">
        <f>5634+1228+2980+114</f>
        <v>9956</v>
      </c>
      <c r="Q1175" s="32"/>
      <c r="R1175" s="32"/>
      <c r="S1175" s="32">
        <f t="shared" si="350"/>
        <v>9956</v>
      </c>
      <c r="T1175" s="12"/>
      <c r="U1175" s="12"/>
      <c r="V1175" s="12"/>
      <c r="W1175" s="12">
        <f t="shared" si="351"/>
        <v>9956</v>
      </c>
      <c r="Y1175" s="10">
        <v>9</v>
      </c>
      <c r="Z1175" s="30"/>
      <c r="AA1175" s="31"/>
      <c r="AC1175" s="32"/>
      <c r="AD1175" s="32"/>
      <c r="AE1175" s="32">
        <f t="shared" si="352"/>
        <v>0</v>
      </c>
      <c r="AF1175" s="12"/>
      <c r="AH1175" s="12"/>
      <c r="AI1175" s="12">
        <f t="shared" si="353"/>
        <v>0</v>
      </c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10">
        <v>10</v>
      </c>
      <c r="B1176" s="30" t="s">
        <v>103</v>
      </c>
      <c r="C1176" s="31">
        <v>5099</v>
      </c>
      <c r="D1176" s="32">
        <f>11894+1228+2384+832+219</f>
        <v>16557</v>
      </c>
      <c r="E1176" s="32"/>
      <c r="F1176" s="32"/>
      <c r="G1176" s="32">
        <f t="shared" si="347"/>
        <v>16557</v>
      </c>
      <c r="H1176" s="12"/>
      <c r="I1176" s="12">
        <v>35</v>
      </c>
      <c r="J1176" s="12"/>
      <c r="K1176" s="12">
        <f t="shared" si="348"/>
        <v>16592</v>
      </c>
      <c r="M1176" s="10">
        <v>10</v>
      </c>
      <c r="N1176" s="30" t="s">
        <v>103</v>
      </c>
      <c r="O1176" s="31">
        <f t="shared" si="349"/>
        <v>5592</v>
      </c>
      <c r="P1176" s="32">
        <f>17528+1228+913+229</f>
        <v>19898</v>
      </c>
      <c r="Q1176" s="32"/>
      <c r="R1176" s="32"/>
      <c r="S1176" s="32">
        <f t="shared" si="350"/>
        <v>19898</v>
      </c>
      <c r="T1176" s="12"/>
      <c r="U1176" s="12"/>
      <c r="V1176" s="12"/>
      <c r="W1176" s="12">
        <f t="shared" si="351"/>
        <v>19898</v>
      </c>
      <c r="Y1176" s="10">
        <v>10</v>
      </c>
      <c r="Z1176" s="30"/>
      <c r="AA1176" s="31"/>
      <c r="AB1176" s="32"/>
      <c r="AC1176" s="32"/>
      <c r="AD1176" s="32"/>
      <c r="AE1176" s="32">
        <f t="shared" si="352"/>
        <v>0</v>
      </c>
      <c r="AF1176" s="12"/>
      <c r="AG1176" s="12"/>
      <c r="AH1176" s="12"/>
      <c r="AI1176" s="12">
        <f t="shared" si="353"/>
        <v>0</v>
      </c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10">
        <v>11</v>
      </c>
      <c r="B1177" s="30" t="s">
        <v>103</v>
      </c>
      <c r="C1177" s="31">
        <v>5606</v>
      </c>
      <c r="D1177" s="32">
        <f>18260</f>
        <v>18260</v>
      </c>
      <c r="E1177" s="32"/>
      <c r="F1177" s="32"/>
      <c r="G1177" s="32">
        <f t="shared" si="347"/>
        <v>18260</v>
      </c>
      <c r="H1177" s="12"/>
      <c r="I1177" s="12"/>
      <c r="J1177" s="12"/>
      <c r="K1177" s="12">
        <f t="shared" si="348"/>
        <v>18260</v>
      </c>
      <c r="M1177" s="10">
        <v>11</v>
      </c>
      <c r="N1177" s="30" t="s">
        <v>103</v>
      </c>
      <c r="O1177" s="31">
        <f t="shared" si="349"/>
        <v>5593</v>
      </c>
      <c r="P1177" s="32">
        <f>2504+1192</f>
        <v>3696</v>
      </c>
      <c r="Q1177" s="32"/>
      <c r="R1177" s="32"/>
      <c r="S1177" s="32">
        <f t="shared" si="350"/>
        <v>3696</v>
      </c>
      <c r="T1177" s="12"/>
      <c r="U1177" s="12"/>
      <c r="V1177" s="12"/>
      <c r="W1177" s="12">
        <f t="shared" si="351"/>
        <v>3696</v>
      </c>
      <c r="Y1177" s="10">
        <v>11</v>
      </c>
      <c r="Z1177" s="30"/>
      <c r="AA1177" s="31"/>
      <c r="AB1177" s="32"/>
      <c r="AC1177" s="32"/>
      <c r="AD1177" s="32"/>
      <c r="AE1177" s="32">
        <f t="shared" si="352"/>
        <v>0</v>
      </c>
      <c r="AF1177" s="12"/>
      <c r="AG1177" s="12"/>
      <c r="AH1177" s="12"/>
      <c r="AI1177" s="12">
        <f t="shared" si="353"/>
        <v>0</v>
      </c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10">
        <v>12</v>
      </c>
      <c r="B1178" s="30" t="s">
        <v>103</v>
      </c>
      <c r="C1178" s="31">
        <v>5605</v>
      </c>
      <c r="D1178" s="32">
        <f>229+500</f>
        <v>729</v>
      </c>
      <c r="E1178" s="32"/>
      <c r="F1178" s="32"/>
      <c r="G1178" s="32">
        <f t="shared" si="347"/>
        <v>729</v>
      </c>
      <c r="H1178" s="12"/>
      <c r="I1178" s="12">
        <f>78+120</f>
        <v>198</v>
      </c>
      <c r="J1178" s="10"/>
      <c r="K1178" s="12">
        <f t="shared" si="348"/>
        <v>927</v>
      </c>
      <c r="M1178" s="10">
        <v>12</v>
      </c>
      <c r="N1178" s="30" t="s">
        <v>103</v>
      </c>
      <c r="O1178" s="31">
        <f t="shared" si="349"/>
        <v>5594</v>
      </c>
      <c r="P1178" s="32">
        <f>9390+142.5</f>
        <v>9532.5</v>
      </c>
      <c r="Q1178" s="32"/>
      <c r="R1178" s="32"/>
      <c r="S1178" s="32">
        <f t="shared" si="350"/>
        <v>9532.5</v>
      </c>
      <c r="T1178" s="12"/>
      <c r="U1178" s="12"/>
      <c r="V1178" s="12"/>
      <c r="W1178" s="12">
        <f t="shared" si="351"/>
        <v>9532.5</v>
      </c>
      <c r="Y1178" s="10">
        <v>12</v>
      </c>
      <c r="Z1178" s="30"/>
      <c r="AA1178" s="31"/>
      <c r="AB1178" s="32"/>
      <c r="AC1178" s="32"/>
      <c r="AD1178" s="32"/>
      <c r="AE1178" s="32">
        <f t="shared" si="352"/>
        <v>0</v>
      </c>
      <c r="AF1178" s="12"/>
      <c r="AG1178" s="12"/>
      <c r="AH1178" s="12"/>
      <c r="AI1178" s="12">
        <f t="shared" si="353"/>
        <v>0</v>
      </c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10">
        <v>13</v>
      </c>
      <c r="B1179" s="30" t="s">
        <v>103</v>
      </c>
      <c r="C1179" s="3">
        <v>5604</v>
      </c>
      <c r="D1179" s="32">
        <f>3756</f>
        <v>3756</v>
      </c>
      <c r="E1179" s="32"/>
      <c r="F1179" s="32"/>
      <c r="G1179" s="32">
        <f t="shared" si="347"/>
        <v>3756</v>
      </c>
      <c r="H1179" s="12"/>
      <c r="I1179" s="12"/>
      <c r="J1179" s="12"/>
      <c r="K1179" s="12">
        <f t="shared" si="348"/>
        <v>3756</v>
      </c>
      <c r="M1179" s="10">
        <v>13</v>
      </c>
      <c r="N1179" s="30" t="s">
        <v>103</v>
      </c>
      <c r="O1179" s="31">
        <f t="shared" si="349"/>
        <v>5595</v>
      </c>
      <c r="P1179" s="32">
        <f>9390+916</f>
        <v>10306</v>
      </c>
      <c r="Q1179" s="32"/>
      <c r="R1179" s="32"/>
      <c r="S1179" s="32">
        <f t="shared" si="350"/>
        <v>10306</v>
      </c>
      <c r="T1179" s="12"/>
      <c r="U1179" s="12"/>
      <c r="V1179" s="12"/>
      <c r="W1179" s="12">
        <f t="shared" si="351"/>
        <v>10306</v>
      </c>
      <c r="Y1179" s="10">
        <v>13</v>
      </c>
      <c r="Z1179" s="30"/>
      <c r="AA1179" s="31"/>
      <c r="AB1179" s="32"/>
      <c r="AC1179" s="32"/>
      <c r="AD1179" s="32"/>
      <c r="AE1179" s="32">
        <f t="shared" si="352"/>
        <v>0</v>
      </c>
      <c r="AF1179" s="12"/>
      <c r="AG1179" s="12"/>
      <c r="AH1179" s="12"/>
      <c r="AI1179" s="12">
        <f t="shared" si="353"/>
        <v>0</v>
      </c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10">
        <v>14</v>
      </c>
      <c r="B1180" s="30" t="s">
        <v>103</v>
      </c>
      <c r="C1180" s="31">
        <f>5603</f>
        <v>5603</v>
      </c>
      <c r="D1180" s="32">
        <f>68860+3070+913+5364+1704+1447+832+1374+1000</f>
        <v>84564</v>
      </c>
      <c r="E1180" s="32"/>
      <c r="F1180" s="32"/>
      <c r="G1180" s="32">
        <f t="shared" si="347"/>
        <v>84564</v>
      </c>
      <c r="H1180" s="12"/>
      <c r="I1180" s="12">
        <f>945+90+72</f>
        <v>1107</v>
      </c>
      <c r="J1180" s="12">
        <v>-1014</v>
      </c>
      <c r="K1180" s="12">
        <f t="shared" si="348"/>
        <v>84657</v>
      </c>
      <c r="M1180" s="10">
        <v>14</v>
      </c>
      <c r="N1180" s="30" t="s">
        <v>103</v>
      </c>
      <c r="O1180" s="31">
        <f t="shared" si="349"/>
        <v>5596</v>
      </c>
      <c r="P1180" s="32">
        <f>1878+614+596+38</f>
        <v>3126</v>
      </c>
      <c r="Q1180" s="32"/>
      <c r="R1180" s="32"/>
      <c r="S1180" s="32">
        <f t="shared" si="350"/>
        <v>3126</v>
      </c>
      <c r="T1180" s="12"/>
      <c r="U1180" s="12"/>
      <c r="V1180" s="12"/>
      <c r="W1180" s="12">
        <f t="shared" si="351"/>
        <v>3126</v>
      </c>
      <c r="Y1180" s="10">
        <v>14</v>
      </c>
      <c r="Z1180" s="30"/>
      <c r="AA1180" s="31"/>
      <c r="AB1180" s="32"/>
      <c r="AC1180" s="32"/>
      <c r="AD1180" s="32"/>
      <c r="AE1180" s="32">
        <f t="shared" si="352"/>
        <v>0</v>
      </c>
      <c r="AF1180" s="12"/>
      <c r="AG1180" s="12"/>
      <c r="AH1180" s="12"/>
      <c r="AI1180" s="12">
        <f t="shared" si="353"/>
        <v>0</v>
      </c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10">
        <v>15</v>
      </c>
      <c r="B1181" s="30"/>
      <c r="C1181" s="11" t="s">
        <v>28</v>
      </c>
      <c r="D1181" s="32"/>
      <c r="E1181" s="32"/>
      <c r="F1181" s="32"/>
      <c r="G1181" s="32">
        <f t="shared" si="347"/>
        <v>0</v>
      </c>
      <c r="H1181" s="12"/>
      <c r="I1181" s="12"/>
      <c r="J1181" s="12"/>
      <c r="K1181" s="12">
        <f t="shared" si="348"/>
        <v>0</v>
      </c>
      <c r="M1181" s="10">
        <v>15</v>
      </c>
      <c r="N1181" s="30" t="s">
        <v>103</v>
      </c>
      <c r="O1181" s="31">
        <f t="shared" si="349"/>
        <v>5597</v>
      </c>
      <c r="P1181" s="32">
        <f>10642+596</f>
        <v>11238</v>
      </c>
      <c r="R1181" s="32"/>
      <c r="S1181" s="32">
        <f t="shared" si="350"/>
        <v>11238</v>
      </c>
      <c r="T1181" s="12"/>
      <c r="U1181" s="12"/>
      <c r="W1181" s="12">
        <f t="shared" si="351"/>
        <v>11238</v>
      </c>
      <c r="Y1181" s="10">
        <v>15</v>
      </c>
      <c r="Z1181" s="30"/>
      <c r="AA1181" s="31"/>
      <c r="AB1181" s="32"/>
      <c r="AC1181" s="32"/>
      <c r="AD1181" s="32"/>
      <c r="AE1181" s="32">
        <f t="shared" si="352"/>
        <v>0</v>
      </c>
      <c r="AF1181" s="12"/>
      <c r="AG1181" s="12"/>
      <c r="AH1181" s="12"/>
      <c r="AI1181" s="12">
        <f t="shared" si="353"/>
        <v>0</v>
      </c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10">
        <v>16</v>
      </c>
      <c r="B1182" s="30"/>
      <c r="C1182" s="31"/>
      <c r="D1182" s="32"/>
      <c r="E1182" s="32"/>
      <c r="F1182" s="32"/>
      <c r="G1182" s="32">
        <f t="shared" si="347"/>
        <v>0</v>
      </c>
      <c r="H1182" s="12"/>
      <c r="I1182" s="12"/>
      <c r="J1182" s="12"/>
      <c r="K1182" s="12">
        <f t="shared" si="348"/>
        <v>0</v>
      </c>
      <c r="M1182" s="10">
        <v>16</v>
      </c>
      <c r="N1182" s="30" t="s">
        <v>103</v>
      </c>
      <c r="O1182" s="31">
        <f t="shared" si="349"/>
        <v>5598</v>
      </c>
      <c r="P1182" s="32">
        <f>3130+596+57</f>
        <v>3783</v>
      </c>
      <c r="Q1182" s="32"/>
      <c r="R1182" s="32"/>
      <c r="S1182" s="32">
        <f>SUM(P1182:Q1182)</f>
        <v>3783</v>
      </c>
      <c r="T1182" s="12"/>
      <c r="U1182" s="12"/>
      <c r="V1182" s="12"/>
      <c r="W1182" s="12">
        <f>SUM(S1182:V1182)</f>
        <v>3783</v>
      </c>
      <c r="Y1182" s="10">
        <v>16</v>
      </c>
      <c r="Z1182" s="30"/>
      <c r="AA1182" s="31"/>
      <c r="AB1182" s="32"/>
      <c r="AC1182" s="32"/>
      <c r="AD1182" s="32"/>
      <c r="AE1182" s="32">
        <f t="shared" si="352"/>
        <v>0</v>
      </c>
      <c r="AF1182" s="12"/>
      <c r="AG1182" s="12"/>
      <c r="AH1182" s="12"/>
      <c r="AI1182" s="12">
        <f t="shared" si="353"/>
        <v>0</v>
      </c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10">
        <v>17</v>
      </c>
      <c r="B1183" s="30"/>
      <c r="C1183" s="31"/>
      <c r="D1183" s="32"/>
      <c r="E1183" s="32"/>
      <c r="F1183" s="32"/>
      <c r="G1183" s="32">
        <f t="shared" si="347"/>
        <v>0</v>
      </c>
      <c r="H1183" s="12"/>
      <c r="I1183" s="12"/>
      <c r="J1183" s="12"/>
      <c r="K1183" s="12">
        <f t="shared" si="348"/>
        <v>0</v>
      </c>
      <c r="M1183" s="10">
        <v>17</v>
      </c>
      <c r="N1183" s="30" t="s">
        <v>103</v>
      </c>
      <c r="O1183" s="31">
        <f t="shared" si="349"/>
        <v>5599</v>
      </c>
      <c r="P1183" s="35">
        <f>626+229</f>
        <v>855</v>
      </c>
      <c r="Q1183" s="32"/>
      <c r="R1183" s="32"/>
      <c r="S1183" s="32">
        <f t="shared" ref="S1183:S1205" si="356">SUM(P1183:Q1183)</f>
        <v>855</v>
      </c>
      <c r="T1183" s="12"/>
      <c r="U1183" s="12"/>
      <c r="V1183" s="12"/>
      <c r="W1183" s="12">
        <f t="shared" ref="W1183:W1208" si="357">SUM(S1183:V1183)</f>
        <v>855</v>
      </c>
      <c r="Y1183" s="10">
        <v>17</v>
      </c>
      <c r="Z1183" s="30"/>
      <c r="AA1183" s="31"/>
      <c r="AB1183" s="35"/>
      <c r="AC1183" s="32"/>
      <c r="AD1183" s="32"/>
      <c r="AE1183" s="32">
        <f t="shared" si="352"/>
        <v>0</v>
      </c>
      <c r="AF1183" s="12"/>
      <c r="AG1183" s="12"/>
      <c r="AH1183" s="12"/>
      <c r="AI1183" s="12">
        <f t="shared" si="353"/>
        <v>0</v>
      </c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10">
        <v>18</v>
      </c>
      <c r="B1184" s="30"/>
      <c r="C1184" s="57"/>
      <c r="D1184" s="32"/>
      <c r="E1184" s="32"/>
      <c r="F1184" s="32"/>
      <c r="G1184" s="32">
        <f t="shared" si="347"/>
        <v>0</v>
      </c>
      <c r="H1184" s="12"/>
      <c r="I1184" s="12"/>
      <c r="J1184" s="12"/>
      <c r="K1184" s="12">
        <f t="shared" si="348"/>
        <v>0</v>
      </c>
      <c r="M1184" s="10">
        <v>18</v>
      </c>
      <c r="N1184" s="30" t="s">
        <v>103</v>
      </c>
      <c r="O1184" s="31">
        <f t="shared" si="349"/>
        <v>5600</v>
      </c>
      <c r="P1184" s="32">
        <f>6260+95</f>
        <v>6355</v>
      </c>
      <c r="Q1184" s="32"/>
      <c r="R1184" s="32"/>
      <c r="S1184" s="32">
        <f t="shared" si="356"/>
        <v>6355</v>
      </c>
      <c r="T1184" s="12"/>
      <c r="U1184" s="12"/>
      <c r="V1184" s="12"/>
      <c r="W1184" s="12">
        <f t="shared" si="357"/>
        <v>6355</v>
      </c>
      <c r="Y1184" s="10">
        <v>18</v>
      </c>
      <c r="Z1184" s="30"/>
      <c r="AA1184" s="31"/>
      <c r="AB1184" s="32"/>
      <c r="AC1184" s="32"/>
      <c r="AD1184" s="32"/>
      <c r="AE1184" s="32">
        <f t="shared" si="352"/>
        <v>0</v>
      </c>
      <c r="AF1184" s="12"/>
      <c r="AG1184" s="12"/>
      <c r="AH1184" s="12"/>
      <c r="AI1184" s="12">
        <f t="shared" si="353"/>
        <v>0</v>
      </c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10">
        <v>19</v>
      </c>
      <c r="B1185" s="30"/>
      <c r="C1185" s="31"/>
      <c r="D1185" s="32"/>
      <c r="E1185" s="32"/>
      <c r="F1185" s="32"/>
      <c r="G1185" s="32">
        <f t="shared" si="347"/>
        <v>0</v>
      </c>
      <c r="H1185" s="12"/>
      <c r="I1185" s="12"/>
      <c r="J1185" s="12"/>
      <c r="K1185" s="12">
        <f t="shared" si="348"/>
        <v>0</v>
      </c>
      <c r="M1185" s="10">
        <v>19</v>
      </c>
      <c r="N1185" s="30"/>
      <c r="O1185" s="11" t="s">
        <v>28</v>
      </c>
      <c r="P1185" s="32"/>
      <c r="Q1185" s="32"/>
      <c r="R1185" s="32"/>
      <c r="S1185" s="32">
        <f t="shared" si="356"/>
        <v>0</v>
      </c>
      <c r="T1185" s="12"/>
      <c r="U1185" s="12"/>
      <c r="V1185" s="12"/>
      <c r="W1185" s="12">
        <f t="shared" si="357"/>
        <v>0</v>
      </c>
      <c r="Y1185" s="10">
        <v>19</v>
      </c>
      <c r="Z1185" s="30"/>
      <c r="AA1185" s="31"/>
      <c r="AB1185" s="32"/>
      <c r="AC1185" s="32"/>
      <c r="AD1185" s="32"/>
      <c r="AE1185" s="32">
        <f t="shared" si="352"/>
        <v>0</v>
      </c>
      <c r="AF1185" s="12"/>
      <c r="AG1185" s="12"/>
      <c r="AH1185" s="12"/>
      <c r="AI1185" s="12">
        <f t="shared" si="353"/>
        <v>0</v>
      </c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10">
        <v>20</v>
      </c>
      <c r="B1186" s="30"/>
      <c r="C1186" s="31"/>
      <c r="D1186" s="32"/>
      <c r="E1186" s="32"/>
      <c r="F1186" s="32"/>
      <c r="G1186" s="32">
        <f t="shared" si="347"/>
        <v>0</v>
      </c>
      <c r="H1186" s="12"/>
      <c r="I1186" s="12"/>
      <c r="J1186" s="12"/>
      <c r="K1186" s="12">
        <f t="shared" si="348"/>
        <v>0</v>
      </c>
      <c r="M1186" s="10">
        <v>20</v>
      </c>
      <c r="N1186" s="30"/>
      <c r="O1186" s="31"/>
      <c r="P1186" s="32"/>
      <c r="Q1186" s="32"/>
      <c r="R1186" s="32"/>
      <c r="S1186" s="32">
        <f t="shared" si="356"/>
        <v>0</v>
      </c>
      <c r="T1186" s="12"/>
      <c r="U1186" s="12"/>
      <c r="V1186" s="12"/>
      <c r="W1186" s="12">
        <f t="shared" si="357"/>
        <v>0</v>
      </c>
      <c r="Y1186" s="10">
        <v>20</v>
      </c>
      <c r="Z1186" s="30"/>
      <c r="AA1186" s="31"/>
      <c r="AB1186" s="32"/>
      <c r="AC1186" s="32"/>
      <c r="AD1186" s="32"/>
      <c r="AE1186" s="32">
        <f t="shared" si="352"/>
        <v>0</v>
      </c>
      <c r="AF1186" s="12"/>
      <c r="AG1186" s="12"/>
      <c r="AH1186" s="12"/>
      <c r="AI1186" s="12">
        <f t="shared" si="353"/>
        <v>0</v>
      </c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10">
        <v>21</v>
      </c>
      <c r="B1187" s="30"/>
      <c r="D1187" s="32"/>
      <c r="E1187" s="32"/>
      <c r="F1187" s="32"/>
      <c r="G1187" s="32">
        <f t="shared" si="347"/>
        <v>0</v>
      </c>
      <c r="H1187" s="10"/>
      <c r="I1187" s="10"/>
      <c r="J1187" s="10"/>
      <c r="K1187" s="12">
        <f t="shared" si="348"/>
        <v>0</v>
      </c>
      <c r="M1187" s="10">
        <v>21</v>
      </c>
      <c r="N1187" s="30"/>
      <c r="P1187" s="46"/>
      <c r="Q1187" s="31"/>
      <c r="R1187" s="31"/>
      <c r="S1187" s="32">
        <f t="shared" si="356"/>
        <v>0</v>
      </c>
      <c r="T1187" s="10"/>
      <c r="U1187" s="10"/>
      <c r="V1187" s="10"/>
      <c r="W1187" s="12">
        <f t="shared" si="357"/>
        <v>0</v>
      </c>
      <c r="Y1187" s="10">
        <v>21</v>
      </c>
      <c r="Z1187" s="30"/>
      <c r="AB1187" s="46"/>
      <c r="AC1187" s="31"/>
      <c r="AD1187" s="31"/>
      <c r="AE1187" s="32">
        <f t="shared" si="352"/>
        <v>0</v>
      </c>
      <c r="AF1187" s="10"/>
      <c r="AG1187" s="10"/>
      <c r="AH1187" s="10"/>
      <c r="AI1187" s="12">
        <f t="shared" si="353"/>
        <v>0</v>
      </c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10">
        <v>22</v>
      </c>
      <c r="B1188" s="30"/>
      <c r="C1188" s="31"/>
      <c r="D1188" s="32"/>
      <c r="E1188" s="32"/>
      <c r="F1188" s="32"/>
      <c r="G1188" s="32">
        <f t="shared" si="347"/>
        <v>0</v>
      </c>
      <c r="H1188" s="10"/>
      <c r="I1188" s="10"/>
      <c r="J1188" s="10"/>
      <c r="K1188" s="12">
        <f t="shared" si="348"/>
        <v>0</v>
      </c>
      <c r="M1188" s="10">
        <v>22</v>
      </c>
      <c r="N1188" s="30"/>
      <c r="O1188" s="31"/>
      <c r="P1188" s="45"/>
      <c r="Q1188" s="31"/>
      <c r="R1188" s="31"/>
      <c r="S1188" s="32">
        <f t="shared" si="356"/>
        <v>0</v>
      </c>
      <c r="T1188" s="10"/>
      <c r="U1188" s="10"/>
      <c r="V1188" s="10"/>
      <c r="W1188" s="12">
        <f t="shared" si="357"/>
        <v>0</v>
      </c>
      <c r="Y1188" s="10">
        <v>22</v>
      </c>
      <c r="Z1188" s="30"/>
      <c r="AA1188" s="31"/>
      <c r="AB1188" s="45"/>
      <c r="AC1188" s="31"/>
      <c r="AD1188" s="31"/>
      <c r="AE1188" s="32">
        <f t="shared" si="352"/>
        <v>0</v>
      </c>
      <c r="AF1188" s="10"/>
      <c r="AG1188" s="10"/>
      <c r="AH1188" s="10"/>
      <c r="AI1188" s="12">
        <f t="shared" si="353"/>
        <v>0</v>
      </c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10">
        <v>23</v>
      </c>
      <c r="B1189" s="30"/>
      <c r="C1189" s="57"/>
      <c r="D1189" s="32"/>
      <c r="E1189" s="32"/>
      <c r="F1189" s="32"/>
      <c r="G1189" s="32">
        <f t="shared" si="347"/>
        <v>0</v>
      </c>
      <c r="H1189" s="10"/>
      <c r="I1189" s="10"/>
      <c r="J1189" s="12"/>
      <c r="K1189" s="12">
        <f t="shared" si="348"/>
        <v>0</v>
      </c>
      <c r="M1189" s="10">
        <v>23</v>
      </c>
      <c r="N1189" s="30"/>
      <c r="O1189" s="31"/>
      <c r="P1189" s="47"/>
      <c r="Q1189" s="31"/>
      <c r="R1189" s="31"/>
      <c r="S1189" s="32">
        <f t="shared" si="356"/>
        <v>0</v>
      </c>
      <c r="T1189" s="10"/>
      <c r="U1189" s="10"/>
      <c r="V1189" s="10"/>
      <c r="W1189" s="12">
        <f t="shared" si="357"/>
        <v>0</v>
      </c>
      <c r="Y1189" s="10">
        <v>23</v>
      </c>
      <c r="Z1189" s="30"/>
      <c r="AA1189" s="31"/>
      <c r="AB1189" s="47"/>
      <c r="AC1189" s="31"/>
      <c r="AE1189" s="32">
        <f t="shared" si="352"/>
        <v>0</v>
      </c>
      <c r="AF1189" s="10"/>
      <c r="AG1189" s="10"/>
      <c r="AH1189" s="10"/>
      <c r="AI1189" s="12">
        <f t="shared" si="353"/>
        <v>0</v>
      </c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10">
        <v>24</v>
      </c>
      <c r="B1190" s="30"/>
      <c r="C1190" s="31"/>
      <c r="D1190" s="32"/>
      <c r="E1190" s="32"/>
      <c r="F1190" s="32"/>
      <c r="G1190" s="32">
        <f t="shared" si="347"/>
        <v>0</v>
      </c>
      <c r="H1190" s="10"/>
      <c r="I1190" s="10"/>
      <c r="J1190" s="10"/>
      <c r="K1190" s="12">
        <f t="shared" si="348"/>
        <v>0</v>
      </c>
      <c r="M1190" s="10">
        <v>24</v>
      </c>
      <c r="N1190" s="30"/>
      <c r="P1190" s="47"/>
      <c r="Q1190" s="31"/>
      <c r="R1190" s="31"/>
      <c r="S1190" s="32">
        <f t="shared" si="356"/>
        <v>0</v>
      </c>
      <c r="T1190" s="10"/>
      <c r="U1190" s="10"/>
      <c r="V1190" s="10"/>
      <c r="W1190" s="12">
        <f t="shared" si="357"/>
        <v>0</v>
      </c>
      <c r="Y1190" s="10">
        <v>24</v>
      </c>
      <c r="Z1190" s="30"/>
      <c r="AA1190" s="31"/>
      <c r="AB1190" s="47"/>
      <c r="AC1190" s="31"/>
      <c r="AD1190" s="31"/>
      <c r="AE1190" s="32">
        <f t="shared" si="352"/>
        <v>0</v>
      </c>
      <c r="AF1190" s="10"/>
      <c r="AG1190" s="10"/>
      <c r="AH1190" s="10"/>
      <c r="AI1190" s="12">
        <f t="shared" si="353"/>
        <v>0</v>
      </c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10">
        <v>25</v>
      </c>
      <c r="B1191" s="30"/>
      <c r="C1191" s="31"/>
      <c r="D1191" s="32"/>
      <c r="E1191" s="32"/>
      <c r="F1191" s="32"/>
      <c r="G1191" s="32">
        <f t="shared" si="347"/>
        <v>0</v>
      </c>
      <c r="H1191" s="10"/>
      <c r="I1191" s="10"/>
      <c r="J1191" s="10"/>
      <c r="K1191" s="12">
        <f t="shared" si="348"/>
        <v>0</v>
      </c>
      <c r="M1191" s="10">
        <v>25</v>
      </c>
      <c r="N1191" s="30"/>
      <c r="O1191" s="31"/>
      <c r="P1191" s="47"/>
      <c r="Q1191" s="31"/>
      <c r="R1191" s="31"/>
      <c r="S1191" s="32">
        <f t="shared" si="356"/>
        <v>0</v>
      </c>
      <c r="T1191" s="10"/>
      <c r="U1191" s="10"/>
      <c r="V1191" s="10"/>
      <c r="W1191" s="12">
        <f t="shared" si="357"/>
        <v>0</v>
      </c>
      <c r="Y1191" s="10">
        <v>25</v>
      </c>
      <c r="Z1191" s="30"/>
      <c r="AA1191" s="31"/>
      <c r="AB1191" s="47"/>
      <c r="AC1191" s="31"/>
      <c r="AD1191" s="31"/>
      <c r="AE1191" s="32">
        <f t="shared" si="352"/>
        <v>0</v>
      </c>
      <c r="AF1191" s="10"/>
      <c r="AG1191" s="10"/>
      <c r="AH1191" s="10"/>
      <c r="AI1191" s="12">
        <f t="shared" si="353"/>
        <v>0</v>
      </c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10">
        <v>26</v>
      </c>
      <c r="B1192" s="30"/>
      <c r="C1192" s="31"/>
      <c r="D1192" s="32"/>
      <c r="E1192" s="32"/>
      <c r="F1192" s="32"/>
      <c r="G1192" s="32">
        <f t="shared" si="347"/>
        <v>0</v>
      </c>
      <c r="H1192" s="10"/>
      <c r="I1192" s="10"/>
      <c r="J1192" s="10"/>
      <c r="K1192" s="12">
        <f t="shared" si="348"/>
        <v>0</v>
      </c>
      <c r="M1192" s="10">
        <v>26</v>
      </c>
      <c r="N1192" s="30"/>
      <c r="O1192" s="31"/>
      <c r="P1192" s="47"/>
      <c r="Q1192" s="31"/>
      <c r="R1192" s="31"/>
      <c r="S1192" s="32">
        <f t="shared" si="356"/>
        <v>0</v>
      </c>
      <c r="T1192" s="10"/>
      <c r="U1192" s="10"/>
      <c r="V1192" s="10"/>
      <c r="W1192" s="12">
        <f t="shared" si="357"/>
        <v>0</v>
      </c>
      <c r="Y1192" s="10">
        <v>26</v>
      </c>
      <c r="Z1192" s="30"/>
      <c r="AA1192" s="31"/>
      <c r="AB1192" s="47"/>
      <c r="AC1192" s="31"/>
      <c r="AD1192" s="31"/>
      <c r="AE1192" s="32">
        <f t="shared" si="352"/>
        <v>0</v>
      </c>
      <c r="AF1192" s="10"/>
      <c r="AG1192" s="10"/>
      <c r="AH1192" s="10"/>
      <c r="AI1192" s="12">
        <f t="shared" si="353"/>
        <v>0</v>
      </c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10">
        <v>27</v>
      </c>
      <c r="B1193" s="30"/>
      <c r="C1193" s="31"/>
      <c r="D1193" s="32"/>
      <c r="E1193" s="32"/>
      <c r="F1193" s="32"/>
      <c r="G1193" s="32">
        <f t="shared" si="347"/>
        <v>0</v>
      </c>
      <c r="H1193" s="10"/>
      <c r="I1193" s="10"/>
      <c r="J1193" s="10"/>
      <c r="K1193" s="12">
        <f t="shared" si="348"/>
        <v>0</v>
      </c>
      <c r="M1193" s="10">
        <v>27</v>
      </c>
      <c r="N1193" s="30"/>
      <c r="O1193" s="31"/>
      <c r="P1193" s="47"/>
      <c r="Q1193" s="31"/>
      <c r="R1193" s="31"/>
      <c r="S1193" s="32">
        <f t="shared" si="356"/>
        <v>0</v>
      </c>
      <c r="T1193" s="10"/>
      <c r="U1193" s="10"/>
      <c r="V1193" s="10"/>
      <c r="W1193" s="12">
        <f t="shared" si="357"/>
        <v>0</v>
      </c>
      <c r="Y1193" s="10">
        <v>27</v>
      </c>
      <c r="Z1193" s="30"/>
      <c r="AA1193" s="31"/>
      <c r="AB1193" s="47"/>
      <c r="AC1193" s="31"/>
      <c r="AD1193" s="31"/>
      <c r="AE1193" s="32">
        <f t="shared" si="352"/>
        <v>0</v>
      </c>
      <c r="AF1193" s="10"/>
      <c r="AG1193" s="10"/>
      <c r="AH1193" s="10"/>
      <c r="AI1193" s="12">
        <f t="shared" si="353"/>
        <v>0</v>
      </c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10">
        <v>28</v>
      </c>
      <c r="B1194" s="30"/>
      <c r="C1194" s="31"/>
      <c r="D1194" s="32"/>
      <c r="E1194" s="32"/>
      <c r="F1194" s="32"/>
      <c r="G1194" s="32">
        <f t="shared" si="347"/>
        <v>0</v>
      </c>
      <c r="H1194" s="10"/>
      <c r="I1194" s="10"/>
      <c r="J1194" s="10"/>
      <c r="K1194" s="12">
        <f t="shared" si="348"/>
        <v>0</v>
      </c>
      <c r="M1194" s="10">
        <v>28</v>
      </c>
      <c r="N1194" s="30"/>
      <c r="O1194" s="31"/>
      <c r="P1194" s="47"/>
      <c r="Q1194" s="31"/>
      <c r="R1194" s="31"/>
      <c r="S1194" s="32">
        <f t="shared" si="356"/>
        <v>0</v>
      </c>
      <c r="T1194" s="10"/>
      <c r="U1194" s="10"/>
      <c r="V1194" s="10"/>
      <c r="W1194" s="12">
        <f t="shared" si="357"/>
        <v>0</v>
      </c>
      <c r="Y1194" s="10">
        <v>28</v>
      </c>
      <c r="Z1194" s="30"/>
      <c r="AA1194" s="31"/>
      <c r="AB1194" s="47"/>
      <c r="AC1194" s="31"/>
      <c r="AD1194" s="31"/>
      <c r="AE1194" s="32">
        <f t="shared" si="352"/>
        <v>0</v>
      </c>
      <c r="AF1194" s="10"/>
      <c r="AG1194" s="10"/>
      <c r="AH1194" s="10"/>
      <c r="AI1194" s="12">
        <f t="shared" si="353"/>
        <v>0</v>
      </c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10">
        <v>29</v>
      </c>
      <c r="B1195" s="30"/>
      <c r="C1195" s="31"/>
      <c r="D1195" s="32"/>
      <c r="E1195" s="32"/>
      <c r="F1195" s="32"/>
      <c r="G1195" s="32"/>
      <c r="H1195" s="10"/>
      <c r="I1195" s="10"/>
      <c r="J1195" s="10"/>
      <c r="K1195" s="12">
        <f t="shared" si="348"/>
        <v>0</v>
      </c>
      <c r="M1195" s="10">
        <v>29</v>
      </c>
      <c r="N1195" s="30"/>
      <c r="O1195" s="31"/>
      <c r="P1195" s="47"/>
      <c r="Q1195" s="31"/>
      <c r="R1195" s="31"/>
      <c r="S1195" s="32">
        <f t="shared" si="356"/>
        <v>0</v>
      </c>
      <c r="T1195" s="10"/>
      <c r="U1195" s="10"/>
      <c r="V1195" s="10"/>
      <c r="W1195" s="12">
        <f t="shared" si="357"/>
        <v>0</v>
      </c>
      <c r="Y1195" s="10">
        <v>29</v>
      </c>
      <c r="Z1195" s="30"/>
      <c r="AA1195" s="31"/>
      <c r="AB1195" s="47"/>
      <c r="AC1195" s="31"/>
      <c r="AD1195" s="31"/>
      <c r="AE1195" s="32">
        <f t="shared" si="352"/>
        <v>0</v>
      </c>
      <c r="AF1195" s="10"/>
      <c r="AG1195" s="10"/>
      <c r="AH1195" s="10"/>
      <c r="AI1195" s="12">
        <f t="shared" si="353"/>
        <v>0</v>
      </c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10">
        <v>30</v>
      </c>
      <c r="B1196" s="30"/>
      <c r="C1196" s="31"/>
      <c r="D1196" s="32"/>
      <c r="E1196" s="32"/>
      <c r="F1196" s="32"/>
      <c r="G1196" s="32"/>
      <c r="H1196" s="10"/>
      <c r="I1196" s="10"/>
      <c r="J1196" s="10"/>
      <c r="K1196" s="12">
        <f t="shared" si="348"/>
        <v>0</v>
      </c>
      <c r="M1196" s="10">
        <v>30</v>
      </c>
      <c r="N1196" s="30"/>
      <c r="O1196" s="31"/>
      <c r="P1196" s="47"/>
      <c r="Q1196" s="31"/>
      <c r="R1196" s="31"/>
      <c r="S1196" s="32">
        <f t="shared" si="356"/>
        <v>0</v>
      </c>
      <c r="T1196" s="10"/>
      <c r="U1196" s="10"/>
      <c r="V1196" s="10"/>
      <c r="W1196" s="12">
        <f t="shared" si="357"/>
        <v>0</v>
      </c>
      <c r="Y1196" s="10">
        <v>30</v>
      </c>
      <c r="Z1196" s="30"/>
      <c r="AA1196" s="31"/>
      <c r="AB1196" s="47"/>
      <c r="AC1196" s="31"/>
      <c r="AD1196" s="31"/>
      <c r="AE1196" s="32">
        <f t="shared" si="352"/>
        <v>0</v>
      </c>
      <c r="AF1196" s="10"/>
      <c r="AG1196" s="10"/>
      <c r="AH1196" s="10"/>
      <c r="AI1196" s="12">
        <f t="shared" si="353"/>
        <v>0</v>
      </c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10">
        <v>31</v>
      </c>
      <c r="B1197" s="30"/>
      <c r="C1197" s="57"/>
      <c r="D1197" s="32"/>
      <c r="E1197" s="32"/>
      <c r="F1197" s="32"/>
      <c r="G1197" s="32"/>
      <c r="H1197" s="10"/>
      <c r="I1197" s="10"/>
      <c r="J1197" s="10"/>
      <c r="K1197" s="12">
        <f t="shared" si="348"/>
        <v>0</v>
      </c>
      <c r="M1197" s="10">
        <v>31</v>
      </c>
      <c r="N1197" s="30"/>
      <c r="O1197" s="31"/>
      <c r="P1197" s="47"/>
      <c r="Q1197" s="31"/>
      <c r="R1197" s="31"/>
      <c r="S1197" s="32">
        <f t="shared" si="356"/>
        <v>0</v>
      </c>
      <c r="T1197" s="10"/>
      <c r="U1197" s="10"/>
      <c r="V1197" s="10"/>
      <c r="W1197" s="12">
        <f t="shared" si="357"/>
        <v>0</v>
      </c>
      <c r="Y1197" s="10">
        <v>31</v>
      </c>
      <c r="Z1197" s="30"/>
      <c r="AB1197" s="47"/>
      <c r="AC1197" s="31"/>
      <c r="AD1197" s="31"/>
      <c r="AE1197" s="32">
        <f t="shared" si="352"/>
        <v>0</v>
      </c>
      <c r="AF1197" s="10"/>
      <c r="AG1197" s="10"/>
      <c r="AH1197" s="10"/>
      <c r="AI1197" s="12">
        <f t="shared" si="353"/>
        <v>0</v>
      </c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10">
        <v>32</v>
      </c>
      <c r="B1198" s="30"/>
      <c r="C1198" s="31"/>
      <c r="D1198" s="32"/>
      <c r="E1198" s="32"/>
      <c r="F1198" s="32"/>
      <c r="G1198" s="32"/>
      <c r="H1198" s="10"/>
      <c r="I1198" s="10"/>
      <c r="J1198" s="10"/>
      <c r="K1198" s="12">
        <f t="shared" si="348"/>
        <v>0</v>
      </c>
      <c r="M1198" s="10">
        <v>32</v>
      </c>
      <c r="N1198" s="30"/>
      <c r="O1198" s="31"/>
      <c r="P1198" s="47"/>
      <c r="Q1198" s="31"/>
      <c r="R1198" s="31"/>
      <c r="S1198" s="32">
        <f t="shared" si="356"/>
        <v>0</v>
      </c>
      <c r="T1198" s="10"/>
      <c r="U1198" s="10"/>
      <c r="V1198" s="10"/>
      <c r="W1198" s="12">
        <f t="shared" si="357"/>
        <v>0</v>
      </c>
      <c r="Y1198" s="10">
        <v>32</v>
      </c>
      <c r="Z1198" s="30"/>
      <c r="AA1198" s="31"/>
      <c r="AB1198" s="47"/>
      <c r="AC1198" s="31"/>
      <c r="AD1198" s="31"/>
      <c r="AE1198" s="32">
        <f t="shared" si="352"/>
        <v>0</v>
      </c>
      <c r="AF1198" s="10"/>
      <c r="AG1198" s="10"/>
      <c r="AH1198" s="10"/>
      <c r="AI1198" s="12">
        <f t="shared" si="353"/>
        <v>0</v>
      </c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10">
        <v>33</v>
      </c>
      <c r="B1199" s="30"/>
      <c r="C1199" s="31"/>
      <c r="D1199" s="32"/>
      <c r="E1199" s="32"/>
      <c r="F1199" s="32"/>
      <c r="G1199" s="32"/>
      <c r="H1199" s="10"/>
      <c r="I1199" s="10"/>
      <c r="J1199" s="10"/>
      <c r="K1199" s="12">
        <f t="shared" si="348"/>
        <v>0</v>
      </c>
      <c r="M1199" s="10">
        <v>33</v>
      </c>
      <c r="N1199" s="30"/>
      <c r="O1199" s="31"/>
      <c r="P1199" s="47"/>
      <c r="Q1199" s="31"/>
      <c r="R1199" s="31"/>
      <c r="S1199" s="32">
        <f t="shared" si="356"/>
        <v>0</v>
      </c>
      <c r="T1199" s="10"/>
      <c r="U1199" s="10"/>
      <c r="V1199" s="10"/>
      <c r="W1199" s="12">
        <f t="shared" si="357"/>
        <v>0</v>
      </c>
      <c r="Y1199" s="10">
        <v>33</v>
      </c>
      <c r="Z1199" s="30"/>
      <c r="AA1199" s="31"/>
      <c r="AB1199" s="47"/>
      <c r="AC1199" s="31"/>
      <c r="AD1199" s="31"/>
      <c r="AE1199" s="32">
        <f t="shared" si="352"/>
        <v>0</v>
      </c>
      <c r="AF1199" s="10"/>
      <c r="AG1199" s="10"/>
      <c r="AH1199" s="10"/>
      <c r="AI1199" s="12">
        <f t="shared" si="353"/>
        <v>0</v>
      </c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10"/>
      <c r="B1200" s="30"/>
      <c r="C1200" s="57"/>
      <c r="D1200" s="32"/>
      <c r="E1200" s="32"/>
      <c r="F1200" s="32"/>
      <c r="G1200" s="32">
        <f t="shared" ref="G1200" si="358">SUM(D1200:E1200)</f>
        <v>0</v>
      </c>
      <c r="H1200" s="10"/>
      <c r="I1200" s="10"/>
      <c r="J1200" s="10"/>
      <c r="K1200" s="12">
        <f t="shared" si="348"/>
        <v>0</v>
      </c>
      <c r="M1200" s="10">
        <v>34</v>
      </c>
      <c r="N1200" s="30"/>
      <c r="O1200" s="31"/>
      <c r="P1200" s="47"/>
      <c r="Q1200" s="31"/>
      <c r="R1200" s="31"/>
      <c r="S1200" s="32">
        <f t="shared" si="356"/>
        <v>0</v>
      </c>
      <c r="T1200" s="10"/>
      <c r="U1200" s="10"/>
      <c r="V1200" s="10"/>
      <c r="W1200" s="12">
        <f t="shared" si="357"/>
        <v>0</v>
      </c>
      <c r="Y1200" s="10">
        <v>34</v>
      </c>
      <c r="Z1200" s="30"/>
      <c r="AB1200" s="47"/>
      <c r="AC1200" s="31"/>
      <c r="AD1200" s="31"/>
      <c r="AE1200" s="32">
        <f t="shared" si="352"/>
        <v>0</v>
      </c>
      <c r="AF1200" s="10"/>
      <c r="AG1200" s="10"/>
      <c r="AH1200" s="10"/>
      <c r="AI1200" s="12">
        <f t="shared" si="353"/>
        <v>0</v>
      </c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10"/>
      <c r="B1201" s="30"/>
      <c r="C1201" s="31"/>
      <c r="D1201" s="32"/>
      <c r="E1201" s="32"/>
      <c r="F1201" s="32"/>
      <c r="G1201" s="32"/>
      <c r="H1201" s="10"/>
      <c r="I1201" s="10"/>
      <c r="J1201" s="10"/>
      <c r="K1201" s="12"/>
      <c r="M1201" s="10">
        <v>35</v>
      </c>
      <c r="N1201" s="30"/>
      <c r="O1201" s="31"/>
      <c r="P1201" s="47"/>
      <c r="Q1201" s="31"/>
      <c r="R1201" s="31"/>
      <c r="S1201" s="32">
        <f t="shared" si="356"/>
        <v>0</v>
      </c>
      <c r="T1201" s="10"/>
      <c r="U1201" s="10"/>
      <c r="V1201" s="10"/>
      <c r="W1201" s="12">
        <f t="shared" si="357"/>
        <v>0</v>
      </c>
      <c r="Y1201" s="10">
        <v>35</v>
      </c>
      <c r="Z1201" s="30"/>
      <c r="AA1201" s="31"/>
      <c r="AB1201" s="47"/>
      <c r="AC1201" s="31"/>
      <c r="AD1201" s="31"/>
      <c r="AE1201" s="32">
        <f t="shared" si="352"/>
        <v>0</v>
      </c>
      <c r="AF1201" s="10"/>
      <c r="AG1201" s="10"/>
      <c r="AH1201" s="10"/>
      <c r="AI1201" s="12">
        <f t="shared" si="353"/>
        <v>0</v>
      </c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10"/>
      <c r="B1202" s="30"/>
      <c r="C1202" s="31"/>
      <c r="D1202" s="32"/>
      <c r="E1202" s="32"/>
      <c r="F1202" s="32"/>
      <c r="G1202" s="32"/>
      <c r="H1202" s="10"/>
      <c r="I1202" s="10"/>
      <c r="J1202" s="10"/>
      <c r="K1202" s="12"/>
      <c r="M1202" s="10">
        <v>36</v>
      </c>
      <c r="N1202" s="30"/>
      <c r="O1202" s="31"/>
      <c r="P1202" s="47"/>
      <c r="Q1202" s="31"/>
      <c r="R1202" s="31"/>
      <c r="S1202" s="32">
        <f t="shared" si="356"/>
        <v>0</v>
      </c>
      <c r="T1202" s="10"/>
      <c r="U1202" s="10"/>
      <c r="V1202" s="10"/>
      <c r="W1202" s="12">
        <f t="shared" si="357"/>
        <v>0</v>
      </c>
      <c r="Y1202" s="10">
        <v>36</v>
      </c>
      <c r="Z1202" s="30"/>
      <c r="AA1202" s="31"/>
      <c r="AB1202" s="47"/>
      <c r="AC1202" s="31"/>
      <c r="AD1202" s="31"/>
      <c r="AE1202" s="32">
        <f t="shared" si="352"/>
        <v>0</v>
      </c>
      <c r="AF1202" s="10"/>
      <c r="AG1202" s="10"/>
      <c r="AH1202" s="10"/>
      <c r="AI1202" s="12">
        <f t="shared" si="353"/>
        <v>0</v>
      </c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10"/>
      <c r="B1203" s="30"/>
      <c r="C1203" s="31"/>
      <c r="D1203" s="32"/>
      <c r="E1203" s="32"/>
      <c r="F1203" s="32"/>
      <c r="G1203" s="32"/>
      <c r="H1203" s="10"/>
      <c r="I1203" s="10"/>
      <c r="J1203" s="10"/>
      <c r="K1203" s="12"/>
      <c r="M1203" s="10">
        <v>37</v>
      </c>
      <c r="N1203" s="30"/>
      <c r="P1203" s="47"/>
      <c r="Q1203" s="31"/>
      <c r="R1203" s="31"/>
      <c r="S1203" s="32">
        <f t="shared" si="356"/>
        <v>0</v>
      </c>
      <c r="T1203" s="10"/>
      <c r="U1203" s="10"/>
      <c r="V1203" s="10"/>
      <c r="W1203" s="12">
        <f t="shared" si="357"/>
        <v>0</v>
      </c>
      <c r="Y1203" s="10">
        <v>37</v>
      </c>
      <c r="Z1203" s="30"/>
      <c r="AA1203" s="31"/>
      <c r="AB1203" s="47"/>
      <c r="AC1203" s="31"/>
      <c r="AD1203" s="31"/>
      <c r="AE1203" s="32">
        <f t="shared" si="352"/>
        <v>0</v>
      </c>
      <c r="AF1203" s="10"/>
      <c r="AG1203" s="10"/>
      <c r="AH1203" s="10"/>
      <c r="AI1203" s="12">
        <f t="shared" si="353"/>
        <v>0</v>
      </c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10"/>
      <c r="B1204" s="30"/>
      <c r="C1204" s="31"/>
      <c r="D1204" s="32"/>
      <c r="E1204" s="32"/>
      <c r="F1204" s="32"/>
      <c r="G1204" s="32"/>
      <c r="H1204" s="10"/>
      <c r="I1204" s="10"/>
      <c r="J1204" s="10"/>
      <c r="K1204" s="12"/>
      <c r="M1204" s="10">
        <v>38</v>
      </c>
      <c r="N1204" s="30"/>
      <c r="O1204" s="31"/>
      <c r="P1204" s="47"/>
      <c r="Q1204" s="31"/>
      <c r="R1204" s="31"/>
      <c r="S1204" s="32">
        <f t="shared" si="356"/>
        <v>0</v>
      </c>
      <c r="T1204" s="10"/>
      <c r="U1204" s="10"/>
      <c r="V1204" s="10"/>
      <c r="W1204" s="12">
        <f t="shared" si="357"/>
        <v>0</v>
      </c>
      <c r="Y1204" s="10">
        <v>38</v>
      </c>
      <c r="Z1204" s="30"/>
      <c r="AA1204" s="31"/>
      <c r="AB1204" s="47"/>
      <c r="AC1204" s="31"/>
      <c r="AD1204" s="31"/>
      <c r="AE1204" s="32">
        <f t="shared" si="352"/>
        <v>0</v>
      </c>
      <c r="AF1204" s="10"/>
      <c r="AG1204" s="10"/>
      <c r="AH1204" s="10"/>
      <c r="AI1204" s="12">
        <f t="shared" si="353"/>
        <v>0</v>
      </c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10"/>
      <c r="B1205" s="30"/>
      <c r="C1205" s="57"/>
      <c r="D1205" s="32"/>
      <c r="E1205" s="32"/>
      <c r="F1205" s="32"/>
      <c r="G1205" s="32"/>
      <c r="H1205" s="10"/>
      <c r="I1205" s="10"/>
      <c r="J1205" s="10"/>
      <c r="K1205" s="12"/>
      <c r="M1205" s="10">
        <v>39</v>
      </c>
      <c r="N1205" s="30"/>
      <c r="O1205" s="31"/>
      <c r="P1205" s="47"/>
      <c r="Q1205" s="31"/>
      <c r="R1205" s="31"/>
      <c r="S1205" s="32">
        <f t="shared" si="356"/>
        <v>0</v>
      </c>
      <c r="T1205" s="10"/>
      <c r="U1205" s="10"/>
      <c r="V1205" s="10"/>
      <c r="W1205" s="12">
        <f t="shared" si="357"/>
        <v>0</v>
      </c>
      <c r="Y1205" s="10">
        <v>39</v>
      </c>
      <c r="Z1205" s="30"/>
      <c r="AA1205" s="31"/>
      <c r="AB1205" s="47"/>
      <c r="AC1205" s="31"/>
      <c r="AD1205" s="31"/>
      <c r="AE1205" s="32">
        <f t="shared" si="352"/>
        <v>0</v>
      </c>
      <c r="AF1205" s="10"/>
      <c r="AG1205" s="10"/>
      <c r="AH1205" s="10"/>
      <c r="AI1205" s="12">
        <f t="shared" si="353"/>
        <v>0</v>
      </c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10"/>
      <c r="B1206" s="30"/>
      <c r="C1206" s="31"/>
      <c r="D1206" s="32"/>
      <c r="E1206" s="32"/>
      <c r="F1206" s="32"/>
      <c r="G1206" s="32"/>
      <c r="H1206" s="10"/>
      <c r="I1206" s="10"/>
      <c r="J1206" s="10"/>
      <c r="K1206" s="12"/>
      <c r="M1206" s="10"/>
      <c r="N1206" s="30"/>
      <c r="P1206" s="47"/>
      <c r="Q1206" s="31"/>
      <c r="R1206" s="31"/>
      <c r="S1206" s="32"/>
      <c r="T1206" s="10"/>
      <c r="U1206" s="10"/>
      <c r="V1206" s="10"/>
      <c r="W1206" s="12">
        <f t="shared" si="357"/>
        <v>0</v>
      </c>
      <c r="Y1206" s="10"/>
      <c r="Z1206" s="30"/>
      <c r="AB1206" s="47"/>
      <c r="AC1206" s="31"/>
      <c r="AD1206" s="31"/>
      <c r="AE1206" s="32"/>
      <c r="AF1206" s="10"/>
      <c r="AG1206" s="10"/>
      <c r="AH1206" s="10"/>
      <c r="AI1206" s="12">
        <f t="shared" si="353"/>
        <v>0</v>
      </c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10"/>
      <c r="B1207" s="30"/>
      <c r="C1207" s="31"/>
      <c r="D1207" s="32"/>
      <c r="E1207" s="32"/>
      <c r="F1207" s="32"/>
      <c r="G1207" s="32">
        <f t="shared" ref="G1207" si="359">SUM(D1207:E1207)</f>
        <v>0</v>
      </c>
      <c r="H1207" s="10"/>
      <c r="I1207" s="10"/>
      <c r="J1207" s="10"/>
      <c r="K1207" s="12">
        <f t="shared" ref="K1207" si="360">SUM(G1207:J1207)</f>
        <v>0</v>
      </c>
      <c r="M1207" s="10"/>
      <c r="N1207" s="30"/>
      <c r="O1207" s="31"/>
      <c r="P1207" s="47"/>
      <c r="Q1207" s="31"/>
      <c r="R1207" s="31"/>
      <c r="S1207" s="32">
        <f t="shared" ref="S1207" si="361">SUM(P1207:Q1207)</f>
        <v>0</v>
      </c>
      <c r="T1207" s="10"/>
      <c r="U1207" s="10"/>
      <c r="V1207" s="10"/>
      <c r="W1207" s="12">
        <f t="shared" si="357"/>
        <v>0</v>
      </c>
      <c r="Y1207" s="10"/>
      <c r="Z1207" s="30"/>
      <c r="AA1207" s="31"/>
      <c r="AB1207" s="47"/>
      <c r="AC1207" s="31"/>
      <c r="AD1207" s="31"/>
      <c r="AE1207" s="32">
        <f t="shared" ref="AE1207" si="362">SUM(AB1207:AC1207)</f>
        <v>0</v>
      </c>
      <c r="AF1207" s="10"/>
      <c r="AG1207" s="10"/>
      <c r="AH1207" s="10"/>
      <c r="AI1207" s="12">
        <f t="shared" si="353"/>
        <v>0</v>
      </c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10"/>
      <c r="B1208" s="30"/>
      <c r="C1208" s="30"/>
      <c r="D1208" s="32"/>
      <c r="E1208" s="32"/>
      <c r="F1208" s="32"/>
      <c r="G1208" s="32"/>
      <c r="H1208" s="10"/>
      <c r="I1208" s="10"/>
      <c r="J1208" s="10"/>
      <c r="K1208" s="12"/>
      <c r="M1208" s="10"/>
      <c r="N1208" s="31"/>
      <c r="O1208" s="31"/>
      <c r="P1208" s="31"/>
      <c r="Q1208" s="31"/>
      <c r="R1208" s="31"/>
      <c r="S1208" s="31"/>
      <c r="T1208" s="10"/>
      <c r="U1208" s="10"/>
      <c r="V1208" s="10"/>
      <c r="W1208" s="12">
        <f t="shared" si="357"/>
        <v>0</v>
      </c>
      <c r="Y1208" s="10"/>
      <c r="Z1208" s="31"/>
      <c r="AA1208" s="31"/>
      <c r="AB1208" s="31"/>
      <c r="AC1208" s="31"/>
      <c r="AD1208" s="31"/>
      <c r="AE1208" s="31"/>
      <c r="AF1208" s="10"/>
      <c r="AG1208" s="10"/>
      <c r="AH1208" s="10"/>
      <c r="AI1208" s="12">
        <f t="shared" si="353"/>
        <v>0</v>
      </c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B1209" s="57"/>
      <c r="C1209" s="57"/>
      <c r="D1209" s="36"/>
      <c r="E1209" s="36"/>
      <c r="F1209" s="36"/>
      <c r="G1209" s="36"/>
      <c r="H1209" s="37"/>
      <c r="I1209" s="37"/>
      <c r="J1209" s="37"/>
      <c r="K1209" s="37"/>
      <c r="N1209" s="57"/>
      <c r="O1209" s="57"/>
      <c r="P1209" s="36"/>
      <c r="Q1209" s="36"/>
      <c r="R1209" s="36"/>
      <c r="S1209" s="36"/>
      <c r="T1209" s="37"/>
      <c r="U1209" s="37"/>
      <c r="V1209" s="37"/>
      <c r="W1209" s="37"/>
      <c r="Z1209" s="57"/>
      <c r="AA1209" s="57"/>
      <c r="AB1209" s="36"/>
      <c r="AC1209" s="36"/>
      <c r="AD1209" s="36"/>
      <c r="AE1209" s="36"/>
      <c r="AF1209" s="37"/>
      <c r="AG1209" s="37"/>
      <c r="AH1209" s="37"/>
      <c r="AI1209" s="37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B1210" s="57"/>
      <c r="C1210" s="57"/>
      <c r="D1210" s="38">
        <f>SUM(D1167:D1209)</f>
        <v>150967</v>
      </c>
      <c r="E1210" s="38">
        <f t="shared" ref="E1210:F1210" si="363">SUM(E1167:E1207)</f>
        <v>0</v>
      </c>
      <c r="F1210" s="38">
        <f t="shared" si="363"/>
        <v>0</v>
      </c>
      <c r="G1210" s="38">
        <f>SUM(G1167:G1209)</f>
        <v>150967</v>
      </c>
      <c r="H1210" s="4"/>
      <c r="I1210" s="39">
        <f>SUM(I1167:I1209)</f>
        <v>1380</v>
      </c>
      <c r="J1210" s="39">
        <f>SUM(J1167:J1209)</f>
        <v>-1014</v>
      </c>
      <c r="K1210" s="40">
        <f>SUM(K1167:K1209)</f>
        <v>151333</v>
      </c>
      <c r="N1210" s="57"/>
      <c r="O1210" s="57"/>
      <c r="P1210" s="38">
        <f>SUM(P1167:P1209)</f>
        <v>121925</v>
      </c>
      <c r="Q1210" s="38">
        <f>SUM(Q1167:Q1191)</f>
        <v>0</v>
      </c>
      <c r="R1210" s="38">
        <f>SUM(R1167:R1191)</f>
        <v>0</v>
      </c>
      <c r="S1210" s="38">
        <f>SUM(S1167:S1209)</f>
        <v>121925</v>
      </c>
      <c r="T1210" s="4"/>
      <c r="U1210" s="41">
        <f>SUM(U1167:U1209)</f>
        <v>4.5</v>
      </c>
      <c r="V1210" s="41">
        <f>SUM(V1167:V1191)</f>
        <v>0</v>
      </c>
      <c r="W1210" s="42">
        <f>SUM(W1167:W1209)</f>
        <v>121929.5</v>
      </c>
      <c r="Z1210" s="57"/>
      <c r="AA1210" s="57"/>
      <c r="AB1210" s="38">
        <f>SUM(AB1167:AB1209)</f>
        <v>646441</v>
      </c>
      <c r="AC1210" s="38">
        <f>SUM(AC1167:AC1191)</f>
        <v>-2322</v>
      </c>
      <c r="AD1210" s="38">
        <f>SUM(AD1167:AD1191)</f>
        <v>0</v>
      </c>
      <c r="AE1210" s="38">
        <f>SUM(AE1167:AE1209)</f>
        <v>644119</v>
      </c>
      <c r="AF1210" s="4"/>
      <c r="AG1210" s="41">
        <f>SUM(AG1167:AG1209)</f>
        <v>41901</v>
      </c>
      <c r="AH1210" s="41">
        <f>SUM(AH1167:AH1191)</f>
        <v>-156</v>
      </c>
      <c r="AI1210" s="42">
        <f>SUM(AI1167:AI1209)</f>
        <v>685864</v>
      </c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t="s">
        <v>0</v>
      </c>
      <c r="B1212" s="57"/>
      <c r="C1212" s="57"/>
      <c r="D1212" s="57"/>
      <c r="E1212" s="57"/>
      <c r="G1212" s="57"/>
      <c r="M1212" t="s">
        <v>0</v>
      </c>
      <c r="N1212" s="57"/>
      <c r="O1212" s="57"/>
      <c r="P1212" s="57"/>
      <c r="Q1212" s="57"/>
      <c r="R1212" s="57"/>
      <c r="S1212" s="57"/>
      <c r="Y1212" t="s">
        <v>0</v>
      </c>
      <c r="Z1212" s="57"/>
      <c r="AA1212" s="57"/>
      <c r="AB1212" s="57"/>
      <c r="AC1212" s="57"/>
      <c r="AD1212" s="57"/>
      <c r="AE1212" s="57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t="s">
        <v>29</v>
      </c>
      <c r="B1213" s="57"/>
      <c r="C1213" s="57"/>
      <c r="D1213" s="57"/>
      <c r="E1213" s="57"/>
      <c r="G1213" s="57"/>
      <c r="M1213" t="s">
        <v>29</v>
      </c>
      <c r="N1213" s="57"/>
      <c r="O1213" s="57"/>
      <c r="P1213" s="57"/>
      <c r="Q1213" s="57"/>
      <c r="R1213" s="57"/>
      <c r="S1213" s="57"/>
      <c r="Y1213" t="s">
        <v>29</v>
      </c>
      <c r="Z1213" s="57"/>
      <c r="AA1213" s="57"/>
      <c r="AB1213" s="57"/>
      <c r="AC1213" s="57"/>
      <c r="AD1213" s="57"/>
      <c r="AE1213" s="57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B1214" s="57"/>
      <c r="C1214" s="57"/>
      <c r="D1214" s="57"/>
      <c r="E1214" s="57"/>
      <c r="G1214" s="57"/>
      <c r="N1214" s="57"/>
      <c r="O1214" s="57"/>
      <c r="P1214" s="57"/>
      <c r="Q1214" s="57"/>
      <c r="R1214" s="57"/>
      <c r="S1214" s="57"/>
      <c r="Z1214" s="57"/>
      <c r="AA1214" s="57"/>
      <c r="AB1214" s="57"/>
      <c r="AC1214" s="57"/>
      <c r="AD1214" s="57"/>
      <c r="AE1214" s="57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4" t="s">
        <v>15</v>
      </c>
      <c r="B1215" s="57"/>
      <c r="C1215" s="57"/>
      <c r="D1215" s="57"/>
      <c r="E1215" s="57"/>
      <c r="G1215" s="57"/>
      <c r="M1215" s="4" t="s">
        <v>15</v>
      </c>
      <c r="N1215" s="57"/>
      <c r="O1215" s="57"/>
      <c r="P1215" s="57"/>
      <c r="Q1215" s="57"/>
      <c r="R1215" s="57"/>
      <c r="S1215" s="57"/>
      <c r="Y1215" s="4" t="s">
        <v>15</v>
      </c>
      <c r="Z1215" s="57"/>
      <c r="AA1215" s="57"/>
      <c r="AB1215" s="57"/>
      <c r="AC1215" s="57"/>
      <c r="AD1215" s="57"/>
      <c r="AE1215" s="57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B1216" s="57"/>
      <c r="C1216" s="57"/>
      <c r="D1216" s="57"/>
      <c r="E1216" s="57"/>
      <c r="G1216" s="57"/>
      <c r="N1216" s="57"/>
      <c r="O1216" s="57"/>
      <c r="P1216" s="57"/>
      <c r="Q1216" s="57"/>
      <c r="R1216" s="57"/>
      <c r="S1216" s="57"/>
      <c r="Z1216" s="57"/>
      <c r="AA1216" s="57"/>
      <c r="AB1216" s="57"/>
      <c r="AC1216" s="57"/>
      <c r="AD1216" s="57"/>
      <c r="AE1216" s="57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ht="15.75" x14ac:dyDescent="0.25">
      <c r="A1217" t="s">
        <v>40</v>
      </c>
      <c r="B1217" s="57"/>
      <c r="C1217" s="57"/>
      <c r="D1217" s="57"/>
      <c r="E1217" s="57"/>
      <c r="G1217" s="57"/>
      <c r="I1217" s="57" t="s">
        <v>16</v>
      </c>
      <c r="J1217" s="19">
        <v>1</v>
      </c>
      <c r="M1217" t="s">
        <v>40</v>
      </c>
      <c r="N1217" s="57"/>
      <c r="O1217" s="57"/>
      <c r="P1217" s="57"/>
      <c r="Q1217" s="57"/>
      <c r="R1217" s="57"/>
      <c r="S1217" s="57"/>
      <c r="U1217" s="57" t="s">
        <v>16</v>
      </c>
      <c r="V1217" s="19">
        <v>2</v>
      </c>
      <c r="Y1217" t="s">
        <v>40</v>
      </c>
      <c r="Z1217" s="57"/>
      <c r="AA1217" s="57"/>
      <c r="AB1217" s="57"/>
      <c r="AC1217" s="57"/>
      <c r="AD1217" s="57"/>
      <c r="AE1217" s="57"/>
      <c r="AG1217" s="57" t="s">
        <v>16</v>
      </c>
      <c r="AH1217" s="20" t="s">
        <v>91</v>
      </c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x14ac:dyDescent="0.25">
      <c r="A1218" s="21" t="s">
        <v>105</v>
      </c>
      <c r="B1218" s="20"/>
      <c r="C1218" s="57"/>
      <c r="D1218" s="57"/>
      <c r="E1218" s="57"/>
      <c r="G1218" s="57"/>
      <c r="I1218" s="22" t="s">
        <v>17</v>
      </c>
      <c r="J1218" s="23" t="s">
        <v>33</v>
      </c>
      <c r="K1218" s="24"/>
      <c r="M1218" s="21" t="s">
        <v>105</v>
      </c>
      <c r="N1218" s="20"/>
      <c r="O1218" s="57"/>
      <c r="P1218" s="57"/>
      <c r="Q1218" s="57"/>
      <c r="R1218" s="57"/>
      <c r="S1218" s="57"/>
      <c r="U1218" s="22" t="s">
        <v>17</v>
      </c>
      <c r="V1218" s="23" t="s">
        <v>34</v>
      </c>
      <c r="W1218" s="24"/>
      <c r="Y1218" s="21" t="s">
        <v>105</v>
      </c>
      <c r="Z1218" s="20"/>
      <c r="AA1218" s="57"/>
      <c r="AB1218" s="57"/>
      <c r="AC1218" s="57"/>
      <c r="AD1218" s="57"/>
      <c r="AE1218" s="57"/>
      <c r="AG1218" s="22" t="s">
        <v>17</v>
      </c>
      <c r="AH1218" s="23" t="s">
        <v>90</v>
      </c>
      <c r="AI1218" s="24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B1219" s="57"/>
      <c r="C1219" s="57"/>
      <c r="D1219" s="57"/>
      <c r="E1219" s="57"/>
      <c r="G1219" s="57"/>
      <c r="N1219" s="57"/>
      <c r="O1219" s="57"/>
      <c r="P1219" s="57"/>
      <c r="Q1219" s="57"/>
      <c r="R1219" s="57"/>
      <c r="S1219" s="57"/>
      <c r="Z1219" s="57"/>
      <c r="AA1219" s="57"/>
      <c r="AB1219" s="57"/>
      <c r="AC1219" s="57"/>
      <c r="AD1219" s="57"/>
      <c r="AE1219" s="57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B1220" s="25"/>
      <c r="C1220" s="26"/>
      <c r="D1220" s="133" t="s">
        <v>18</v>
      </c>
      <c r="E1220" s="133"/>
      <c r="F1220" s="124"/>
      <c r="G1220" s="27"/>
      <c r="I1220" s="131" t="s">
        <v>19</v>
      </c>
      <c r="J1220" s="132"/>
      <c r="K1220" s="129" t="s">
        <v>20</v>
      </c>
      <c r="N1220" s="25"/>
      <c r="O1220" s="26"/>
      <c r="P1220" s="133" t="s">
        <v>18</v>
      </c>
      <c r="Q1220" s="133"/>
      <c r="R1220" s="124"/>
      <c r="S1220" s="27"/>
      <c r="U1220" s="131" t="s">
        <v>19</v>
      </c>
      <c r="V1220" s="132"/>
      <c r="W1220" s="129" t="s">
        <v>20</v>
      </c>
      <c r="Z1220" s="25"/>
      <c r="AA1220" s="26"/>
      <c r="AB1220" s="133" t="s">
        <v>18</v>
      </c>
      <c r="AC1220" s="133"/>
      <c r="AD1220" s="124"/>
      <c r="AE1220" s="27"/>
      <c r="AG1220" s="131" t="s">
        <v>19</v>
      </c>
      <c r="AH1220" s="132"/>
      <c r="AI1220" s="129" t="s">
        <v>20</v>
      </c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ht="30" x14ac:dyDescent="0.25">
      <c r="B1221" s="28" t="s">
        <v>21</v>
      </c>
      <c r="C1221" s="28" t="s">
        <v>22</v>
      </c>
      <c r="D1221" s="83" t="s">
        <v>23</v>
      </c>
      <c r="E1221" s="82" t="s">
        <v>24</v>
      </c>
      <c r="F1221" s="84" t="s">
        <v>36</v>
      </c>
      <c r="G1221" s="84" t="s">
        <v>25</v>
      </c>
      <c r="I1221" s="29" t="s">
        <v>26</v>
      </c>
      <c r="J1221" s="29" t="s">
        <v>27</v>
      </c>
      <c r="K1221" s="130"/>
      <c r="N1221" s="28" t="s">
        <v>21</v>
      </c>
      <c r="O1221" s="28" t="s">
        <v>22</v>
      </c>
      <c r="P1221" s="83" t="s">
        <v>23</v>
      </c>
      <c r="Q1221" s="84" t="s">
        <v>24</v>
      </c>
      <c r="R1221" s="84" t="s">
        <v>36</v>
      </c>
      <c r="S1221" s="84" t="s">
        <v>25</v>
      </c>
      <c r="U1221" s="29" t="s">
        <v>26</v>
      </c>
      <c r="V1221" s="29" t="s">
        <v>27</v>
      </c>
      <c r="W1221" s="130"/>
      <c r="Z1221" s="28" t="s">
        <v>21</v>
      </c>
      <c r="AA1221" s="28" t="s">
        <v>22</v>
      </c>
      <c r="AB1221" s="83" t="s">
        <v>23</v>
      </c>
      <c r="AC1221" s="84" t="s">
        <v>24</v>
      </c>
      <c r="AD1221" s="84" t="s">
        <v>36</v>
      </c>
      <c r="AE1221" s="84" t="s">
        <v>25</v>
      </c>
      <c r="AG1221" s="29" t="s">
        <v>26</v>
      </c>
      <c r="AH1221" s="29" t="s">
        <v>27</v>
      </c>
      <c r="AI1221" s="130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10">
        <v>1</v>
      </c>
      <c r="B1222" s="30" t="s">
        <v>106</v>
      </c>
      <c r="C1222" s="31">
        <v>5607</v>
      </c>
      <c r="D1222" s="32">
        <f>626+596+19</f>
        <v>1241</v>
      </c>
      <c r="E1222" s="32"/>
      <c r="F1222" s="32"/>
      <c r="G1222" s="32">
        <f t="shared" ref="G1222:G1251" si="364">SUM(D1222:E1222)</f>
        <v>1241</v>
      </c>
      <c r="H1222" s="12"/>
      <c r="I1222" s="12"/>
      <c r="J1222" s="12"/>
      <c r="K1222" s="12">
        <f t="shared" ref="K1222:K1255" si="365">SUM(G1222:J1222)</f>
        <v>1241</v>
      </c>
      <c r="M1222" s="10">
        <v>1</v>
      </c>
      <c r="N1222" s="30" t="s">
        <v>106</v>
      </c>
      <c r="O1222" s="31">
        <v>5286</v>
      </c>
      <c r="P1222" s="32">
        <f>56340+1842+11920+852+1005+832</f>
        <v>72791</v>
      </c>
      <c r="Q1222" s="32">
        <v>-928</v>
      </c>
      <c r="R1222" s="32"/>
      <c r="S1222" s="32">
        <f>SUM(P1222:Q1222)</f>
        <v>71863</v>
      </c>
      <c r="T1222" s="12"/>
      <c r="U1222" s="12"/>
      <c r="V1222" s="12"/>
      <c r="W1222" s="12">
        <f>SUM(S1222:V1222)</f>
        <v>71863</v>
      </c>
      <c r="Y1222" s="10">
        <v>1</v>
      </c>
      <c r="Z1222" s="30" t="s">
        <v>106</v>
      </c>
      <c r="AA1222" s="31">
        <v>5456</v>
      </c>
      <c r="AB1222" s="32">
        <f>270432+3664</f>
        <v>274096</v>
      </c>
      <c r="AC1222" s="32">
        <v>-2688</v>
      </c>
      <c r="AD1222" s="32"/>
      <c r="AE1222" s="32">
        <f>SUM(AB1222:AC1222)</f>
        <v>271408</v>
      </c>
      <c r="AF1222" s="12"/>
      <c r="AG1222" s="12"/>
      <c r="AH1222" s="12"/>
      <c r="AI1222" s="12">
        <f>SUM(AE1222:AH1222)</f>
        <v>271408</v>
      </c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10">
        <v>2</v>
      </c>
      <c r="B1223" s="30" t="s">
        <v>106</v>
      </c>
      <c r="C1223" s="31">
        <f>C1222+1</f>
        <v>5608</v>
      </c>
      <c r="D1223" s="32">
        <f>19406+2384+333</f>
        <v>22123</v>
      </c>
      <c r="E1223" s="32"/>
      <c r="F1223" s="32"/>
      <c r="G1223" s="32">
        <f t="shared" si="364"/>
        <v>22123</v>
      </c>
      <c r="H1223" s="12"/>
      <c r="I1223" s="12"/>
      <c r="J1223" s="12"/>
      <c r="K1223" s="12">
        <f t="shared" si="365"/>
        <v>22123</v>
      </c>
      <c r="M1223" s="10">
        <v>2</v>
      </c>
      <c r="N1223" s="30" t="s">
        <v>106</v>
      </c>
      <c r="O1223" s="31">
        <f t="shared" ref="O1223:O1225" si="366">O1222+1</f>
        <v>5287</v>
      </c>
      <c r="P1223" s="32">
        <f>156500+2290</f>
        <v>158790</v>
      </c>
      <c r="Q1223" s="32"/>
      <c r="R1223" s="32"/>
      <c r="S1223" s="32">
        <f t="shared" ref="S1223:S1236" si="367">SUM(P1223:Q1223)</f>
        <v>158790</v>
      </c>
      <c r="T1223" s="12"/>
      <c r="U1223" s="12">
        <f>27750+780</f>
        <v>28530</v>
      </c>
      <c r="V1223" s="12"/>
      <c r="W1223" s="12">
        <f t="shared" ref="W1223:W1236" si="368">SUM(S1223:V1223)</f>
        <v>187320</v>
      </c>
      <c r="Y1223" s="10">
        <v>2</v>
      </c>
      <c r="Z1223" s="30" t="s">
        <v>106</v>
      </c>
      <c r="AA1223" s="31">
        <f t="shared" ref="AA1223:AA1226" si="369">AA1222+1</f>
        <v>5457</v>
      </c>
      <c r="AB1223" s="32">
        <f>9210+64368+2496+1374+1000</f>
        <v>78448</v>
      </c>
      <c r="AC1223" s="32"/>
      <c r="AD1223" s="32"/>
      <c r="AE1223" s="32">
        <f t="shared" ref="AE1223:AE1260" si="370">SUM(AB1223:AC1223)</f>
        <v>78448</v>
      </c>
      <c r="AF1223" s="12"/>
      <c r="AG1223" s="12">
        <f>600+14097+234+171+540</f>
        <v>15642</v>
      </c>
      <c r="AH1223" s="12"/>
      <c r="AI1223" s="12">
        <f t="shared" ref="AI1223:AI1263" si="371">SUM(AE1223:AH1223)</f>
        <v>94090</v>
      </c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10">
        <v>3</v>
      </c>
      <c r="B1224" s="30" t="s">
        <v>106</v>
      </c>
      <c r="C1224" s="31">
        <f t="shared" ref="C1224:C1251" si="372">C1223+1</f>
        <v>5609</v>
      </c>
      <c r="D1224" s="33">
        <f>2504+1788+67</f>
        <v>4359</v>
      </c>
      <c r="E1224" s="33"/>
      <c r="F1224" s="33"/>
      <c r="G1224" s="33">
        <f t="shared" si="364"/>
        <v>4359</v>
      </c>
      <c r="H1224" s="34"/>
      <c r="I1224" s="34"/>
      <c r="J1224" s="34"/>
      <c r="K1224" s="34">
        <f t="shared" si="365"/>
        <v>4359</v>
      </c>
      <c r="M1224" s="10">
        <v>3</v>
      </c>
      <c r="N1224" s="30" t="s">
        <v>106</v>
      </c>
      <c r="O1224" s="31">
        <f t="shared" si="366"/>
        <v>5288</v>
      </c>
      <c r="P1224" s="32">
        <f>14398</f>
        <v>14398</v>
      </c>
      <c r="Q1224" s="32"/>
      <c r="R1224" s="32"/>
      <c r="S1224" s="32">
        <f t="shared" si="367"/>
        <v>14398</v>
      </c>
      <c r="T1224" s="12"/>
      <c r="U1224" s="12"/>
      <c r="V1224" s="12"/>
      <c r="W1224" s="12">
        <f t="shared" si="368"/>
        <v>14398</v>
      </c>
      <c r="Y1224" s="10">
        <v>3</v>
      </c>
      <c r="Z1224" s="30" t="s">
        <v>106</v>
      </c>
      <c r="AA1224" s="31">
        <f t="shared" si="369"/>
        <v>5458</v>
      </c>
      <c r="AB1224" s="33">
        <f>117688+3070+17880+2290</f>
        <v>140928</v>
      </c>
      <c r="AC1224" s="33"/>
      <c r="AD1224" s="32"/>
      <c r="AE1224" s="32">
        <f t="shared" si="370"/>
        <v>140928</v>
      </c>
      <c r="AF1224" s="12"/>
      <c r="AG1224" s="12">
        <v>222</v>
      </c>
      <c r="AH1224" s="12"/>
      <c r="AI1224" s="12">
        <f t="shared" si="371"/>
        <v>141150</v>
      </c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10">
        <v>4</v>
      </c>
      <c r="B1225" s="30" t="s">
        <v>106</v>
      </c>
      <c r="C1225" s="31">
        <f t="shared" si="372"/>
        <v>5610</v>
      </c>
      <c r="D1225" s="32">
        <f>3130+48</f>
        <v>3178</v>
      </c>
      <c r="E1225" s="32"/>
      <c r="F1225" s="32"/>
      <c r="G1225" s="32">
        <f t="shared" si="364"/>
        <v>3178</v>
      </c>
      <c r="H1225" s="12"/>
      <c r="I1225" s="12"/>
      <c r="J1225" s="12"/>
      <c r="K1225" s="12">
        <f t="shared" si="365"/>
        <v>3178</v>
      </c>
      <c r="M1225" s="10">
        <v>4</v>
      </c>
      <c r="N1225" s="30" t="s">
        <v>106</v>
      </c>
      <c r="O1225" s="31">
        <f t="shared" si="366"/>
        <v>5289</v>
      </c>
      <c r="P1225" s="32">
        <f>112680+11920+1832</f>
        <v>126432</v>
      </c>
      <c r="Q1225" s="32">
        <v>-1872</v>
      </c>
      <c r="R1225" s="32"/>
      <c r="S1225" s="32">
        <f t="shared" si="367"/>
        <v>124560</v>
      </c>
      <c r="T1225" s="12"/>
      <c r="U1225" s="12">
        <v>624</v>
      </c>
      <c r="V1225" s="12">
        <f>-120+-111*15+-84+-84+-336</f>
        <v>-2289</v>
      </c>
      <c r="W1225" s="12">
        <f t="shared" si="368"/>
        <v>122895</v>
      </c>
      <c r="Y1225" s="10">
        <v>4</v>
      </c>
      <c r="Z1225" s="30" t="s">
        <v>106</v>
      </c>
      <c r="AA1225" s="31">
        <f t="shared" si="369"/>
        <v>5459</v>
      </c>
      <c r="AB1225" s="32">
        <f>169020+5526+1348+11920+852*3+1664+2290</f>
        <v>194324</v>
      </c>
      <c r="AC1225" s="32"/>
      <c r="AD1225" s="32"/>
      <c r="AE1225" s="32">
        <f t="shared" si="370"/>
        <v>194324</v>
      </c>
      <c r="AF1225" s="12"/>
      <c r="AG1225">
        <f>600+33411+780</f>
        <v>34791</v>
      </c>
      <c r="AH1225" s="12"/>
      <c r="AI1225" s="12">
        <f t="shared" si="371"/>
        <v>229115</v>
      </c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10">
        <v>5</v>
      </c>
      <c r="B1226" s="30" t="s">
        <v>106</v>
      </c>
      <c r="C1226" s="31">
        <f t="shared" si="372"/>
        <v>5611</v>
      </c>
      <c r="D1226" s="32">
        <f>1252+596+29</f>
        <v>1877</v>
      </c>
      <c r="E1226" s="32"/>
      <c r="F1226" s="32"/>
      <c r="G1226" s="32">
        <f t="shared" si="364"/>
        <v>1877</v>
      </c>
      <c r="H1226" s="12"/>
      <c r="I1226" s="12"/>
      <c r="J1226" s="12"/>
      <c r="K1226" s="12">
        <f t="shared" si="365"/>
        <v>1877</v>
      </c>
      <c r="M1226" s="10">
        <v>5</v>
      </c>
      <c r="N1226" s="30"/>
      <c r="O1226" s="11" t="s">
        <v>28</v>
      </c>
      <c r="P1226" s="32"/>
      <c r="Q1226" s="32"/>
      <c r="R1226" s="32"/>
      <c r="S1226" s="32">
        <f t="shared" si="367"/>
        <v>0</v>
      </c>
      <c r="T1226" s="12"/>
      <c r="U1226" s="12"/>
      <c r="V1226" s="12"/>
      <c r="W1226" s="12">
        <f t="shared" si="368"/>
        <v>0</v>
      </c>
      <c r="Y1226" s="10">
        <v>5</v>
      </c>
      <c r="Z1226" s="30" t="s">
        <v>106</v>
      </c>
      <c r="AA1226" s="31">
        <f t="shared" si="369"/>
        <v>5460</v>
      </c>
      <c r="AB1226" s="32">
        <f>1878+458</f>
        <v>2336</v>
      </c>
      <c r="AC1226" s="32"/>
      <c r="AD1226" s="32"/>
      <c r="AE1226" s="32">
        <f t="shared" si="370"/>
        <v>2336</v>
      </c>
      <c r="AF1226" s="12"/>
      <c r="AG1226" s="12"/>
      <c r="AH1226" s="12"/>
      <c r="AI1226" s="12">
        <f t="shared" si="371"/>
        <v>2336</v>
      </c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10">
        <v>6</v>
      </c>
      <c r="B1227" s="30" t="s">
        <v>106</v>
      </c>
      <c r="C1227" s="31">
        <f t="shared" si="372"/>
        <v>5612</v>
      </c>
      <c r="D1227" s="32">
        <f>3130+48</f>
        <v>3178</v>
      </c>
      <c r="E1227" s="32"/>
      <c r="F1227" s="32"/>
      <c r="G1227" s="32">
        <f t="shared" si="364"/>
        <v>3178</v>
      </c>
      <c r="H1227" s="12"/>
      <c r="I1227" s="12"/>
      <c r="J1227" s="12"/>
      <c r="K1227" s="12">
        <f t="shared" si="365"/>
        <v>3178</v>
      </c>
      <c r="M1227" s="10">
        <v>6</v>
      </c>
      <c r="N1227" s="30"/>
      <c r="O1227" s="31"/>
      <c r="P1227" s="32"/>
      <c r="Q1227" s="32"/>
      <c r="R1227" s="32"/>
      <c r="S1227" s="32">
        <f t="shared" si="367"/>
        <v>0</v>
      </c>
      <c r="T1227" s="12"/>
      <c r="U1227" s="12"/>
      <c r="V1227" s="10"/>
      <c r="W1227" s="12">
        <f t="shared" si="368"/>
        <v>0</v>
      </c>
      <c r="Y1227" s="10">
        <v>6</v>
      </c>
      <c r="Z1227" s="30"/>
      <c r="AA1227" s="11" t="s">
        <v>28</v>
      </c>
      <c r="AB1227" s="32"/>
      <c r="AC1227" s="32"/>
      <c r="AD1227" s="32"/>
      <c r="AE1227" s="32">
        <f t="shared" si="370"/>
        <v>0</v>
      </c>
      <c r="AF1227" s="12"/>
      <c r="AG1227" s="12"/>
      <c r="AH1227" s="10"/>
      <c r="AI1227" s="12">
        <f t="shared" si="371"/>
        <v>0</v>
      </c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10">
        <v>7</v>
      </c>
      <c r="B1228" s="30" t="s">
        <v>106</v>
      </c>
      <c r="C1228" s="31">
        <f t="shared" si="372"/>
        <v>5613</v>
      </c>
      <c r="D1228" s="32">
        <f>1252+19</f>
        <v>1271</v>
      </c>
      <c r="E1228" s="32"/>
      <c r="F1228" s="32"/>
      <c r="G1228" s="32">
        <f t="shared" si="364"/>
        <v>1271</v>
      </c>
      <c r="H1228" s="12"/>
      <c r="I1228" s="12"/>
      <c r="J1228" s="12"/>
      <c r="K1228" s="12">
        <f t="shared" si="365"/>
        <v>1271</v>
      </c>
      <c r="M1228" s="10">
        <v>7</v>
      </c>
      <c r="N1228" s="30"/>
      <c r="O1228" s="31"/>
      <c r="P1228" s="32"/>
      <c r="Q1228" s="32"/>
      <c r="R1228" s="32"/>
      <c r="S1228" s="32">
        <f t="shared" si="367"/>
        <v>0</v>
      </c>
      <c r="T1228" s="12"/>
      <c r="U1228" s="12"/>
      <c r="V1228" s="12"/>
      <c r="W1228" s="12">
        <f t="shared" si="368"/>
        <v>0</v>
      </c>
      <c r="Y1228" s="10">
        <v>7</v>
      </c>
      <c r="Z1228" s="30"/>
      <c r="AA1228" s="31"/>
      <c r="AB1228" s="32"/>
      <c r="AC1228" s="32"/>
      <c r="AD1228" s="32"/>
      <c r="AE1228" s="32">
        <f t="shared" si="370"/>
        <v>0</v>
      </c>
      <c r="AF1228" s="12"/>
      <c r="AG1228" s="58"/>
      <c r="AH1228" s="12"/>
      <c r="AI1228" s="12">
        <f t="shared" si="371"/>
        <v>0</v>
      </c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10">
        <v>8</v>
      </c>
      <c r="B1229" s="30" t="s">
        <v>106</v>
      </c>
      <c r="C1229" s="31">
        <f t="shared" si="372"/>
        <v>5614</v>
      </c>
      <c r="D1229" s="32">
        <f>2504+614+38</f>
        <v>3156</v>
      </c>
      <c r="E1229" s="32"/>
      <c r="F1229" s="32"/>
      <c r="G1229" s="32">
        <f t="shared" si="364"/>
        <v>3156</v>
      </c>
      <c r="H1229" s="12"/>
      <c r="I1229" s="12"/>
      <c r="J1229" s="12"/>
      <c r="K1229" s="12">
        <f t="shared" si="365"/>
        <v>3156</v>
      </c>
      <c r="M1229" s="10">
        <v>8</v>
      </c>
      <c r="N1229" s="30"/>
      <c r="O1229" s="31"/>
      <c r="P1229" s="32"/>
      <c r="Q1229" s="32"/>
      <c r="R1229" s="32"/>
      <c r="S1229" s="32">
        <f t="shared" si="367"/>
        <v>0</v>
      </c>
      <c r="T1229" s="12"/>
      <c r="U1229" s="12"/>
      <c r="V1229" s="12"/>
      <c r="W1229" s="12">
        <f t="shared" si="368"/>
        <v>0</v>
      </c>
      <c r="Y1229" s="10">
        <v>8</v>
      </c>
      <c r="Z1229" s="30"/>
      <c r="AA1229" s="31"/>
      <c r="AB1229" s="32"/>
      <c r="AC1229" s="32"/>
      <c r="AE1229" s="32">
        <f t="shared" si="370"/>
        <v>0</v>
      </c>
      <c r="AF1229" s="12"/>
      <c r="AG1229" s="12"/>
      <c r="AH1229" s="12"/>
      <c r="AI1229" s="12">
        <f t="shared" si="371"/>
        <v>0</v>
      </c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10">
        <v>9</v>
      </c>
      <c r="B1230" s="30" t="s">
        <v>106</v>
      </c>
      <c r="C1230" s="31">
        <f t="shared" si="372"/>
        <v>5615</v>
      </c>
      <c r="D1230" s="32">
        <f>2504+38</f>
        <v>2542</v>
      </c>
      <c r="E1230" s="32"/>
      <c r="F1230" s="32"/>
      <c r="G1230" s="32">
        <f t="shared" si="364"/>
        <v>2542</v>
      </c>
      <c r="H1230" s="12"/>
      <c r="I1230" s="12"/>
      <c r="J1230" s="12"/>
      <c r="K1230" s="12">
        <f t="shared" si="365"/>
        <v>2542</v>
      </c>
      <c r="M1230" s="10">
        <v>9</v>
      </c>
      <c r="N1230" s="30"/>
      <c r="O1230" s="31"/>
      <c r="P1230" s="32"/>
      <c r="Q1230" s="32"/>
      <c r="R1230" s="32"/>
      <c r="S1230" s="32">
        <f t="shared" si="367"/>
        <v>0</v>
      </c>
      <c r="T1230" s="12"/>
      <c r="U1230" s="12"/>
      <c r="V1230" s="12"/>
      <c r="W1230" s="12">
        <f t="shared" si="368"/>
        <v>0</v>
      </c>
      <c r="Y1230" s="10">
        <v>9</v>
      </c>
      <c r="Z1230" s="30"/>
      <c r="AA1230" s="31"/>
      <c r="AC1230" s="32"/>
      <c r="AD1230" s="32"/>
      <c r="AE1230" s="32">
        <f t="shared" si="370"/>
        <v>0</v>
      </c>
      <c r="AF1230" s="12"/>
      <c r="AH1230" s="12"/>
      <c r="AI1230" s="12">
        <f t="shared" si="371"/>
        <v>0</v>
      </c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10">
        <v>10</v>
      </c>
      <c r="B1231" s="30" t="s">
        <v>106</v>
      </c>
      <c r="C1231" s="31">
        <f t="shared" si="372"/>
        <v>5616</v>
      </c>
      <c r="D1231" s="32">
        <f>1252+19</f>
        <v>1271</v>
      </c>
      <c r="E1231" s="32"/>
      <c r="F1231" s="32"/>
      <c r="G1231" s="32">
        <f t="shared" si="364"/>
        <v>1271</v>
      </c>
      <c r="H1231" s="12"/>
      <c r="I1231" s="12"/>
      <c r="J1231" s="12"/>
      <c r="K1231" s="12">
        <f t="shared" si="365"/>
        <v>1271</v>
      </c>
      <c r="M1231" s="10">
        <v>10</v>
      </c>
      <c r="N1231" s="30"/>
      <c r="O1231" s="31"/>
      <c r="P1231" s="32"/>
      <c r="Q1231" s="32"/>
      <c r="R1231" s="32"/>
      <c r="S1231" s="32">
        <f t="shared" si="367"/>
        <v>0</v>
      </c>
      <c r="T1231" s="12"/>
      <c r="U1231" s="12"/>
      <c r="V1231" s="12"/>
      <c r="W1231" s="12">
        <f t="shared" si="368"/>
        <v>0</v>
      </c>
      <c r="Y1231" s="10">
        <v>10</v>
      </c>
      <c r="Z1231" s="30"/>
      <c r="AA1231" s="31"/>
      <c r="AB1231" s="32"/>
      <c r="AC1231" s="32"/>
      <c r="AD1231" s="32"/>
      <c r="AE1231" s="32">
        <f t="shared" si="370"/>
        <v>0</v>
      </c>
      <c r="AF1231" s="12"/>
      <c r="AG1231" s="12"/>
      <c r="AH1231" s="12"/>
      <c r="AI1231" s="12">
        <f t="shared" si="371"/>
        <v>0</v>
      </c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10">
        <v>11</v>
      </c>
      <c r="B1232" s="30" t="s">
        <v>106</v>
      </c>
      <c r="C1232" s="31">
        <f t="shared" si="372"/>
        <v>5617</v>
      </c>
      <c r="D1232" s="32">
        <f>6260+95</f>
        <v>6355</v>
      </c>
      <c r="E1232" s="32"/>
      <c r="F1232" s="32"/>
      <c r="G1232" s="32">
        <f t="shared" si="364"/>
        <v>6355</v>
      </c>
      <c r="H1232" s="12"/>
      <c r="I1232" s="12"/>
      <c r="J1232" s="12"/>
      <c r="K1232" s="12">
        <f t="shared" si="365"/>
        <v>6355</v>
      </c>
      <c r="M1232" s="10">
        <v>11</v>
      </c>
      <c r="N1232" s="30"/>
      <c r="O1232" s="31"/>
      <c r="P1232" s="32"/>
      <c r="Q1232" s="32"/>
      <c r="R1232" s="32"/>
      <c r="S1232" s="32">
        <f t="shared" si="367"/>
        <v>0</v>
      </c>
      <c r="T1232" s="12"/>
      <c r="U1232" s="12"/>
      <c r="V1232" s="12"/>
      <c r="W1232" s="12">
        <f t="shared" si="368"/>
        <v>0</v>
      </c>
      <c r="Y1232" s="10">
        <v>11</v>
      </c>
      <c r="Z1232" s="30"/>
      <c r="AA1232" s="31"/>
      <c r="AB1232" s="32"/>
      <c r="AC1232" s="32"/>
      <c r="AD1232" s="32"/>
      <c r="AE1232" s="32">
        <f t="shared" si="370"/>
        <v>0</v>
      </c>
      <c r="AF1232" s="12"/>
      <c r="AG1232" s="12"/>
      <c r="AH1232" s="12"/>
      <c r="AI1232" s="12">
        <f t="shared" si="371"/>
        <v>0</v>
      </c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10">
        <v>12</v>
      </c>
      <c r="B1233" s="30" t="s">
        <v>106</v>
      </c>
      <c r="C1233" s="31">
        <f t="shared" si="372"/>
        <v>5618</v>
      </c>
      <c r="D1233" s="32">
        <f>3130+832+48</f>
        <v>4010</v>
      </c>
      <c r="E1233" s="32"/>
      <c r="F1233" s="32"/>
      <c r="G1233" s="32">
        <f t="shared" si="364"/>
        <v>4010</v>
      </c>
      <c r="H1233" s="12"/>
      <c r="I1233" s="12"/>
      <c r="J1233" s="10"/>
      <c r="K1233" s="12">
        <f t="shared" si="365"/>
        <v>4010</v>
      </c>
      <c r="M1233" s="10">
        <v>12</v>
      </c>
      <c r="N1233" s="30"/>
      <c r="O1233" s="31"/>
      <c r="P1233" s="32"/>
      <c r="Q1233" s="32"/>
      <c r="R1233" s="32"/>
      <c r="S1233" s="32">
        <f t="shared" si="367"/>
        <v>0</v>
      </c>
      <c r="T1233" s="12"/>
      <c r="U1233" s="12"/>
      <c r="V1233" s="12"/>
      <c r="W1233" s="12">
        <f t="shared" si="368"/>
        <v>0</v>
      </c>
      <c r="Y1233" s="10">
        <v>12</v>
      </c>
      <c r="Z1233" s="30"/>
      <c r="AA1233" s="31"/>
      <c r="AB1233" s="32"/>
      <c r="AC1233" s="32"/>
      <c r="AD1233" s="32"/>
      <c r="AE1233" s="32">
        <f t="shared" si="370"/>
        <v>0</v>
      </c>
      <c r="AF1233" s="12"/>
      <c r="AG1233" s="12"/>
      <c r="AH1233" s="12"/>
      <c r="AI1233" s="12">
        <f t="shared" si="371"/>
        <v>0</v>
      </c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10">
        <v>13</v>
      </c>
      <c r="B1234" s="30" t="s">
        <v>106</v>
      </c>
      <c r="C1234" s="31">
        <f t="shared" si="372"/>
        <v>5619</v>
      </c>
      <c r="D1234" s="32">
        <f>10642+162</f>
        <v>10804</v>
      </c>
      <c r="E1234" s="32"/>
      <c r="F1234" s="32"/>
      <c r="G1234" s="32">
        <f t="shared" si="364"/>
        <v>10804</v>
      </c>
      <c r="H1234" s="12"/>
      <c r="I1234" s="12"/>
      <c r="J1234" s="12"/>
      <c r="K1234" s="12">
        <f t="shared" si="365"/>
        <v>10804</v>
      </c>
      <c r="M1234" s="10">
        <v>13</v>
      </c>
      <c r="N1234" s="30"/>
      <c r="O1234" s="31"/>
      <c r="P1234" s="32"/>
      <c r="Q1234" s="32"/>
      <c r="R1234" s="32"/>
      <c r="S1234" s="32">
        <f t="shared" si="367"/>
        <v>0</v>
      </c>
      <c r="T1234" s="12"/>
      <c r="U1234" s="12"/>
      <c r="V1234" s="12"/>
      <c r="W1234" s="12">
        <f t="shared" si="368"/>
        <v>0</v>
      </c>
      <c r="Y1234" s="10">
        <v>13</v>
      </c>
      <c r="Z1234" s="30"/>
      <c r="AA1234" s="31"/>
      <c r="AB1234" s="32"/>
      <c r="AC1234" s="32"/>
      <c r="AD1234" s="32"/>
      <c r="AE1234" s="32">
        <f t="shared" si="370"/>
        <v>0</v>
      </c>
      <c r="AF1234" s="12"/>
      <c r="AG1234" s="12"/>
      <c r="AH1234" s="12"/>
      <c r="AI1234" s="12">
        <f t="shared" si="371"/>
        <v>0</v>
      </c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10">
        <v>14</v>
      </c>
      <c r="B1235" s="30" t="s">
        <v>106</v>
      </c>
      <c r="C1235" s="31">
        <f t="shared" si="372"/>
        <v>5620</v>
      </c>
      <c r="D1235" s="32">
        <f>11894+181</f>
        <v>12075</v>
      </c>
      <c r="E1235" s="32"/>
      <c r="F1235" s="32"/>
      <c r="G1235" s="32">
        <f t="shared" si="364"/>
        <v>12075</v>
      </c>
      <c r="H1235" s="12"/>
      <c r="I1235" s="12"/>
      <c r="J1235" s="12"/>
      <c r="K1235" s="12">
        <f t="shared" si="365"/>
        <v>12075</v>
      </c>
      <c r="M1235" s="10">
        <v>14</v>
      </c>
      <c r="N1235" s="30"/>
      <c r="O1235" s="31"/>
      <c r="P1235" s="32"/>
      <c r="Q1235" s="32"/>
      <c r="R1235" s="32"/>
      <c r="S1235" s="32">
        <f t="shared" si="367"/>
        <v>0</v>
      </c>
      <c r="T1235" s="12"/>
      <c r="U1235" s="12"/>
      <c r="V1235" s="12"/>
      <c r="W1235" s="12">
        <f t="shared" si="368"/>
        <v>0</v>
      </c>
      <c r="Y1235" s="10">
        <v>14</v>
      </c>
      <c r="Z1235" s="30"/>
      <c r="AA1235" s="31"/>
      <c r="AB1235" s="32"/>
      <c r="AC1235" s="32"/>
      <c r="AD1235" s="32"/>
      <c r="AE1235" s="32">
        <f t="shared" si="370"/>
        <v>0</v>
      </c>
      <c r="AF1235" s="12"/>
      <c r="AG1235" s="12"/>
      <c r="AH1235" s="12"/>
      <c r="AI1235" s="12">
        <f t="shared" si="371"/>
        <v>0</v>
      </c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10">
        <v>15</v>
      </c>
      <c r="B1236" s="30" t="s">
        <v>106</v>
      </c>
      <c r="C1236" s="31">
        <f t="shared" si="372"/>
        <v>5621</v>
      </c>
      <c r="D1236" s="32">
        <f>2504+38</f>
        <v>2542</v>
      </c>
      <c r="E1236" s="32"/>
      <c r="F1236" s="32"/>
      <c r="G1236" s="32">
        <f t="shared" si="364"/>
        <v>2542</v>
      </c>
      <c r="H1236" s="12"/>
      <c r="I1236" s="12"/>
      <c r="J1236" s="12"/>
      <c r="K1236" s="12">
        <f t="shared" si="365"/>
        <v>2542</v>
      </c>
      <c r="M1236" s="10">
        <v>15</v>
      </c>
      <c r="N1236" s="30"/>
      <c r="O1236" s="31"/>
      <c r="P1236" s="32"/>
      <c r="R1236" s="32"/>
      <c r="S1236" s="32">
        <f t="shared" si="367"/>
        <v>0</v>
      </c>
      <c r="T1236" s="12"/>
      <c r="U1236" s="12"/>
      <c r="W1236" s="12">
        <f t="shared" si="368"/>
        <v>0</v>
      </c>
      <c r="Y1236" s="10">
        <v>15</v>
      </c>
      <c r="Z1236" s="30"/>
      <c r="AA1236" s="31"/>
      <c r="AB1236" s="32"/>
      <c r="AC1236" s="32"/>
      <c r="AD1236" s="32"/>
      <c r="AE1236" s="32">
        <f t="shared" si="370"/>
        <v>0</v>
      </c>
      <c r="AF1236" s="12"/>
      <c r="AG1236" s="12"/>
      <c r="AH1236" s="12"/>
      <c r="AI1236" s="12">
        <f t="shared" si="371"/>
        <v>0</v>
      </c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10">
        <v>16</v>
      </c>
      <c r="B1237" s="30" t="s">
        <v>106</v>
      </c>
      <c r="C1237" s="31">
        <f t="shared" si="372"/>
        <v>5622</v>
      </c>
      <c r="D1237" s="32">
        <f>28796+229</f>
        <v>29025</v>
      </c>
      <c r="E1237" s="32"/>
      <c r="F1237" s="32"/>
      <c r="G1237" s="32">
        <f t="shared" si="364"/>
        <v>29025</v>
      </c>
      <c r="H1237" s="12"/>
      <c r="I1237" s="12"/>
      <c r="J1237" s="12"/>
      <c r="K1237" s="12">
        <f t="shared" si="365"/>
        <v>29025</v>
      </c>
      <c r="M1237" s="10">
        <v>16</v>
      </c>
      <c r="N1237" s="30"/>
      <c r="O1237" s="31"/>
      <c r="P1237" s="32"/>
      <c r="Q1237" s="32"/>
      <c r="R1237" s="32"/>
      <c r="S1237" s="32">
        <f>SUM(P1237:Q1237)</f>
        <v>0</v>
      </c>
      <c r="T1237" s="12"/>
      <c r="U1237" s="12"/>
      <c r="V1237" s="12"/>
      <c r="W1237" s="12">
        <f>SUM(S1237:V1237)</f>
        <v>0</v>
      </c>
      <c r="Y1237" s="10">
        <v>16</v>
      </c>
      <c r="Z1237" s="30"/>
      <c r="AB1237" s="32"/>
      <c r="AC1237" s="32"/>
      <c r="AD1237" s="32"/>
      <c r="AE1237" s="32">
        <f t="shared" si="370"/>
        <v>0</v>
      </c>
      <c r="AF1237" s="12"/>
      <c r="AG1237" s="12"/>
      <c r="AH1237" s="12"/>
      <c r="AI1237" s="12">
        <f t="shared" si="371"/>
        <v>0</v>
      </c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10">
        <v>17</v>
      </c>
      <c r="B1238" s="30" t="s">
        <v>106</v>
      </c>
      <c r="C1238" s="31">
        <f t="shared" si="372"/>
        <v>5623</v>
      </c>
      <c r="D1238" s="32">
        <f>1252+19</f>
        <v>1271</v>
      </c>
      <c r="E1238" s="32"/>
      <c r="F1238" s="32"/>
      <c r="G1238" s="32">
        <f t="shared" si="364"/>
        <v>1271</v>
      </c>
      <c r="H1238" s="12"/>
      <c r="I1238" s="12"/>
      <c r="J1238" s="12"/>
      <c r="K1238" s="12">
        <f t="shared" si="365"/>
        <v>1271</v>
      </c>
      <c r="M1238" s="10">
        <v>17</v>
      </c>
      <c r="N1238" s="30"/>
      <c r="O1238" s="31"/>
      <c r="P1238" s="35"/>
      <c r="Q1238" s="32"/>
      <c r="R1238" s="32"/>
      <c r="S1238" s="32">
        <f t="shared" ref="S1238:S1260" si="373">SUM(P1238:Q1238)</f>
        <v>0</v>
      </c>
      <c r="T1238" s="12"/>
      <c r="U1238" s="12"/>
      <c r="V1238" s="12"/>
      <c r="W1238" s="12">
        <f t="shared" ref="W1238:W1263" si="374">SUM(S1238:V1238)</f>
        <v>0</v>
      </c>
      <c r="Y1238" s="10">
        <v>17</v>
      </c>
      <c r="Z1238" s="30"/>
      <c r="AA1238" s="31"/>
      <c r="AB1238" s="35"/>
      <c r="AC1238" s="32"/>
      <c r="AD1238" s="32"/>
      <c r="AE1238" s="32">
        <f t="shared" si="370"/>
        <v>0</v>
      </c>
      <c r="AF1238" s="12"/>
      <c r="AG1238" s="12"/>
      <c r="AH1238" s="12"/>
      <c r="AI1238" s="12">
        <f t="shared" si="371"/>
        <v>0</v>
      </c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10">
        <v>18</v>
      </c>
      <c r="B1239" s="30" t="s">
        <v>106</v>
      </c>
      <c r="C1239" s="31">
        <f t="shared" si="372"/>
        <v>5624</v>
      </c>
      <c r="D1239" s="32">
        <f>2504+38</f>
        <v>2542</v>
      </c>
      <c r="E1239" s="32"/>
      <c r="F1239" s="32"/>
      <c r="G1239" s="32">
        <f t="shared" si="364"/>
        <v>2542</v>
      </c>
      <c r="H1239" s="12"/>
      <c r="I1239" s="12"/>
      <c r="J1239" s="12"/>
      <c r="K1239" s="12">
        <f t="shared" si="365"/>
        <v>2542</v>
      </c>
      <c r="M1239" s="10">
        <v>18</v>
      </c>
      <c r="N1239" s="30"/>
      <c r="O1239" s="31"/>
      <c r="P1239" s="32"/>
      <c r="Q1239" s="32"/>
      <c r="R1239" s="32"/>
      <c r="S1239" s="32">
        <f t="shared" si="373"/>
        <v>0</v>
      </c>
      <c r="T1239" s="12"/>
      <c r="U1239" s="12"/>
      <c r="V1239" s="12"/>
      <c r="W1239" s="12">
        <f t="shared" si="374"/>
        <v>0</v>
      </c>
      <c r="Y1239" s="10">
        <v>18</v>
      </c>
      <c r="Z1239" s="30"/>
      <c r="AA1239" s="31"/>
      <c r="AB1239" s="32"/>
      <c r="AC1239" s="32"/>
      <c r="AD1239" s="32"/>
      <c r="AE1239" s="32">
        <f t="shared" si="370"/>
        <v>0</v>
      </c>
      <c r="AF1239" s="12"/>
      <c r="AG1239" s="12"/>
      <c r="AH1239" s="12"/>
      <c r="AI1239" s="12">
        <f t="shared" si="371"/>
        <v>0</v>
      </c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10">
        <v>19</v>
      </c>
      <c r="B1240" s="30" t="s">
        <v>106</v>
      </c>
      <c r="C1240" s="31">
        <f t="shared" si="372"/>
        <v>5625</v>
      </c>
      <c r="D1240" s="32">
        <f>3756+57</f>
        <v>3813</v>
      </c>
      <c r="E1240" s="32"/>
      <c r="F1240" s="32"/>
      <c r="G1240" s="32">
        <f t="shared" si="364"/>
        <v>3813</v>
      </c>
      <c r="H1240" s="12"/>
      <c r="I1240" s="12"/>
      <c r="J1240" s="12"/>
      <c r="K1240" s="12">
        <f t="shared" si="365"/>
        <v>3813</v>
      </c>
      <c r="M1240" s="10">
        <v>19</v>
      </c>
      <c r="N1240" s="30"/>
      <c r="O1240" s="31"/>
      <c r="P1240" s="32"/>
      <c r="Q1240" s="32"/>
      <c r="R1240" s="32"/>
      <c r="S1240" s="32">
        <f t="shared" si="373"/>
        <v>0</v>
      </c>
      <c r="T1240" s="12"/>
      <c r="U1240" s="12"/>
      <c r="V1240" s="12"/>
      <c r="W1240" s="12">
        <f t="shared" si="374"/>
        <v>0</v>
      </c>
      <c r="Y1240" s="10">
        <v>19</v>
      </c>
      <c r="Z1240" s="30"/>
      <c r="AA1240" s="31"/>
      <c r="AB1240" s="32"/>
      <c r="AC1240" s="32"/>
      <c r="AD1240" s="32"/>
      <c r="AE1240" s="32">
        <f t="shared" si="370"/>
        <v>0</v>
      </c>
      <c r="AF1240" s="12"/>
      <c r="AG1240" s="12"/>
      <c r="AH1240" s="12"/>
      <c r="AI1240" s="12">
        <f t="shared" si="371"/>
        <v>0</v>
      </c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10">
        <v>20</v>
      </c>
      <c r="B1241" s="30" t="s">
        <v>106</v>
      </c>
      <c r="C1241" s="31">
        <f t="shared" si="372"/>
        <v>5626</v>
      </c>
      <c r="D1241" s="32">
        <f>70112+8940+687</f>
        <v>79739</v>
      </c>
      <c r="E1241" s="32"/>
      <c r="F1241" s="32"/>
      <c r="G1241" s="32">
        <f t="shared" si="364"/>
        <v>79739</v>
      </c>
      <c r="H1241" s="12"/>
      <c r="I1241" s="12">
        <v>27</v>
      </c>
      <c r="J1241" s="12"/>
      <c r="K1241" s="12">
        <f t="shared" si="365"/>
        <v>79766</v>
      </c>
      <c r="M1241" s="10">
        <v>20</v>
      </c>
      <c r="N1241" s="30"/>
      <c r="O1241" s="31"/>
      <c r="P1241" s="32"/>
      <c r="Q1241" s="32"/>
      <c r="R1241" s="32"/>
      <c r="S1241" s="32">
        <f t="shared" si="373"/>
        <v>0</v>
      </c>
      <c r="T1241" s="12"/>
      <c r="U1241" s="12"/>
      <c r="V1241" s="12"/>
      <c r="W1241" s="12">
        <f t="shared" si="374"/>
        <v>0</v>
      </c>
      <c r="Y1241" s="10">
        <v>20</v>
      </c>
      <c r="Z1241" s="30"/>
      <c r="AA1241" s="31"/>
      <c r="AB1241" s="32"/>
      <c r="AC1241" s="32"/>
      <c r="AD1241" s="32"/>
      <c r="AE1241" s="32">
        <f t="shared" si="370"/>
        <v>0</v>
      </c>
      <c r="AF1241" s="12"/>
      <c r="AG1241" s="12"/>
      <c r="AH1241" s="12"/>
      <c r="AI1241" s="12">
        <f t="shared" si="371"/>
        <v>0</v>
      </c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10">
        <v>21</v>
      </c>
      <c r="B1242" s="30" t="s">
        <v>106</v>
      </c>
      <c r="C1242" s="31">
        <f t="shared" si="372"/>
        <v>5627</v>
      </c>
      <c r="D1242" s="32">
        <f>5634+596+95</f>
        <v>6325</v>
      </c>
      <c r="E1242" s="32"/>
      <c r="F1242" s="32"/>
      <c r="G1242" s="32">
        <f t="shared" si="364"/>
        <v>6325</v>
      </c>
      <c r="H1242" s="10"/>
      <c r="I1242" s="10"/>
      <c r="J1242" s="10"/>
      <c r="K1242" s="12">
        <f t="shared" si="365"/>
        <v>6325</v>
      </c>
      <c r="M1242" s="10">
        <v>21</v>
      </c>
      <c r="N1242" s="30"/>
      <c r="O1242" s="31"/>
      <c r="P1242" s="46"/>
      <c r="Q1242" s="31"/>
      <c r="R1242" s="31"/>
      <c r="S1242" s="32">
        <f t="shared" si="373"/>
        <v>0</v>
      </c>
      <c r="T1242" s="10"/>
      <c r="U1242" s="10"/>
      <c r="V1242" s="10"/>
      <c r="W1242" s="12">
        <f t="shared" si="374"/>
        <v>0</v>
      </c>
      <c r="Y1242" s="10">
        <v>21</v>
      </c>
      <c r="Z1242" s="30"/>
      <c r="AB1242" s="46"/>
      <c r="AC1242" s="31"/>
      <c r="AD1242" s="31"/>
      <c r="AE1242" s="32">
        <f t="shared" si="370"/>
        <v>0</v>
      </c>
      <c r="AF1242" s="10"/>
      <c r="AG1242" s="10"/>
      <c r="AH1242" s="10"/>
      <c r="AI1242" s="12">
        <f t="shared" si="371"/>
        <v>0</v>
      </c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10">
        <v>22</v>
      </c>
      <c r="B1243" s="30" t="s">
        <v>106</v>
      </c>
      <c r="C1243" s="31">
        <f t="shared" si="372"/>
        <v>5628</v>
      </c>
      <c r="D1243" s="32">
        <f>6740</f>
        <v>6740</v>
      </c>
      <c r="E1243" s="32"/>
      <c r="F1243" s="32"/>
      <c r="G1243" s="32">
        <f t="shared" si="364"/>
        <v>6740</v>
      </c>
      <c r="H1243" s="10"/>
      <c r="I1243" s="10">
        <v>1110</v>
      </c>
      <c r="J1243" s="10"/>
      <c r="K1243" s="12">
        <f t="shared" si="365"/>
        <v>7850</v>
      </c>
      <c r="M1243" s="10">
        <v>22</v>
      </c>
      <c r="N1243" s="30"/>
      <c r="O1243" s="31"/>
      <c r="P1243" s="45"/>
      <c r="Q1243" s="31"/>
      <c r="R1243" s="31"/>
      <c r="S1243" s="32">
        <f t="shared" si="373"/>
        <v>0</v>
      </c>
      <c r="T1243" s="10"/>
      <c r="U1243" s="10"/>
      <c r="V1243" s="10"/>
      <c r="W1243" s="12">
        <f t="shared" si="374"/>
        <v>0</v>
      </c>
      <c r="Y1243" s="10">
        <v>22</v>
      </c>
      <c r="Z1243" s="30"/>
      <c r="AA1243" s="31"/>
      <c r="AB1243" s="45"/>
      <c r="AC1243" s="31"/>
      <c r="AD1243" s="31"/>
      <c r="AE1243" s="32">
        <f t="shared" si="370"/>
        <v>0</v>
      </c>
      <c r="AF1243" s="10"/>
      <c r="AG1243" s="10"/>
      <c r="AH1243" s="10"/>
      <c r="AI1243" s="12">
        <f t="shared" si="371"/>
        <v>0</v>
      </c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10">
        <v>23</v>
      </c>
      <c r="B1244" s="30" t="s">
        <v>106</v>
      </c>
      <c r="C1244" s="31">
        <f t="shared" si="372"/>
        <v>5629</v>
      </c>
      <c r="D1244" s="32">
        <f>626*15+614+1348+852+832+95</f>
        <v>13131</v>
      </c>
      <c r="E1244" s="32"/>
      <c r="F1244" s="32"/>
      <c r="G1244" s="32">
        <f t="shared" si="364"/>
        <v>13131</v>
      </c>
      <c r="H1244" s="10"/>
      <c r="I1244" s="10"/>
      <c r="J1244" s="12"/>
      <c r="K1244" s="12">
        <f t="shared" si="365"/>
        <v>13131</v>
      </c>
      <c r="M1244" s="10">
        <v>23</v>
      </c>
      <c r="N1244" s="30"/>
      <c r="O1244" s="31"/>
      <c r="P1244" s="47"/>
      <c r="Q1244" s="31"/>
      <c r="R1244" s="31"/>
      <c r="S1244" s="32">
        <f t="shared" si="373"/>
        <v>0</v>
      </c>
      <c r="T1244" s="10"/>
      <c r="U1244" s="10"/>
      <c r="V1244" s="10"/>
      <c r="W1244" s="12">
        <f t="shared" si="374"/>
        <v>0</v>
      </c>
      <c r="Y1244" s="10">
        <v>23</v>
      </c>
      <c r="Z1244" s="30"/>
      <c r="AA1244" s="31"/>
      <c r="AB1244" s="47"/>
      <c r="AC1244" s="31"/>
      <c r="AE1244" s="32">
        <f t="shared" si="370"/>
        <v>0</v>
      </c>
      <c r="AF1244" s="10"/>
      <c r="AG1244" s="10"/>
      <c r="AH1244" s="10"/>
      <c r="AI1244" s="12">
        <f t="shared" si="371"/>
        <v>0</v>
      </c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10">
        <v>24</v>
      </c>
      <c r="B1245" s="30" t="s">
        <v>106</v>
      </c>
      <c r="C1245" s="31">
        <f t="shared" si="372"/>
        <v>5630</v>
      </c>
      <c r="D1245" s="32">
        <f>18780+229</f>
        <v>19009</v>
      </c>
      <c r="E1245" s="32"/>
      <c r="F1245" s="32"/>
      <c r="G1245" s="32">
        <f t="shared" si="364"/>
        <v>19009</v>
      </c>
      <c r="H1245" s="10"/>
      <c r="I1245" s="10"/>
      <c r="J1245" s="10"/>
      <c r="K1245" s="12">
        <f t="shared" si="365"/>
        <v>19009</v>
      </c>
      <c r="M1245" s="10">
        <v>24</v>
      </c>
      <c r="N1245" s="30"/>
      <c r="O1245" s="31"/>
      <c r="P1245" s="47"/>
      <c r="Q1245" s="31"/>
      <c r="R1245" s="31"/>
      <c r="S1245" s="32">
        <f t="shared" si="373"/>
        <v>0</v>
      </c>
      <c r="T1245" s="10"/>
      <c r="U1245" s="10"/>
      <c r="V1245" s="10"/>
      <c r="W1245" s="12">
        <f t="shared" si="374"/>
        <v>0</v>
      </c>
      <c r="Y1245" s="10">
        <v>24</v>
      </c>
      <c r="Z1245" s="30"/>
      <c r="AA1245" s="31"/>
      <c r="AB1245" s="47"/>
      <c r="AC1245" s="31"/>
      <c r="AD1245" s="31"/>
      <c r="AE1245" s="32">
        <f t="shared" si="370"/>
        <v>0</v>
      </c>
      <c r="AF1245" s="10"/>
      <c r="AG1245" s="10"/>
      <c r="AH1245" s="10"/>
      <c r="AI1245" s="12">
        <f t="shared" si="371"/>
        <v>0</v>
      </c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10">
        <v>25</v>
      </c>
      <c r="B1246" s="30" t="s">
        <v>106</v>
      </c>
      <c r="C1246" s="31">
        <f t="shared" si="372"/>
        <v>5631</v>
      </c>
      <c r="D1246" s="32">
        <f>12520</f>
        <v>12520</v>
      </c>
      <c r="E1246" s="32"/>
      <c r="F1246" s="32"/>
      <c r="G1246" s="32">
        <f t="shared" si="364"/>
        <v>12520</v>
      </c>
      <c r="H1246" s="10"/>
      <c r="I1246" s="10"/>
      <c r="J1246" s="10"/>
      <c r="K1246" s="12">
        <f t="shared" si="365"/>
        <v>12520</v>
      </c>
      <c r="M1246" s="10">
        <v>25</v>
      </c>
      <c r="N1246" s="30"/>
      <c r="O1246" s="31"/>
      <c r="P1246" s="47"/>
      <c r="Q1246" s="31"/>
      <c r="R1246" s="31"/>
      <c r="S1246" s="32">
        <f t="shared" si="373"/>
        <v>0</v>
      </c>
      <c r="T1246" s="10"/>
      <c r="U1246" s="10"/>
      <c r="V1246" s="10"/>
      <c r="W1246" s="12">
        <f t="shared" si="374"/>
        <v>0</v>
      </c>
      <c r="Y1246" s="10">
        <v>25</v>
      </c>
      <c r="Z1246" s="30"/>
      <c r="AA1246" s="31"/>
      <c r="AB1246" s="47"/>
      <c r="AC1246" s="31"/>
      <c r="AD1246" s="31"/>
      <c r="AE1246" s="32">
        <f t="shared" si="370"/>
        <v>0</v>
      </c>
      <c r="AF1246" s="10"/>
      <c r="AG1246" s="10"/>
      <c r="AH1246" s="10"/>
      <c r="AI1246" s="12">
        <f t="shared" si="371"/>
        <v>0</v>
      </c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10">
        <v>26</v>
      </c>
      <c r="B1247" s="30" t="s">
        <v>106</v>
      </c>
      <c r="C1247" s="31">
        <f t="shared" si="372"/>
        <v>5632</v>
      </c>
      <c r="D1247" s="32">
        <f>56340+458+650</f>
        <v>57448</v>
      </c>
      <c r="E1247" s="32"/>
      <c r="F1247" s="32"/>
      <c r="G1247" s="32">
        <f t="shared" si="364"/>
        <v>57448</v>
      </c>
      <c r="H1247" s="10"/>
      <c r="I1247" s="10">
        <v>117</v>
      </c>
      <c r="J1247" s="10"/>
      <c r="K1247" s="12">
        <f t="shared" si="365"/>
        <v>57565</v>
      </c>
      <c r="M1247" s="10">
        <v>26</v>
      </c>
      <c r="N1247" s="30"/>
      <c r="O1247" s="31"/>
      <c r="P1247" s="47"/>
      <c r="Q1247" s="31"/>
      <c r="R1247" s="31"/>
      <c r="S1247" s="32">
        <f t="shared" si="373"/>
        <v>0</v>
      </c>
      <c r="T1247" s="10"/>
      <c r="U1247" s="10"/>
      <c r="V1247" s="10"/>
      <c r="W1247" s="12">
        <f t="shared" si="374"/>
        <v>0</v>
      </c>
      <c r="Y1247" s="10">
        <v>26</v>
      </c>
      <c r="Z1247" s="30"/>
      <c r="AA1247" s="31"/>
      <c r="AB1247" s="47"/>
      <c r="AC1247" s="31"/>
      <c r="AD1247" s="31"/>
      <c r="AE1247" s="32">
        <f t="shared" si="370"/>
        <v>0</v>
      </c>
      <c r="AF1247" s="10"/>
      <c r="AG1247" s="10"/>
      <c r="AH1247" s="10"/>
      <c r="AI1247" s="12">
        <f t="shared" si="371"/>
        <v>0</v>
      </c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10">
        <v>27</v>
      </c>
      <c r="B1248" s="30" t="s">
        <v>106</v>
      </c>
      <c r="C1248" s="31">
        <f t="shared" si="372"/>
        <v>5633</v>
      </c>
      <c r="D1248" s="32">
        <f>1878</f>
        <v>1878</v>
      </c>
      <c r="E1248" s="32"/>
      <c r="F1248" s="32"/>
      <c r="G1248" s="32">
        <f t="shared" si="364"/>
        <v>1878</v>
      </c>
      <c r="H1248" s="10"/>
      <c r="I1248" s="10"/>
      <c r="J1248" s="10"/>
      <c r="K1248" s="12">
        <f t="shared" si="365"/>
        <v>1878</v>
      </c>
      <c r="M1248" s="10">
        <v>27</v>
      </c>
      <c r="N1248" s="30"/>
      <c r="O1248" s="31"/>
      <c r="P1248" s="47"/>
      <c r="Q1248" s="31"/>
      <c r="R1248" s="31"/>
      <c r="S1248" s="32">
        <f t="shared" si="373"/>
        <v>0</v>
      </c>
      <c r="T1248" s="10"/>
      <c r="U1248" s="10"/>
      <c r="V1248" s="10"/>
      <c r="W1248" s="12">
        <f t="shared" si="374"/>
        <v>0</v>
      </c>
      <c r="Y1248" s="10">
        <v>27</v>
      </c>
      <c r="Z1248" s="30"/>
      <c r="AA1248" s="31"/>
      <c r="AB1248" s="47"/>
      <c r="AC1248" s="31"/>
      <c r="AD1248" s="31"/>
      <c r="AE1248" s="32">
        <f t="shared" si="370"/>
        <v>0</v>
      </c>
      <c r="AF1248" s="10"/>
      <c r="AG1248" s="10"/>
      <c r="AH1248" s="10"/>
      <c r="AI1248" s="12">
        <f t="shared" si="371"/>
        <v>0</v>
      </c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10">
        <v>28</v>
      </c>
      <c r="B1249" s="30" t="s">
        <v>106</v>
      </c>
      <c r="C1249" s="31">
        <f t="shared" si="372"/>
        <v>5634</v>
      </c>
      <c r="D1249" s="32">
        <f>156500+2290</f>
        <v>158790</v>
      </c>
      <c r="E1249" s="32"/>
      <c r="F1249" s="32"/>
      <c r="G1249" s="32">
        <f t="shared" si="364"/>
        <v>158790</v>
      </c>
      <c r="H1249" s="10"/>
      <c r="I1249" s="10">
        <f>27750+780</f>
        <v>28530</v>
      </c>
      <c r="J1249" s="10"/>
      <c r="K1249" s="12">
        <f t="shared" si="365"/>
        <v>187320</v>
      </c>
      <c r="M1249" s="10">
        <v>28</v>
      </c>
      <c r="N1249" s="30"/>
      <c r="O1249" s="31"/>
      <c r="P1249" s="47"/>
      <c r="Q1249" s="31"/>
      <c r="R1249" s="31"/>
      <c r="S1249" s="32">
        <f t="shared" si="373"/>
        <v>0</v>
      </c>
      <c r="T1249" s="10"/>
      <c r="U1249" s="10"/>
      <c r="V1249" s="10"/>
      <c r="W1249" s="12">
        <f t="shared" si="374"/>
        <v>0</v>
      </c>
      <c r="Y1249" s="10">
        <v>28</v>
      </c>
      <c r="Z1249" s="30"/>
      <c r="AA1249" s="31"/>
      <c r="AB1249" s="47"/>
      <c r="AC1249" s="31"/>
      <c r="AD1249" s="31"/>
      <c r="AE1249" s="32">
        <f t="shared" si="370"/>
        <v>0</v>
      </c>
      <c r="AF1249" s="10"/>
      <c r="AG1249" s="10"/>
      <c r="AH1249" s="10"/>
      <c r="AI1249" s="12">
        <f t="shared" si="371"/>
        <v>0</v>
      </c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10">
        <v>29</v>
      </c>
      <c r="B1250" s="30" t="s">
        <v>106</v>
      </c>
      <c r="C1250" s="31">
        <f t="shared" si="372"/>
        <v>5635</v>
      </c>
      <c r="D1250" s="32">
        <f>18260</f>
        <v>18260</v>
      </c>
      <c r="E1250" s="32"/>
      <c r="F1250" s="32"/>
      <c r="G1250" s="32">
        <f t="shared" si="364"/>
        <v>18260</v>
      </c>
      <c r="H1250" s="10"/>
      <c r="I1250" s="10"/>
      <c r="J1250" s="10"/>
      <c r="K1250" s="12">
        <f t="shared" si="365"/>
        <v>18260</v>
      </c>
      <c r="M1250" s="10">
        <v>29</v>
      </c>
      <c r="N1250" s="30"/>
      <c r="O1250" s="31"/>
      <c r="P1250" s="47"/>
      <c r="Q1250" s="31"/>
      <c r="R1250" s="31"/>
      <c r="S1250" s="32">
        <f t="shared" si="373"/>
        <v>0</v>
      </c>
      <c r="T1250" s="10"/>
      <c r="U1250" s="10"/>
      <c r="V1250" s="10"/>
      <c r="W1250" s="12">
        <f t="shared" si="374"/>
        <v>0</v>
      </c>
      <c r="Y1250" s="10">
        <v>29</v>
      </c>
      <c r="Z1250" s="30"/>
      <c r="AA1250" s="31"/>
      <c r="AB1250" s="47"/>
      <c r="AC1250" s="31"/>
      <c r="AD1250" s="31"/>
      <c r="AE1250" s="32">
        <f t="shared" si="370"/>
        <v>0</v>
      </c>
      <c r="AF1250" s="10"/>
      <c r="AG1250" s="10"/>
      <c r="AH1250" s="10"/>
      <c r="AI1250" s="12">
        <f t="shared" si="371"/>
        <v>0</v>
      </c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10">
        <v>30</v>
      </c>
      <c r="B1251" s="30" t="s">
        <v>106</v>
      </c>
      <c r="C1251" s="31">
        <f t="shared" si="372"/>
        <v>5636</v>
      </c>
      <c r="D1251" s="32">
        <f>61348</f>
        <v>61348</v>
      </c>
      <c r="E1251" s="32"/>
      <c r="F1251" s="32"/>
      <c r="G1251" s="32">
        <f t="shared" si="364"/>
        <v>61348</v>
      </c>
      <c r="H1251" s="10"/>
      <c r="I1251" s="10">
        <v>10878</v>
      </c>
      <c r="J1251" s="10"/>
      <c r="K1251" s="12">
        <f t="shared" si="365"/>
        <v>72226</v>
      </c>
      <c r="M1251" s="10">
        <v>30</v>
      </c>
      <c r="N1251" s="30"/>
      <c r="O1251" s="31"/>
      <c r="P1251" s="47"/>
      <c r="Q1251" s="31"/>
      <c r="R1251" s="31"/>
      <c r="S1251" s="32">
        <f t="shared" si="373"/>
        <v>0</v>
      </c>
      <c r="T1251" s="10"/>
      <c r="U1251" s="10"/>
      <c r="V1251" s="10"/>
      <c r="W1251" s="12">
        <f t="shared" si="374"/>
        <v>0</v>
      </c>
      <c r="Y1251" s="10">
        <v>30</v>
      </c>
      <c r="Z1251" s="30"/>
      <c r="AA1251" s="31"/>
      <c r="AB1251" s="47"/>
      <c r="AC1251" s="31"/>
      <c r="AD1251" s="31"/>
      <c r="AE1251" s="32">
        <f t="shared" si="370"/>
        <v>0</v>
      </c>
      <c r="AF1251" s="10"/>
      <c r="AG1251" s="10"/>
      <c r="AH1251" s="10"/>
      <c r="AI1251" s="12">
        <f t="shared" si="371"/>
        <v>0</v>
      </c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10">
        <v>31</v>
      </c>
      <c r="B1252" s="30"/>
      <c r="C1252" s="11" t="s">
        <v>28</v>
      </c>
      <c r="D1252" s="32"/>
      <c r="E1252" s="32"/>
      <c r="F1252" s="32"/>
      <c r="G1252" s="32"/>
      <c r="H1252" s="10"/>
      <c r="I1252" s="10"/>
      <c r="J1252" s="10"/>
      <c r="K1252" s="12">
        <f t="shared" si="365"/>
        <v>0</v>
      </c>
      <c r="M1252" s="10">
        <v>31</v>
      </c>
      <c r="N1252" s="30"/>
      <c r="P1252" s="47"/>
      <c r="Q1252" s="31"/>
      <c r="R1252" s="31"/>
      <c r="S1252" s="32">
        <f t="shared" si="373"/>
        <v>0</v>
      </c>
      <c r="T1252" s="10"/>
      <c r="U1252" s="10"/>
      <c r="V1252" s="10"/>
      <c r="W1252" s="12">
        <f t="shared" si="374"/>
        <v>0</v>
      </c>
      <c r="Y1252" s="10">
        <v>31</v>
      </c>
      <c r="Z1252" s="30"/>
      <c r="AB1252" s="47"/>
      <c r="AC1252" s="31"/>
      <c r="AD1252" s="31"/>
      <c r="AE1252" s="32">
        <f t="shared" si="370"/>
        <v>0</v>
      </c>
      <c r="AF1252" s="10"/>
      <c r="AG1252" s="10"/>
      <c r="AH1252" s="10"/>
      <c r="AI1252" s="12">
        <f t="shared" si="371"/>
        <v>0</v>
      </c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10">
        <v>32</v>
      </c>
      <c r="B1253" s="30"/>
      <c r="C1253" s="31"/>
      <c r="D1253" s="32"/>
      <c r="E1253" s="32"/>
      <c r="F1253" s="32"/>
      <c r="G1253" s="32"/>
      <c r="H1253" s="10"/>
      <c r="I1253" s="10"/>
      <c r="J1253" s="10"/>
      <c r="K1253" s="12">
        <f t="shared" si="365"/>
        <v>0</v>
      </c>
      <c r="M1253" s="10">
        <v>32</v>
      </c>
      <c r="N1253" s="30"/>
      <c r="O1253" s="31"/>
      <c r="P1253" s="47"/>
      <c r="Q1253" s="31"/>
      <c r="R1253" s="31"/>
      <c r="S1253" s="32">
        <f t="shared" si="373"/>
        <v>0</v>
      </c>
      <c r="T1253" s="10"/>
      <c r="U1253" s="10"/>
      <c r="V1253" s="10"/>
      <c r="W1253" s="12">
        <f t="shared" si="374"/>
        <v>0</v>
      </c>
      <c r="Y1253" s="10">
        <v>32</v>
      </c>
      <c r="Z1253" s="30"/>
      <c r="AA1253" s="31"/>
      <c r="AB1253" s="47"/>
      <c r="AC1253" s="31"/>
      <c r="AD1253" s="31"/>
      <c r="AE1253" s="32">
        <f t="shared" si="370"/>
        <v>0</v>
      </c>
      <c r="AF1253" s="10"/>
      <c r="AG1253" s="10"/>
      <c r="AH1253" s="10"/>
      <c r="AI1253" s="12">
        <f t="shared" si="371"/>
        <v>0</v>
      </c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10">
        <v>33</v>
      </c>
      <c r="B1254" s="30"/>
      <c r="C1254" s="31"/>
      <c r="D1254" s="32"/>
      <c r="E1254" s="32"/>
      <c r="F1254" s="32"/>
      <c r="G1254" s="32"/>
      <c r="H1254" s="10"/>
      <c r="I1254" s="10"/>
      <c r="J1254" s="10"/>
      <c r="K1254" s="12">
        <f t="shared" si="365"/>
        <v>0</v>
      </c>
      <c r="M1254" s="10">
        <v>33</v>
      </c>
      <c r="N1254" s="30"/>
      <c r="O1254" s="31"/>
      <c r="P1254" s="47"/>
      <c r="Q1254" s="31"/>
      <c r="R1254" s="31"/>
      <c r="S1254" s="32">
        <f t="shared" si="373"/>
        <v>0</v>
      </c>
      <c r="T1254" s="10"/>
      <c r="U1254" s="10"/>
      <c r="V1254" s="10"/>
      <c r="W1254" s="12">
        <f t="shared" si="374"/>
        <v>0</v>
      </c>
      <c r="Y1254" s="10">
        <v>33</v>
      </c>
      <c r="Z1254" s="30"/>
      <c r="AA1254" s="31"/>
      <c r="AB1254" s="47"/>
      <c r="AC1254" s="31"/>
      <c r="AD1254" s="31"/>
      <c r="AE1254" s="32">
        <f t="shared" si="370"/>
        <v>0</v>
      </c>
      <c r="AF1254" s="10"/>
      <c r="AG1254" s="10"/>
      <c r="AH1254" s="10"/>
      <c r="AI1254" s="12">
        <f t="shared" si="371"/>
        <v>0</v>
      </c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10"/>
      <c r="B1255" s="30"/>
      <c r="C1255" s="57"/>
      <c r="D1255" s="32"/>
      <c r="E1255" s="32"/>
      <c r="F1255" s="32"/>
      <c r="G1255" s="32">
        <f t="shared" ref="G1255" si="375">SUM(D1255:E1255)</f>
        <v>0</v>
      </c>
      <c r="H1255" s="10"/>
      <c r="I1255" s="10"/>
      <c r="J1255" s="10"/>
      <c r="K1255" s="12">
        <f t="shared" si="365"/>
        <v>0</v>
      </c>
      <c r="M1255" s="10">
        <v>34</v>
      </c>
      <c r="N1255" s="30"/>
      <c r="O1255" s="31"/>
      <c r="P1255" s="47"/>
      <c r="Q1255" s="31"/>
      <c r="R1255" s="31"/>
      <c r="S1255" s="32">
        <f t="shared" si="373"/>
        <v>0</v>
      </c>
      <c r="T1255" s="10"/>
      <c r="U1255" s="10"/>
      <c r="V1255" s="10"/>
      <c r="W1255" s="12">
        <f t="shared" si="374"/>
        <v>0</v>
      </c>
      <c r="Y1255" s="10">
        <v>34</v>
      </c>
      <c r="Z1255" s="30"/>
      <c r="AB1255" s="47"/>
      <c r="AC1255" s="31"/>
      <c r="AD1255" s="31"/>
      <c r="AE1255" s="32">
        <f t="shared" si="370"/>
        <v>0</v>
      </c>
      <c r="AF1255" s="10"/>
      <c r="AG1255" s="10"/>
      <c r="AH1255" s="10"/>
      <c r="AI1255" s="12">
        <f t="shared" si="371"/>
        <v>0</v>
      </c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10"/>
      <c r="B1256" s="30"/>
      <c r="C1256" s="31"/>
      <c r="D1256" s="32"/>
      <c r="E1256" s="32"/>
      <c r="F1256" s="32"/>
      <c r="G1256" s="32"/>
      <c r="H1256" s="10"/>
      <c r="I1256" s="10"/>
      <c r="J1256" s="10"/>
      <c r="K1256" s="12"/>
      <c r="M1256" s="10">
        <v>35</v>
      </c>
      <c r="N1256" s="30"/>
      <c r="O1256" s="31"/>
      <c r="P1256" s="47"/>
      <c r="Q1256" s="31"/>
      <c r="R1256" s="31"/>
      <c r="S1256" s="32">
        <f t="shared" si="373"/>
        <v>0</v>
      </c>
      <c r="T1256" s="10"/>
      <c r="U1256" s="10"/>
      <c r="V1256" s="10"/>
      <c r="W1256" s="12">
        <f t="shared" si="374"/>
        <v>0</v>
      </c>
      <c r="Y1256" s="10">
        <v>35</v>
      </c>
      <c r="Z1256" s="30"/>
      <c r="AA1256" s="31"/>
      <c r="AB1256" s="47"/>
      <c r="AC1256" s="31"/>
      <c r="AD1256" s="31"/>
      <c r="AE1256" s="32">
        <f t="shared" si="370"/>
        <v>0</v>
      </c>
      <c r="AF1256" s="10"/>
      <c r="AG1256" s="10"/>
      <c r="AH1256" s="10"/>
      <c r="AI1256" s="12">
        <f t="shared" si="371"/>
        <v>0</v>
      </c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10"/>
      <c r="B1257" s="30"/>
      <c r="C1257" s="31"/>
      <c r="D1257" s="32"/>
      <c r="E1257" s="32"/>
      <c r="F1257" s="32"/>
      <c r="G1257" s="32"/>
      <c r="H1257" s="10"/>
      <c r="I1257" s="10"/>
      <c r="J1257" s="10"/>
      <c r="K1257" s="12"/>
      <c r="M1257" s="10">
        <v>36</v>
      </c>
      <c r="N1257" s="30"/>
      <c r="O1257" s="31"/>
      <c r="P1257" s="47"/>
      <c r="Q1257" s="31"/>
      <c r="R1257" s="31"/>
      <c r="S1257" s="32">
        <f t="shared" si="373"/>
        <v>0</v>
      </c>
      <c r="T1257" s="10"/>
      <c r="U1257" s="10"/>
      <c r="V1257" s="10"/>
      <c r="W1257" s="12">
        <f t="shared" si="374"/>
        <v>0</v>
      </c>
      <c r="Y1257" s="10">
        <v>36</v>
      </c>
      <c r="Z1257" s="30"/>
      <c r="AA1257" s="31"/>
      <c r="AB1257" s="47"/>
      <c r="AC1257" s="31"/>
      <c r="AD1257" s="31"/>
      <c r="AE1257" s="32">
        <f t="shared" si="370"/>
        <v>0</v>
      </c>
      <c r="AF1257" s="10"/>
      <c r="AG1257" s="10"/>
      <c r="AH1257" s="10"/>
      <c r="AI1257" s="12">
        <f t="shared" si="371"/>
        <v>0</v>
      </c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10"/>
      <c r="B1258" s="30"/>
      <c r="C1258" s="31"/>
      <c r="D1258" s="32"/>
      <c r="E1258" s="32"/>
      <c r="F1258" s="32"/>
      <c r="G1258" s="32"/>
      <c r="H1258" s="10"/>
      <c r="I1258" s="10"/>
      <c r="J1258" s="10"/>
      <c r="K1258" s="12"/>
      <c r="M1258" s="10">
        <v>37</v>
      </c>
      <c r="N1258" s="30"/>
      <c r="P1258" s="47"/>
      <c r="Q1258" s="31"/>
      <c r="R1258" s="31"/>
      <c r="S1258" s="32">
        <f t="shared" si="373"/>
        <v>0</v>
      </c>
      <c r="T1258" s="10"/>
      <c r="U1258" s="10"/>
      <c r="V1258" s="10"/>
      <c r="W1258" s="12">
        <f t="shared" si="374"/>
        <v>0</v>
      </c>
      <c r="Y1258" s="10">
        <v>37</v>
      </c>
      <c r="Z1258" s="30"/>
      <c r="AA1258" s="31"/>
      <c r="AB1258" s="47"/>
      <c r="AC1258" s="31"/>
      <c r="AD1258" s="31"/>
      <c r="AE1258" s="32">
        <f t="shared" si="370"/>
        <v>0</v>
      </c>
      <c r="AF1258" s="10"/>
      <c r="AG1258" s="10"/>
      <c r="AH1258" s="10"/>
      <c r="AI1258" s="12">
        <f t="shared" si="371"/>
        <v>0</v>
      </c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10"/>
      <c r="B1259" s="30"/>
      <c r="C1259" s="31"/>
      <c r="D1259" s="32"/>
      <c r="E1259" s="32"/>
      <c r="F1259" s="32"/>
      <c r="G1259" s="32"/>
      <c r="H1259" s="10"/>
      <c r="I1259" s="10"/>
      <c r="J1259" s="10"/>
      <c r="K1259" s="12"/>
      <c r="M1259" s="10">
        <v>38</v>
      </c>
      <c r="N1259" s="30"/>
      <c r="O1259" s="31"/>
      <c r="P1259" s="47"/>
      <c r="Q1259" s="31"/>
      <c r="R1259" s="31"/>
      <c r="S1259" s="32">
        <f t="shared" si="373"/>
        <v>0</v>
      </c>
      <c r="T1259" s="10"/>
      <c r="U1259" s="10"/>
      <c r="V1259" s="10"/>
      <c r="W1259" s="12">
        <f t="shared" si="374"/>
        <v>0</v>
      </c>
      <c r="Y1259" s="10">
        <v>38</v>
      </c>
      <c r="Z1259" s="30"/>
      <c r="AA1259" s="31"/>
      <c r="AB1259" s="47"/>
      <c r="AC1259" s="31"/>
      <c r="AD1259" s="31"/>
      <c r="AE1259" s="32">
        <f t="shared" si="370"/>
        <v>0</v>
      </c>
      <c r="AF1259" s="10"/>
      <c r="AG1259" s="10"/>
      <c r="AH1259" s="10"/>
      <c r="AI1259" s="12">
        <f t="shared" si="371"/>
        <v>0</v>
      </c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10"/>
      <c r="B1260" s="30"/>
      <c r="C1260" s="57"/>
      <c r="D1260" s="32"/>
      <c r="E1260" s="32"/>
      <c r="F1260" s="32"/>
      <c r="G1260" s="32"/>
      <c r="H1260" s="10"/>
      <c r="I1260" s="10"/>
      <c r="J1260" s="10"/>
      <c r="K1260" s="12"/>
      <c r="M1260" s="10">
        <v>39</v>
      </c>
      <c r="N1260" s="30"/>
      <c r="O1260" s="31"/>
      <c r="P1260" s="47"/>
      <c r="Q1260" s="31"/>
      <c r="R1260" s="31"/>
      <c r="S1260" s="32">
        <f t="shared" si="373"/>
        <v>0</v>
      </c>
      <c r="T1260" s="10"/>
      <c r="U1260" s="10"/>
      <c r="V1260" s="10"/>
      <c r="W1260" s="12">
        <f t="shared" si="374"/>
        <v>0</v>
      </c>
      <c r="Y1260" s="10">
        <v>39</v>
      </c>
      <c r="Z1260" s="30"/>
      <c r="AA1260" s="31"/>
      <c r="AB1260" s="47"/>
      <c r="AC1260" s="31"/>
      <c r="AD1260" s="31"/>
      <c r="AE1260" s="32">
        <f t="shared" si="370"/>
        <v>0</v>
      </c>
      <c r="AF1260" s="10"/>
      <c r="AG1260" s="10"/>
      <c r="AH1260" s="10"/>
      <c r="AI1260" s="12">
        <f t="shared" si="371"/>
        <v>0</v>
      </c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10"/>
      <c r="B1261" s="30"/>
      <c r="C1261" s="31"/>
      <c r="D1261" s="32"/>
      <c r="E1261" s="32"/>
      <c r="F1261" s="32"/>
      <c r="G1261" s="32"/>
      <c r="H1261" s="10"/>
      <c r="I1261" s="10"/>
      <c r="J1261" s="10"/>
      <c r="K1261" s="12"/>
      <c r="M1261" s="10"/>
      <c r="N1261" s="30"/>
      <c r="P1261" s="47"/>
      <c r="Q1261" s="31"/>
      <c r="R1261" s="31"/>
      <c r="S1261" s="32"/>
      <c r="T1261" s="10"/>
      <c r="U1261" s="10"/>
      <c r="V1261" s="10"/>
      <c r="W1261" s="12">
        <f t="shared" si="374"/>
        <v>0</v>
      </c>
      <c r="Y1261" s="10"/>
      <c r="Z1261" s="30"/>
      <c r="AB1261" s="47"/>
      <c r="AC1261" s="31"/>
      <c r="AD1261" s="31"/>
      <c r="AE1261" s="32"/>
      <c r="AF1261" s="10"/>
      <c r="AG1261" s="10"/>
      <c r="AH1261" s="10"/>
      <c r="AI1261" s="12">
        <f t="shared" si="371"/>
        <v>0</v>
      </c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10"/>
      <c r="B1262" s="30"/>
      <c r="C1262" s="31"/>
      <c r="D1262" s="32"/>
      <c r="E1262" s="32"/>
      <c r="F1262" s="32"/>
      <c r="G1262" s="32">
        <f t="shared" ref="G1262" si="376">SUM(D1262:E1262)</f>
        <v>0</v>
      </c>
      <c r="H1262" s="10"/>
      <c r="I1262" s="10"/>
      <c r="J1262" s="10"/>
      <c r="K1262" s="12">
        <f t="shared" ref="K1262" si="377">SUM(G1262:J1262)</f>
        <v>0</v>
      </c>
      <c r="M1262" s="10"/>
      <c r="N1262" s="30"/>
      <c r="O1262" s="31"/>
      <c r="P1262" s="47"/>
      <c r="Q1262" s="31"/>
      <c r="R1262" s="31"/>
      <c r="S1262" s="32">
        <f t="shared" ref="S1262" si="378">SUM(P1262:Q1262)</f>
        <v>0</v>
      </c>
      <c r="T1262" s="10"/>
      <c r="U1262" s="10"/>
      <c r="V1262" s="10"/>
      <c r="W1262" s="12">
        <f t="shared" si="374"/>
        <v>0</v>
      </c>
      <c r="Y1262" s="10"/>
      <c r="Z1262" s="30"/>
      <c r="AA1262" s="31"/>
      <c r="AB1262" s="47"/>
      <c r="AC1262" s="31"/>
      <c r="AD1262" s="31"/>
      <c r="AE1262" s="32">
        <f t="shared" ref="AE1262" si="379">SUM(AB1262:AC1262)</f>
        <v>0</v>
      </c>
      <c r="AF1262" s="10"/>
      <c r="AG1262" s="10"/>
      <c r="AH1262" s="10"/>
      <c r="AI1262" s="12">
        <f t="shared" si="371"/>
        <v>0</v>
      </c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10"/>
      <c r="B1263" s="30"/>
      <c r="C1263" s="30"/>
      <c r="D1263" s="32"/>
      <c r="E1263" s="32"/>
      <c r="F1263" s="32"/>
      <c r="G1263" s="32"/>
      <c r="H1263" s="10"/>
      <c r="I1263" s="10"/>
      <c r="J1263" s="10"/>
      <c r="K1263" s="12"/>
      <c r="M1263" s="10"/>
      <c r="N1263" s="31"/>
      <c r="O1263" s="31"/>
      <c r="P1263" s="31"/>
      <c r="Q1263" s="31"/>
      <c r="R1263" s="31"/>
      <c r="S1263" s="31"/>
      <c r="T1263" s="10"/>
      <c r="U1263" s="10"/>
      <c r="V1263" s="10"/>
      <c r="W1263" s="12">
        <f t="shared" si="374"/>
        <v>0</v>
      </c>
      <c r="Y1263" s="10"/>
      <c r="Z1263" s="31"/>
      <c r="AA1263" s="31"/>
      <c r="AB1263" s="31"/>
      <c r="AC1263" s="31"/>
      <c r="AD1263" s="31"/>
      <c r="AE1263" s="31"/>
      <c r="AF1263" s="10"/>
      <c r="AG1263" s="10"/>
      <c r="AH1263" s="10"/>
      <c r="AI1263" s="12">
        <f t="shared" si="371"/>
        <v>0</v>
      </c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B1264" s="57"/>
      <c r="C1264" s="57"/>
      <c r="D1264" s="36"/>
      <c r="E1264" s="36"/>
      <c r="F1264" s="36"/>
      <c r="G1264" s="36"/>
      <c r="H1264" s="37"/>
      <c r="I1264" s="37"/>
      <c r="J1264" s="37"/>
      <c r="K1264" s="37"/>
      <c r="N1264" s="57"/>
      <c r="O1264" s="57"/>
      <c r="P1264" s="36"/>
      <c r="Q1264" s="36"/>
      <c r="R1264" s="36"/>
      <c r="S1264" s="36"/>
      <c r="T1264" s="37"/>
      <c r="U1264" s="37"/>
      <c r="V1264" s="37"/>
      <c r="W1264" s="37"/>
      <c r="Z1264" s="57"/>
      <c r="AA1264" s="57"/>
      <c r="AB1264" s="36"/>
      <c r="AC1264" s="36"/>
      <c r="AD1264" s="36"/>
      <c r="AE1264" s="36"/>
      <c r="AF1264" s="37"/>
      <c r="AG1264" s="37"/>
      <c r="AH1264" s="37"/>
      <c r="AI1264" s="37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B1265" s="57"/>
      <c r="C1265" s="57"/>
      <c r="D1265" s="38">
        <f>SUM(D1222:D1264)</f>
        <v>551821</v>
      </c>
      <c r="E1265" s="38">
        <f t="shared" ref="E1265:F1265" si="380">SUM(E1222:E1262)</f>
        <v>0</v>
      </c>
      <c r="F1265" s="38">
        <f t="shared" si="380"/>
        <v>0</v>
      </c>
      <c r="G1265" s="38">
        <f>SUM(G1222:G1264)</f>
        <v>551821</v>
      </c>
      <c r="H1265" s="4"/>
      <c r="I1265" s="39">
        <f>SUM(I1222:I1264)</f>
        <v>40662</v>
      </c>
      <c r="J1265" s="39">
        <f>SUM(J1222:J1264)</f>
        <v>0</v>
      </c>
      <c r="K1265" s="40">
        <f>SUM(K1222:K1264)</f>
        <v>592483</v>
      </c>
      <c r="N1265" s="57"/>
      <c r="O1265" s="57"/>
      <c r="P1265" s="38">
        <f>SUM(P1222:P1264)</f>
        <v>372411</v>
      </c>
      <c r="Q1265" s="38">
        <f>SUM(Q1222:Q1246)</f>
        <v>-2800</v>
      </c>
      <c r="R1265" s="38">
        <f>SUM(R1222:R1246)</f>
        <v>0</v>
      </c>
      <c r="S1265" s="38">
        <f>SUM(S1222:S1264)</f>
        <v>369611</v>
      </c>
      <c r="T1265" s="4"/>
      <c r="U1265" s="41">
        <f>SUM(U1222:U1264)</f>
        <v>29154</v>
      </c>
      <c r="V1265" s="41">
        <f>SUM(V1222:V1246)</f>
        <v>-2289</v>
      </c>
      <c r="W1265" s="42">
        <f>SUM(W1222:W1264)</f>
        <v>396476</v>
      </c>
      <c r="Z1265" s="57"/>
      <c r="AA1265" s="57"/>
      <c r="AB1265" s="38">
        <f>SUM(AB1222:AB1264)</f>
        <v>690132</v>
      </c>
      <c r="AC1265" s="38">
        <f>SUM(AC1222:AC1246)</f>
        <v>-2688</v>
      </c>
      <c r="AD1265" s="38">
        <f>SUM(AD1222:AD1246)</f>
        <v>0</v>
      </c>
      <c r="AE1265" s="38">
        <f>SUM(AE1222:AE1264)</f>
        <v>687444</v>
      </c>
      <c r="AF1265" s="4"/>
      <c r="AG1265" s="41">
        <f>SUM(AG1222:AG1264)</f>
        <v>50655</v>
      </c>
      <c r="AH1265" s="41">
        <f>SUM(AH1222:AH1246)</f>
        <v>0</v>
      </c>
      <c r="AI1265" s="42">
        <f>SUM(AI1222:AI1264)</f>
        <v>738099</v>
      </c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t="s">
        <v>0</v>
      </c>
      <c r="B1267" s="57"/>
      <c r="C1267" s="57"/>
      <c r="D1267" s="57"/>
      <c r="E1267" s="57"/>
      <c r="G1267" s="57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t="s">
        <v>29</v>
      </c>
      <c r="B1268" s="57"/>
      <c r="C1268" s="57"/>
      <c r="D1268" s="57"/>
      <c r="E1268" s="57"/>
      <c r="G1268" s="57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B1269" s="57"/>
      <c r="C1269" s="57"/>
      <c r="D1269" s="57"/>
      <c r="E1269" s="57"/>
      <c r="G1269" s="57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4" t="s">
        <v>15</v>
      </c>
      <c r="B1270" s="57"/>
      <c r="C1270" s="57"/>
      <c r="D1270" s="57"/>
      <c r="E1270" s="57"/>
      <c r="G1270" s="57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B1271" s="57"/>
      <c r="C1271" s="57"/>
      <c r="D1271" s="57"/>
      <c r="E1271" s="57"/>
      <c r="G1271" s="57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ht="15.75" x14ac:dyDescent="0.25">
      <c r="A1272" t="s">
        <v>30</v>
      </c>
      <c r="B1272" s="57"/>
      <c r="C1272" s="57"/>
      <c r="D1272" s="57"/>
      <c r="E1272" s="57"/>
      <c r="G1272" s="57"/>
      <c r="I1272" s="57" t="s">
        <v>16</v>
      </c>
      <c r="J1272" s="19">
        <v>1</v>
      </c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21" t="s">
        <v>107</v>
      </c>
      <c r="B1273" s="20"/>
      <c r="C1273" s="57"/>
      <c r="D1273" s="57"/>
      <c r="E1273" s="57"/>
      <c r="G1273" s="57"/>
      <c r="I1273" s="22" t="s">
        <v>17</v>
      </c>
      <c r="J1273" s="23" t="s">
        <v>33</v>
      </c>
      <c r="K1273" s="24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B1274" s="57"/>
      <c r="C1274" s="57"/>
      <c r="D1274" s="57"/>
      <c r="E1274" s="57"/>
      <c r="G1274" s="57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B1275" s="25"/>
      <c r="C1275" s="26"/>
      <c r="D1275" s="133" t="s">
        <v>18</v>
      </c>
      <c r="E1275" s="133"/>
      <c r="F1275" s="124"/>
      <c r="G1275" s="27"/>
      <c r="I1275" s="131" t="s">
        <v>19</v>
      </c>
      <c r="J1275" s="132"/>
      <c r="K1275" s="129" t="s">
        <v>20</v>
      </c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ht="30" x14ac:dyDescent="0.25">
      <c r="B1276" s="28" t="s">
        <v>21</v>
      </c>
      <c r="C1276" s="28" t="s">
        <v>22</v>
      </c>
      <c r="D1276" s="83" t="s">
        <v>23</v>
      </c>
      <c r="E1276" s="82" t="s">
        <v>24</v>
      </c>
      <c r="F1276" s="84" t="s">
        <v>36</v>
      </c>
      <c r="G1276" s="84" t="s">
        <v>25</v>
      </c>
      <c r="I1276" s="29" t="s">
        <v>26</v>
      </c>
      <c r="J1276" s="29" t="s">
        <v>27</v>
      </c>
      <c r="K1276" s="130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10">
        <v>1</v>
      </c>
      <c r="B1277" s="30" t="s">
        <v>108</v>
      </c>
      <c r="C1277" s="31">
        <v>5637</v>
      </c>
      <c r="D1277" s="32">
        <f>103916+11920+229</f>
        <v>116065</v>
      </c>
      <c r="E1277" s="32">
        <v>-1496</v>
      </c>
      <c r="F1277" s="32"/>
      <c r="G1277" s="32">
        <f t="shared" ref="G1277:G1306" si="381">SUM(D1277:E1277)</f>
        <v>114569</v>
      </c>
      <c r="H1277" s="12"/>
      <c r="I1277" s="12"/>
      <c r="J1277" s="12">
        <v>-168</v>
      </c>
      <c r="K1277" s="12">
        <f t="shared" ref="K1277:K1310" si="382">SUM(G1277:J1277)</f>
        <v>114401</v>
      </c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10">
        <v>2</v>
      </c>
      <c r="B1278" s="30" t="s">
        <v>108</v>
      </c>
      <c r="C1278" s="31">
        <f>C1277+1</f>
        <v>5638</v>
      </c>
      <c r="D1278" s="32">
        <f>3130+48</f>
        <v>3178</v>
      </c>
      <c r="E1278" s="32"/>
      <c r="F1278" s="32"/>
      <c r="G1278" s="32">
        <f t="shared" si="381"/>
        <v>3178</v>
      </c>
      <c r="H1278" s="12"/>
      <c r="I1278" s="12"/>
      <c r="J1278" s="12"/>
      <c r="K1278" s="12">
        <f t="shared" si="382"/>
        <v>3178</v>
      </c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10">
        <v>3</v>
      </c>
      <c r="B1279" s="30" t="s">
        <v>108</v>
      </c>
      <c r="C1279" s="31">
        <f t="shared" ref="C1279:C1282" si="383">C1278+1</f>
        <v>5639</v>
      </c>
      <c r="D1279" s="33">
        <f>6260+95</f>
        <v>6355</v>
      </c>
      <c r="E1279" s="33"/>
      <c r="F1279" s="33"/>
      <c r="G1279" s="33">
        <f t="shared" si="381"/>
        <v>6355</v>
      </c>
      <c r="H1279" s="34"/>
      <c r="I1279" s="34"/>
      <c r="J1279" s="34"/>
      <c r="K1279" s="34">
        <f t="shared" si="382"/>
        <v>6355</v>
      </c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10">
        <v>4</v>
      </c>
      <c r="B1280" s="30" t="s">
        <v>108</v>
      </c>
      <c r="C1280" s="31">
        <f t="shared" si="383"/>
        <v>5640</v>
      </c>
      <c r="D1280" s="32">
        <f>1878+500+500</f>
        <v>2878</v>
      </c>
      <c r="E1280" s="32"/>
      <c r="F1280" s="32"/>
      <c r="G1280" s="32">
        <f t="shared" si="381"/>
        <v>2878</v>
      </c>
      <c r="H1280" s="12"/>
      <c r="I1280" s="12"/>
      <c r="J1280" s="12"/>
      <c r="K1280" s="12">
        <f t="shared" si="382"/>
        <v>2878</v>
      </c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10">
        <v>5</v>
      </c>
      <c r="B1281" s="30" t="s">
        <v>108</v>
      </c>
      <c r="C1281" s="31">
        <f t="shared" si="383"/>
        <v>5641</v>
      </c>
      <c r="D1281" s="32">
        <f>6886+105</f>
        <v>6991</v>
      </c>
      <c r="E1281" s="32"/>
      <c r="F1281" s="32"/>
      <c r="G1281" s="32">
        <f t="shared" si="381"/>
        <v>6991</v>
      </c>
      <c r="H1281" s="12"/>
      <c r="I1281" s="12"/>
      <c r="J1281" s="12"/>
      <c r="K1281" s="12">
        <f t="shared" si="382"/>
        <v>6991</v>
      </c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10">
        <v>6</v>
      </c>
      <c r="B1282" s="30" t="s">
        <v>108</v>
      </c>
      <c r="C1282" s="31">
        <f t="shared" si="383"/>
        <v>5642</v>
      </c>
      <c r="D1282" s="32">
        <f>12520+1348</f>
        <v>13868</v>
      </c>
      <c r="E1282" s="32"/>
      <c r="F1282" s="32"/>
      <c r="G1282" s="32">
        <f t="shared" si="381"/>
        <v>13868</v>
      </c>
      <c r="H1282" s="12"/>
      <c r="I1282" s="12"/>
      <c r="J1282" s="12"/>
      <c r="K1282" s="12">
        <f t="shared" si="382"/>
        <v>13868</v>
      </c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10">
        <v>7</v>
      </c>
      <c r="B1283" s="30"/>
      <c r="C1283" s="11" t="s">
        <v>28</v>
      </c>
      <c r="D1283" s="32"/>
      <c r="E1283" s="32"/>
      <c r="F1283" s="32"/>
      <c r="G1283" s="32">
        <f t="shared" si="381"/>
        <v>0</v>
      </c>
      <c r="H1283" s="12"/>
      <c r="I1283" s="12"/>
      <c r="J1283" s="12"/>
      <c r="K1283" s="12">
        <f t="shared" si="382"/>
        <v>0</v>
      </c>
      <c r="M1283" s="62"/>
      <c r="N1283" s="66"/>
      <c r="O1283" s="76"/>
      <c r="P1283" s="135"/>
      <c r="Q1283" s="135"/>
      <c r="R1283" s="80"/>
      <c r="S1283" s="76"/>
      <c r="T1283" s="62"/>
      <c r="U1283" s="135"/>
      <c r="V1283" s="135"/>
      <c r="W1283" s="134"/>
      <c r="X1283" s="62"/>
      <c r="Y1283" s="62"/>
      <c r="Z1283" s="66"/>
      <c r="AA1283" s="76"/>
      <c r="AB1283" s="135"/>
      <c r="AC1283" s="135"/>
      <c r="AD1283" s="80"/>
      <c r="AE1283" s="76"/>
      <c r="AF1283" s="62"/>
      <c r="AG1283" s="135"/>
      <c r="AH1283" s="135"/>
      <c r="AI1283" s="134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10">
        <v>8</v>
      </c>
      <c r="B1284" s="30"/>
      <c r="C1284" s="31"/>
      <c r="D1284" s="32"/>
      <c r="E1284" s="32"/>
      <c r="F1284" s="32"/>
      <c r="G1284" s="32">
        <f t="shared" si="381"/>
        <v>0</v>
      </c>
      <c r="H1284" s="12"/>
      <c r="I1284" s="12"/>
      <c r="J1284" s="12"/>
      <c r="K1284" s="12">
        <f t="shared" si="382"/>
        <v>0</v>
      </c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34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34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10">
        <v>9</v>
      </c>
      <c r="B1285" s="30"/>
      <c r="C1285" s="31"/>
      <c r="D1285" s="32"/>
      <c r="E1285" s="32"/>
      <c r="F1285" s="32"/>
      <c r="G1285" s="32">
        <f t="shared" si="381"/>
        <v>0</v>
      </c>
      <c r="H1285" s="12"/>
      <c r="I1285" s="12"/>
      <c r="J1285" s="12"/>
      <c r="K1285" s="12">
        <f t="shared" si="382"/>
        <v>0</v>
      </c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10">
        <v>10</v>
      </c>
      <c r="B1286" s="30"/>
      <c r="C1286" s="31"/>
      <c r="D1286" s="32"/>
      <c r="E1286" s="32"/>
      <c r="F1286" s="32"/>
      <c r="G1286" s="32">
        <f t="shared" si="381"/>
        <v>0</v>
      </c>
      <c r="H1286" s="12"/>
      <c r="I1286" s="12"/>
      <c r="J1286" s="12"/>
      <c r="K1286" s="12">
        <f t="shared" si="382"/>
        <v>0</v>
      </c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10">
        <v>11</v>
      </c>
      <c r="B1287" s="30"/>
      <c r="C1287" s="31"/>
      <c r="D1287" s="32"/>
      <c r="E1287" s="32"/>
      <c r="F1287" s="32"/>
      <c r="G1287" s="32">
        <f t="shared" si="381"/>
        <v>0</v>
      </c>
      <c r="H1287" s="12"/>
      <c r="I1287" s="12"/>
      <c r="J1287" s="12"/>
      <c r="K1287" s="12">
        <f t="shared" si="382"/>
        <v>0</v>
      </c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10">
        <v>12</v>
      </c>
      <c r="B1288" s="30"/>
      <c r="C1288" s="31"/>
      <c r="D1288" s="32"/>
      <c r="E1288" s="32"/>
      <c r="F1288" s="32"/>
      <c r="G1288" s="32">
        <f t="shared" si="381"/>
        <v>0</v>
      </c>
      <c r="H1288" s="12"/>
      <c r="I1288" s="12"/>
      <c r="J1288" s="10"/>
      <c r="K1288" s="12">
        <f t="shared" si="382"/>
        <v>0</v>
      </c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10">
        <v>13</v>
      </c>
      <c r="B1289" s="30"/>
      <c r="C1289" s="31"/>
      <c r="D1289" s="32"/>
      <c r="E1289" s="32"/>
      <c r="F1289" s="32"/>
      <c r="G1289" s="32">
        <f t="shared" si="381"/>
        <v>0</v>
      </c>
      <c r="H1289" s="12"/>
      <c r="I1289" s="12"/>
      <c r="J1289" s="12"/>
      <c r="K1289" s="12">
        <f t="shared" si="382"/>
        <v>0</v>
      </c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10">
        <v>14</v>
      </c>
      <c r="B1290" s="30"/>
      <c r="C1290" s="31"/>
      <c r="D1290" s="32"/>
      <c r="E1290" s="32"/>
      <c r="F1290" s="32"/>
      <c r="G1290" s="32">
        <f t="shared" si="381"/>
        <v>0</v>
      </c>
      <c r="H1290" s="12"/>
      <c r="I1290" s="12"/>
      <c r="J1290" s="12"/>
      <c r="K1290" s="12">
        <f t="shared" si="382"/>
        <v>0</v>
      </c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10">
        <v>15</v>
      </c>
      <c r="B1291" s="30"/>
      <c r="C1291" s="31"/>
      <c r="D1291" s="32"/>
      <c r="E1291" s="32"/>
      <c r="F1291" s="32"/>
      <c r="G1291" s="32">
        <f t="shared" si="381"/>
        <v>0</v>
      </c>
      <c r="H1291" s="12"/>
      <c r="I1291" s="12"/>
      <c r="J1291" s="12"/>
      <c r="K1291" s="12">
        <f t="shared" si="382"/>
        <v>0</v>
      </c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10">
        <v>16</v>
      </c>
      <c r="B1292" s="30"/>
      <c r="C1292" s="31"/>
      <c r="D1292" s="32"/>
      <c r="E1292" s="32"/>
      <c r="F1292" s="32"/>
      <c r="G1292" s="32">
        <f t="shared" si="381"/>
        <v>0</v>
      </c>
      <c r="H1292" s="12"/>
      <c r="I1292" s="12"/>
      <c r="J1292" s="12"/>
      <c r="K1292" s="12">
        <f t="shared" si="382"/>
        <v>0</v>
      </c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10">
        <v>17</v>
      </c>
      <c r="B1293" s="30"/>
      <c r="C1293" s="31"/>
      <c r="D1293" s="32"/>
      <c r="E1293" s="32"/>
      <c r="F1293" s="32"/>
      <c r="G1293" s="32">
        <f t="shared" si="381"/>
        <v>0</v>
      </c>
      <c r="H1293" s="12"/>
      <c r="I1293" s="12"/>
      <c r="J1293" s="12"/>
      <c r="K1293" s="12">
        <f t="shared" si="382"/>
        <v>0</v>
      </c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10">
        <v>18</v>
      </c>
      <c r="B1294" s="30"/>
      <c r="C1294" s="31"/>
      <c r="D1294" s="32"/>
      <c r="E1294" s="32"/>
      <c r="F1294" s="32"/>
      <c r="G1294" s="32">
        <f t="shared" si="381"/>
        <v>0</v>
      </c>
      <c r="H1294" s="12"/>
      <c r="I1294" s="12"/>
      <c r="J1294" s="12"/>
      <c r="K1294" s="12">
        <f t="shared" si="382"/>
        <v>0</v>
      </c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10">
        <v>19</v>
      </c>
      <c r="B1295" s="30"/>
      <c r="C1295" s="31"/>
      <c r="D1295" s="32"/>
      <c r="E1295" s="32"/>
      <c r="F1295" s="32"/>
      <c r="G1295" s="32">
        <f t="shared" si="381"/>
        <v>0</v>
      </c>
      <c r="H1295" s="12"/>
      <c r="I1295" s="12"/>
      <c r="J1295" s="12"/>
      <c r="K1295" s="12">
        <f t="shared" si="382"/>
        <v>0</v>
      </c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10">
        <v>20</v>
      </c>
      <c r="B1296" s="30"/>
      <c r="C1296" s="31"/>
      <c r="D1296" s="32"/>
      <c r="E1296" s="32"/>
      <c r="F1296" s="32"/>
      <c r="G1296" s="32">
        <f t="shared" si="381"/>
        <v>0</v>
      </c>
      <c r="H1296" s="12"/>
      <c r="I1296" s="12"/>
      <c r="J1296" s="12"/>
      <c r="K1296" s="12">
        <f t="shared" si="382"/>
        <v>0</v>
      </c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10">
        <v>21</v>
      </c>
      <c r="B1297" s="30"/>
      <c r="C1297" s="31"/>
      <c r="D1297" s="32"/>
      <c r="E1297" s="32"/>
      <c r="F1297" s="32"/>
      <c r="G1297" s="32">
        <f t="shared" si="381"/>
        <v>0</v>
      </c>
      <c r="H1297" s="10"/>
      <c r="I1297" s="10"/>
      <c r="J1297" s="10"/>
      <c r="K1297" s="12">
        <f t="shared" si="382"/>
        <v>0</v>
      </c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10">
        <v>22</v>
      </c>
      <c r="B1298" s="30"/>
      <c r="C1298" s="31"/>
      <c r="D1298" s="32"/>
      <c r="E1298" s="32"/>
      <c r="F1298" s="32"/>
      <c r="G1298" s="32">
        <f t="shared" si="381"/>
        <v>0</v>
      </c>
      <c r="H1298" s="10"/>
      <c r="I1298" s="10"/>
      <c r="J1298" s="10"/>
      <c r="K1298" s="12">
        <f t="shared" si="382"/>
        <v>0</v>
      </c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10">
        <v>23</v>
      </c>
      <c r="B1299" s="30"/>
      <c r="C1299" s="31"/>
      <c r="D1299" s="32"/>
      <c r="E1299" s="32"/>
      <c r="F1299" s="32"/>
      <c r="G1299" s="32">
        <f t="shared" si="381"/>
        <v>0</v>
      </c>
      <c r="H1299" s="10"/>
      <c r="I1299" s="10"/>
      <c r="J1299" s="12"/>
      <c r="K1299" s="12">
        <f t="shared" si="382"/>
        <v>0</v>
      </c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10">
        <v>24</v>
      </c>
      <c r="B1300" s="30"/>
      <c r="C1300" s="31"/>
      <c r="D1300" s="32"/>
      <c r="E1300" s="32"/>
      <c r="F1300" s="32"/>
      <c r="G1300" s="32">
        <f t="shared" si="381"/>
        <v>0</v>
      </c>
      <c r="H1300" s="10"/>
      <c r="I1300" s="10"/>
      <c r="J1300" s="10"/>
      <c r="K1300" s="12">
        <f t="shared" si="382"/>
        <v>0</v>
      </c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10">
        <v>25</v>
      </c>
      <c r="B1301" s="30"/>
      <c r="C1301" s="31"/>
      <c r="D1301" s="32"/>
      <c r="E1301" s="32"/>
      <c r="F1301" s="32"/>
      <c r="G1301" s="32">
        <f t="shared" si="381"/>
        <v>0</v>
      </c>
      <c r="H1301" s="10"/>
      <c r="I1301" s="10"/>
      <c r="J1301" s="10"/>
      <c r="K1301" s="12">
        <f t="shared" si="382"/>
        <v>0</v>
      </c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10">
        <v>26</v>
      </c>
      <c r="B1302" s="30"/>
      <c r="C1302" s="31"/>
      <c r="D1302" s="32"/>
      <c r="E1302" s="32"/>
      <c r="F1302" s="32"/>
      <c r="G1302" s="32">
        <f t="shared" si="381"/>
        <v>0</v>
      </c>
      <c r="H1302" s="10"/>
      <c r="I1302" s="10"/>
      <c r="J1302" s="10"/>
      <c r="K1302" s="12">
        <f t="shared" si="382"/>
        <v>0</v>
      </c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10">
        <v>27</v>
      </c>
      <c r="B1303" s="30"/>
      <c r="C1303" s="31"/>
      <c r="D1303" s="32"/>
      <c r="E1303" s="32"/>
      <c r="F1303" s="32"/>
      <c r="G1303" s="32">
        <f t="shared" si="381"/>
        <v>0</v>
      </c>
      <c r="H1303" s="10"/>
      <c r="I1303" s="10"/>
      <c r="J1303" s="10"/>
      <c r="K1303" s="12">
        <f t="shared" si="382"/>
        <v>0</v>
      </c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10">
        <v>28</v>
      </c>
      <c r="B1304" s="30"/>
      <c r="C1304" s="31"/>
      <c r="D1304" s="32"/>
      <c r="E1304" s="32"/>
      <c r="F1304" s="32"/>
      <c r="G1304" s="32">
        <f t="shared" si="381"/>
        <v>0</v>
      </c>
      <c r="H1304" s="10"/>
      <c r="I1304" s="10"/>
      <c r="J1304" s="10"/>
      <c r="K1304" s="12">
        <f t="shared" si="382"/>
        <v>0</v>
      </c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10">
        <v>29</v>
      </c>
      <c r="B1305" s="30"/>
      <c r="C1305" s="31"/>
      <c r="D1305" s="32"/>
      <c r="E1305" s="32"/>
      <c r="F1305" s="32"/>
      <c r="G1305" s="32">
        <f t="shared" si="381"/>
        <v>0</v>
      </c>
      <c r="H1305" s="10"/>
      <c r="I1305" s="10"/>
      <c r="J1305" s="10"/>
      <c r="K1305" s="12">
        <f t="shared" si="382"/>
        <v>0</v>
      </c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10">
        <v>30</v>
      </c>
      <c r="B1306" s="30"/>
      <c r="C1306" s="31"/>
      <c r="D1306" s="32"/>
      <c r="E1306" s="32"/>
      <c r="F1306" s="32"/>
      <c r="G1306" s="32">
        <f t="shared" si="381"/>
        <v>0</v>
      </c>
      <c r="H1306" s="10"/>
      <c r="I1306" s="10"/>
      <c r="J1306" s="10"/>
      <c r="K1306" s="12">
        <f t="shared" si="382"/>
        <v>0</v>
      </c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10">
        <v>31</v>
      </c>
      <c r="B1307" s="30"/>
      <c r="D1307" s="32"/>
      <c r="E1307" s="32"/>
      <c r="F1307" s="32"/>
      <c r="G1307" s="32"/>
      <c r="H1307" s="10"/>
      <c r="I1307" s="10"/>
      <c r="J1307" s="10"/>
      <c r="K1307" s="12">
        <f t="shared" si="382"/>
        <v>0</v>
      </c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10">
        <v>32</v>
      </c>
      <c r="B1308" s="30"/>
      <c r="C1308" s="31"/>
      <c r="D1308" s="32"/>
      <c r="E1308" s="32"/>
      <c r="F1308" s="32"/>
      <c r="G1308" s="32"/>
      <c r="H1308" s="10"/>
      <c r="I1308" s="10"/>
      <c r="J1308" s="10"/>
      <c r="K1308" s="12">
        <f t="shared" si="382"/>
        <v>0</v>
      </c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10">
        <v>33</v>
      </c>
      <c r="B1309" s="30"/>
      <c r="C1309" s="31"/>
      <c r="D1309" s="32"/>
      <c r="E1309" s="32"/>
      <c r="F1309" s="32"/>
      <c r="G1309" s="32"/>
      <c r="H1309" s="10"/>
      <c r="I1309" s="10"/>
      <c r="J1309" s="10"/>
      <c r="K1309" s="12">
        <f t="shared" si="382"/>
        <v>0</v>
      </c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10"/>
      <c r="B1310" s="30"/>
      <c r="C1310" s="57"/>
      <c r="D1310" s="32"/>
      <c r="E1310" s="32"/>
      <c r="F1310" s="32"/>
      <c r="G1310" s="32">
        <f t="shared" ref="G1310" si="384">SUM(D1310:E1310)</f>
        <v>0</v>
      </c>
      <c r="H1310" s="10"/>
      <c r="I1310" s="10"/>
      <c r="J1310" s="10"/>
      <c r="K1310" s="12">
        <f t="shared" si="382"/>
        <v>0</v>
      </c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10"/>
      <c r="B1311" s="30"/>
      <c r="C1311" s="31"/>
      <c r="D1311" s="32"/>
      <c r="E1311" s="32"/>
      <c r="F1311" s="32"/>
      <c r="G1311" s="32"/>
      <c r="H1311" s="10"/>
      <c r="I1311" s="10"/>
      <c r="J1311" s="10"/>
      <c r="K1311" s="1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10"/>
      <c r="B1312" s="30"/>
      <c r="C1312" s="31"/>
      <c r="D1312" s="32"/>
      <c r="E1312" s="32"/>
      <c r="F1312" s="32"/>
      <c r="G1312" s="32"/>
      <c r="H1312" s="10"/>
      <c r="I1312" s="10"/>
      <c r="J1312" s="10"/>
      <c r="K1312" s="1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10"/>
      <c r="B1313" s="30"/>
      <c r="C1313" s="31"/>
      <c r="D1313" s="32"/>
      <c r="E1313" s="32"/>
      <c r="F1313" s="32"/>
      <c r="G1313" s="32"/>
      <c r="H1313" s="10"/>
      <c r="I1313" s="10"/>
      <c r="J1313" s="10"/>
      <c r="K1313" s="1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10"/>
      <c r="B1314" s="30"/>
      <c r="C1314" s="31"/>
      <c r="D1314" s="32"/>
      <c r="E1314" s="32"/>
      <c r="F1314" s="32"/>
      <c r="G1314" s="32"/>
      <c r="H1314" s="10"/>
      <c r="I1314" s="10"/>
      <c r="J1314" s="10"/>
      <c r="K1314" s="1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10"/>
      <c r="B1315" s="30"/>
      <c r="C1315" s="57"/>
      <c r="D1315" s="32"/>
      <c r="E1315" s="32"/>
      <c r="F1315" s="32"/>
      <c r="G1315" s="32"/>
      <c r="H1315" s="10"/>
      <c r="I1315" s="10"/>
      <c r="J1315" s="10"/>
      <c r="K1315" s="1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10"/>
      <c r="B1316" s="30"/>
      <c r="C1316" s="31"/>
      <c r="D1316" s="32"/>
      <c r="E1316" s="32"/>
      <c r="F1316" s="32"/>
      <c r="G1316" s="32"/>
      <c r="H1316" s="10"/>
      <c r="I1316" s="10"/>
      <c r="J1316" s="10"/>
      <c r="K1316" s="1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10"/>
      <c r="B1317" s="30"/>
      <c r="C1317" s="31"/>
      <c r="D1317" s="32"/>
      <c r="E1317" s="32"/>
      <c r="F1317" s="32"/>
      <c r="G1317" s="32">
        <f t="shared" ref="G1317" si="385">SUM(D1317:E1317)</f>
        <v>0</v>
      </c>
      <c r="H1317" s="10"/>
      <c r="I1317" s="10"/>
      <c r="J1317" s="10"/>
      <c r="K1317" s="12">
        <f t="shared" ref="K1317" si="386">SUM(G1317:J1317)</f>
        <v>0</v>
      </c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10"/>
      <c r="B1318" s="30"/>
      <c r="C1318" s="30"/>
      <c r="D1318" s="32"/>
      <c r="E1318" s="32"/>
      <c r="F1318" s="32"/>
      <c r="G1318" s="32"/>
      <c r="H1318" s="10"/>
      <c r="I1318" s="10"/>
      <c r="J1318" s="10"/>
      <c r="K1318" s="1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B1319" s="57"/>
      <c r="C1319" s="57"/>
      <c r="D1319" s="36"/>
      <c r="E1319" s="36"/>
      <c r="F1319" s="36"/>
      <c r="G1319" s="36"/>
      <c r="H1319" s="37"/>
      <c r="I1319" s="37"/>
      <c r="J1319" s="37"/>
      <c r="K1319" s="37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B1320" s="57"/>
      <c r="C1320" s="57"/>
      <c r="D1320" s="38">
        <f>SUM(D1277:D1319)</f>
        <v>149335</v>
      </c>
      <c r="E1320" s="38">
        <f t="shared" ref="E1320:F1320" si="387">SUM(E1277:E1317)</f>
        <v>-1496</v>
      </c>
      <c r="F1320" s="38">
        <f t="shared" si="387"/>
        <v>0</v>
      </c>
      <c r="G1320" s="38">
        <f>SUM(G1277:G1319)</f>
        <v>147839</v>
      </c>
      <c r="H1320" s="4"/>
      <c r="I1320" s="39">
        <f>SUM(I1277:I1319)</f>
        <v>0</v>
      </c>
      <c r="J1320" s="39">
        <f>SUM(J1277:J1319)</f>
        <v>-168</v>
      </c>
      <c r="K1320" s="40">
        <f>SUM(K1277:K1319)</f>
        <v>147671</v>
      </c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18"/>
      <c r="B1321" s="18"/>
      <c r="C1321" s="18"/>
      <c r="D1321" s="18"/>
      <c r="E1321" s="18"/>
      <c r="F1321" s="18"/>
      <c r="G1321" s="18"/>
      <c r="H1321" s="18"/>
      <c r="I1321" s="18"/>
      <c r="J1321" s="18"/>
      <c r="K1321" s="18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W1283:W1284"/>
    <mergeCell ref="U1283:V1283"/>
    <mergeCell ref="P1283:Q1283"/>
    <mergeCell ref="AI1283:AI1284"/>
    <mergeCell ref="AG1283:AH1283"/>
    <mergeCell ref="AB1283:AC1283"/>
    <mergeCell ref="AI1000:AI1001"/>
    <mergeCell ref="AG1000:AH1000"/>
    <mergeCell ref="AB1000:AC1000"/>
    <mergeCell ref="W1165:W1166"/>
    <mergeCell ref="U1165:V1165"/>
    <mergeCell ref="P1165:Q1165"/>
    <mergeCell ref="AI1165:AI1166"/>
    <mergeCell ref="AG1165:AH1165"/>
    <mergeCell ref="AB1165:AC1165"/>
    <mergeCell ref="P10:Q10"/>
    <mergeCell ref="K10:K11"/>
    <mergeCell ref="K65:K66"/>
    <mergeCell ref="K1165:K1166"/>
    <mergeCell ref="I1165:J1165"/>
    <mergeCell ref="D1165:E1165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D395:E395"/>
    <mergeCell ref="I10:J10"/>
    <mergeCell ref="D10:E10"/>
    <mergeCell ref="W65:W66"/>
    <mergeCell ref="U65:V65"/>
    <mergeCell ref="I65:J65"/>
    <mergeCell ref="U120:V12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I450:J45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D945:E945"/>
    <mergeCell ref="U945:V945"/>
    <mergeCell ref="P945:Q945"/>
    <mergeCell ref="D1055:E1055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K1055:K1056"/>
    <mergeCell ref="I1055:J1055"/>
    <mergeCell ref="K1000:K1001"/>
    <mergeCell ref="I1000:J1000"/>
    <mergeCell ref="D1000:E1000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I1220:AI1221"/>
    <mergeCell ref="AG1220:AH1220"/>
    <mergeCell ref="AB1220:AC1220"/>
    <mergeCell ref="K1110:K1111"/>
    <mergeCell ref="I1110:J1110"/>
    <mergeCell ref="D1110:E1110"/>
    <mergeCell ref="W1110:W1111"/>
    <mergeCell ref="U1110:V1110"/>
    <mergeCell ref="P1110:Q1110"/>
    <mergeCell ref="AI1110:AI1111"/>
    <mergeCell ref="AG1110:AH1110"/>
    <mergeCell ref="AB1110:AC1110"/>
    <mergeCell ref="K1275:K1276"/>
    <mergeCell ref="I1275:J1275"/>
    <mergeCell ref="D1275:E1275"/>
    <mergeCell ref="K1220:K1221"/>
    <mergeCell ref="I1220:J1220"/>
    <mergeCell ref="D1220:E1220"/>
    <mergeCell ref="W1220:W1221"/>
    <mergeCell ref="U1220:V1220"/>
    <mergeCell ref="P1220:Q1220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2025-09-02T08:27:38Z</dcterms:modified>
</cp:coreProperties>
</file>