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AUGUST FILES 2025\"/>
    </mc:Choice>
  </mc:AlternateContent>
  <xr:revisionPtr revIDLastSave="0" documentId="13_ncr:1_{81ED387E-9AEF-4E09-8FE8-E5BA8E3BF0D6}" xr6:coauthVersionLast="45" xr6:coauthVersionMax="45" xr10:uidLastSave="{00000000-0000-0000-0000-000000000000}"/>
  <bookViews>
    <workbookView xWindow="-120" yWindow="-120" windowWidth="29040" windowHeight="15840" tabRatio="586" activeTab="1" xr2:uid="{1BECB66F-BB2E-4983-8F6C-4EC307945A01}"/>
  </bookViews>
  <sheets>
    <sheet name="MSIS AUGUST" sheetId="1" r:id="rId1"/>
    <sheet name="DSIS | AUGU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743" i="2" l="1"/>
  <c r="U743" i="2"/>
  <c r="U770" i="2"/>
  <c r="P743" i="2"/>
  <c r="S743" i="2" s="1"/>
  <c r="P742" i="2"/>
  <c r="S742" i="2" s="1"/>
  <c r="W742" i="2" s="1"/>
  <c r="P741" i="2"/>
  <c r="S741" i="2" s="1"/>
  <c r="W741" i="2" s="1"/>
  <c r="P740" i="2"/>
  <c r="S740" i="2" s="1"/>
  <c r="W740" i="2" s="1"/>
  <c r="P739" i="2"/>
  <c r="P738" i="2"/>
  <c r="P737" i="2"/>
  <c r="P736" i="2"/>
  <c r="S736" i="2" s="1"/>
  <c r="W736" i="2" s="1"/>
  <c r="P735" i="2"/>
  <c r="P734" i="2"/>
  <c r="S734" i="2" s="1"/>
  <c r="W734" i="2" s="1"/>
  <c r="P733" i="2"/>
  <c r="S733" i="2" s="1"/>
  <c r="W733" i="2" s="1"/>
  <c r="P732" i="2"/>
  <c r="U731" i="2"/>
  <c r="P731" i="2"/>
  <c r="P730" i="2"/>
  <c r="P729" i="2"/>
  <c r="P728" i="2"/>
  <c r="S728" i="2" s="1"/>
  <c r="W728" i="2" s="1"/>
  <c r="P727" i="2"/>
  <c r="S727" i="2"/>
  <c r="W727" i="2" s="1"/>
  <c r="O728" i="2"/>
  <c r="O729" i="2" s="1"/>
  <c r="O730" i="2" s="1"/>
  <c r="O731" i="2" s="1"/>
  <c r="O732" i="2" s="1"/>
  <c r="O733" i="2" s="1"/>
  <c r="O734" i="2" s="1"/>
  <c r="O735" i="2" s="1"/>
  <c r="O736" i="2" s="1"/>
  <c r="O737" i="2" s="1"/>
  <c r="O738" i="2" s="1"/>
  <c r="O739" i="2" s="1"/>
  <c r="O740" i="2" s="1"/>
  <c r="O741" i="2" s="1"/>
  <c r="O742" i="2" s="1"/>
  <c r="O743" i="2" s="1"/>
  <c r="S729" i="2"/>
  <c r="W729" i="2" s="1"/>
  <c r="S730" i="2"/>
  <c r="W730" i="2" s="1"/>
  <c r="S731" i="2"/>
  <c r="S732" i="2"/>
  <c r="W732" i="2"/>
  <c r="S735" i="2"/>
  <c r="W735" i="2" s="1"/>
  <c r="S737" i="2"/>
  <c r="W737" i="2" s="1"/>
  <c r="S738" i="2"/>
  <c r="W738" i="2" s="1"/>
  <c r="S739" i="2"/>
  <c r="W739" i="2" s="1"/>
  <c r="S744" i="2"/>
  <c r="W744" i="2"/>
  <c r="S745" i="2"/>
  <c r="W745" i="2" s="1"/>
  <c r="S746" i="2"/>
  <c r="W746" i="2" s="1"/>
  <c r="S747" i="2"/>
  <c r="W747" i="2" s="1"/>
  <c r="S748" i="2"/>
  <c r="W748" i="2" s="1"/>
  <c r="S749" i="2"/>
  <c r="W749" i="2" s="1"/>
  <c r="S750" i="2"/>
  <c r="W750" i="2"/>
  <c r="S751" i="2"/>
  <c r="W751" i="2" s="1"/>
  <c r="S752" i="2"/>
  <c r="W752" i="2"/>
  <c r="S753" i="2"/>
  <c r="W753" i="2" s="1"/>
  <c r="S754" i="2"/>
  <c r="W754" i="2" s="1"/>
  <c r="S755" i="2"/>
  <c r="W755" i="2" s="1"/>
  <c r="S756" i="2"/>
  <c r="W756" i="2"/>
  <c r="S757" i="2"/>
  <c r="W757" i="2" s="1"/>
  <c r="S758" i="2"/>
  <c r="W758" i="2"/>
  <c r="S759" i="2"/>
  <c r="W759" i="2" s="1"/>
  <c r="S760" i="2"/>
  <c r="W760" i="2"/>
  <c r="S761" i="2"/>
  <c r="W761" i="2" s="1"/>
  <c r="S762" i="2"/>
  <c r="W762" i="2" s="1"/>
  <c r="S763" i="2"/>
  <c r="W763" i="2" s="1"/>
  <c r="S764" i="2"/>
  <c r="W764" i="2"/>
  <c r="S765" i="2"/>
  <c r="W765" i="2" s="1"/>
  <c r="W766" i="2"/>
  <c r="S767" i="2"/>
  <c r="W767" i="2"/>
  <c r="W768" i="2"/>
  <c r="Q770" i="2"/>
  <c r="R770" i="2"/>
  <c r="V770" i="2"/>
  <c r="W743" i="2" l="1"/>
  <c r="W731" i="2"/>
  <c r="P770" i="2"/>
  <c r="W770" i="2"/>
  <c r="S770" i="2"/>
  <c r="AB675" i="2"/>
  <c r="AG674" i="2"/>
  <c r="AB674" i="2"/>
  <c r="AB673" i="2"/>
  <c r="AE673" i="2" s="1"/>
  <c r="AI673" i="2" s="1"/>
  <c r="AB672" i="2"/>
  <c r="AE672" i="2"/>
  <c r="AA673" i="2"/>
  <c r="AA674" i="2" s="1"/>
  <c r="AA675" i="2" s="1"/>
  <c r="AE674" i="2"/>
  <c r="AI674" i="2" s="1"/>
  <c r="AE675" i="2"/>
  <c r="AI675" i="2"/>
  <c r="AE676" i="2"/>
  <c r="AI676" i="2"/>
  <c r="AE677" i="2"/>
  <c r="AI677" i="2"/>
  <c r="AE678" i="2"/>
  <c r="AI678" i="2"/>
  <c r="AE679" i="2"/>
  <c r="AI679" i="2"/>
  <c r="AE680" i="2"/>
  <c r="AI680" i="2" s="1"/>
  <c r="AE681" i="2"/>
  <c r="AI681" i="2"/>
  <c r="AE682" i="2"/>
  <c r="AI682" i="2"/>
  <c r="AE683" i="2"/>
  <c r="AI683" i="2"/>
  <c r="AE684" i="2"/>
  <c r="AI684" i="2"/>
  <c r="AE685" i="2"/>
  <c r="AI685" i="2"/>
  <c r="AE686" i="2"/>
  <c r="AI686" i="2"/>
  <c r="AE687" i="2"/>
  <c r="AI687" i="2"/>
  <c r="AE688" i="2"/>
  <c r="AI688" i="2"/>
  <c r="AE689" i="2"/>
  <c r="AI689" i="2"/>
  <c r="AE690" i="2"/>
  <c r="AI690" i="2"/>
  <c r="AE691" i="2"/>
  <c r="AI691" i="2"/>
  <c r="AE692" i="2"/>
  <c r="AI692" i="2"/>
  <c r="AE693" i="2"/>
  <c r="AI693" i="2"/>
  <c r="AE694" i="2"/>
  <c r="AI694" i="2"/>
  <c r="AE695" i="2"/>
  <c r="AI695" i="2"/>
  <c r="AE696" i="2"/>
  <c r="AI696" i="2"/>
  <c r="AE697" i="2"/>
  <c r="AI697" i="2"/>
  <c r="AE698" i="2"/>
  <c r="AI698" i="2"/>
  <c r="AE699" i="2"/>
  <c r="AI699" i="2"/>
  <c r="AE700" i="2"/>
  <c r="AI700" i="2"/>
  <c r="AE701" i="2"/>
  <c r="AI701" i="2"/>
  <c r="AE702" i="2"/>
  <c r="AI702" i="2"/>
  <c r="AE703" i="2"/>
  <c r="AI703" i="2"/>
  <c r="AE704" i="2"/>
  <c r="AI704" i="2"/>
  <c r="AE705" i="2"/>
  <c r="AI705" i="2"/>
  <c r="AE706" i="2"/>
  <c r="AI706" i="2"/>
  <c r="AE707" i="2"/>
  <c r="AI707" i="2"/>
  <c r="AE708" i="2"/>
  <c r="AI708" i="2"/>
  <c r="AE709" i="2"/>
  <c r="AI709" i="2"/>
  <c r="AE710" i="2"/>
  <c r="AI710" i="2"/>
  <c r="AI711" i="2"/>
  <c r="AE712" i="2"/>
  <c r="AI712" i="2" s="1"/>
  <c r="AI713" i="2"/>
  <c r="AC715" i="2"/>
  <c r="AD715" i="2"/>
  <c r="AG715" i="2"/>
  <c r="AH715" i="2"/>
  <c r="P676" i="2"/>
  <c r="P715" i="2"/>
  <c r="P675" i="2"/>
  <c r="S675" i="2" s="1"/>
  <c r="W675" i="2" s="1"/>
  <c r="P674" i="2"/>
  <c r="S674" i="2" s="1"/>
  <c r="P673" i="2"/>
  <c r="P672" i="2"/>
  <c r="S672" i="2"/>
  <c r="W672" i="2" s="1"/>
  <c r="O673" i="2"/>
  <c r="S673" i="2"/>
  <c r="W673" i="2" s="1"/>
  <c r="O674" i="2"/>
  <c r="O675" i="2" s="1"/>
  <c r="O676" i="2" s="1"/>
  <c r="S677" i="2"/>
  <c r="W677" i="2" s="1"/>
  <c r="S678" i="2"/>
  <c r="W678" i="2"/>
  <c r="S679" i="2"/>
  <c r="W679" i="2"/>
  <c r="S680" i="2"/>
  <c r="W680" i="2" s="1"/>
  <c r="S681" i="2"/>
  <c r="W681" i="2"/>
  <c r="S682" i="2"/>
  <c r="W682" i="2" s="1"/>
  <c r="S683" i="2"/>
  <c r="W683" i="2" s="1"/>
  <c r="S684" i="2"/>
  <c r="W684" i="2"/>
  <c r="S685" i="2"/>
  <c r="W685" i="2" s="1"/>
  <c r="S686" i="2"/>
  <c r="W686" i="2"/>
  <c r="S687" i="2"/>
  <c r="W687" i="2"/>
  <c r="S688" i="2"/>
  <c r="W688" i="2" s="1"/>
  <c r="S689" i="2"/>
  <c r="W689" i="2"/>
  <c r="S690" i="2"/>
  <c r="W690" i="2"/>
  <c r="S691" i="2"/>
  <c r="W691" i="2" s="1"/>
  <c r="S692" i="2"/>
  <c r="W692" i="2" s="1"/>
  <c r="S693" i="2"/>
  <c r="W693" i="2" s="1"/>
  <c r="S694" i="2"/>
  <c r="W694" i="2" s="1"/>
  <c r="S695" i="2"/>
  <c r="W695" i="2"/>
  <c r="S696" i="2"/>
  <c r="W696" i="2" s="1"/>
  <c r="S697" i="2"/>
  <c r="W697" i="2"/>
  <c r="S698" i="2"/>
  <c r="W698" i="2"/>
  <c r="S699" i="2"/>
  <c r="W699" i="2"/>
  <c r="S700" i="2"/>
  <c r="W700" i="2" s="1"/>
  <c r="S701" i="2"/>
  <c r="W701" i="2" s="1"/>
  <c r="S702" i="2"/>
  <c r="W702" i="2"/>
  <c r="S703" i="2"/>
  <c r="W703" i="2"/>
  <c r="S704" i="2"/>
  <c r="W704" i="2"/>
  <c r="S705" i="2"/>
  <c r="W705" i="2"/>
  <c r="S706" i="2"/>
  <c r="W706" i="2"/>
  <c r="S707" i="2"/>
  <c r="W707" i="2"/>
  <c r="S708" i="2"/>
  <c r="W708" i="2"/>
  <c r="S709" i="2"/>
  <c r="W709" i="2" s="1"/>
  <c r="S710" i="2"/>
  <c r="W710" i="2"/>
  <c r="W711" i="2"/>
  <c r="S712" i="2"/>
  <c r="W712" i="2"/>
  <c r="W713" i="2"/>
  <c r="Q715" i="2"/>
  <c r="R715" i="2"/>
  <c r="U715" i="2"/>
  <c r="V715" i="2"/>
  <c r="D691" i="2"/>
  <c r="D690" i="2"/>
  <c r="G690" i="2" s="1"/>
  <c r="K690" i="2" s="1"/>
  <c r="D689" i="2"/>
  <c r="G689" i="2" s="1"/>
  <c r="I689" i="2"/>
  <c r="D688" i="2"/>
  <c r="G688" i="2"/>
  <c r="K688" i="2" s="1"/>
  <c r="D687" i="2"/>
  <c r="D686" i="2"/>
  <c r="D685" i="2"/>
  <c r="D684" i="2"/>
  <c r="D683" i="2"/>
  <c r="D682" i="2"/>
  <c r="G682" i="2" s="1"/>
  <c r="K682" i="2" s="1"/>
  <c r="D681" i="2"/>
  <c r="G681" i="2" s="1"/>
  <c r="K681" i="2" s="1"/>
  <c r="D680" i="2"/>
  <c r="G680" i="2" s="1"/>
  <c r="K680" i="2" s="1"/>
  <c r="D679" i="2"/>
  <c r="G679" i="2" s="1"/>
  <c r="K679" i="2" s="1"/>
  <c r="D678" i="2"/>
  <c r="G678" i="2" s="1"/>
  <c r="K678" i="2" s="1"/>
  <c r="D677" i="2"/>
  <c r="G677" i="2" s="1"/>
  <c r="K677" i="2" s="1"/>
  <c r="D676" i="2"/>
  <c r="D675" i="2"/>
  <c r="D674" i="2"/>
  <c r="D673" i="2"/>
  <c r="D672" i="2"/>
  <c r="G672" i="2"/>
  <c r="C673" i="2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G673" i="2"/>
  <c r="K673" i="2" s="1"/>
  <c r="G675" i="2"/>
  <c r="K675" i="2" s="1"/>
  <c r="G676" i="2"/>
  <c r="K676" i="2" s="1"/>
  <c r="G683" i="2"/>
  <c r="K683" i="2" s="1"/>
  <c r="G684" i="2"/>
  <c r="K684" i="2" s="1"/>
  <c r="G685" i="2"/>
  <c r="K685" i="2" s="1"/>
  <c r="G686" i="2"/>
  <c r="K686" i="2" s="1"/>
  <c r="G687" i="2"/>
  <c r="K687" i="2" s="1"/>
  <c r="G691" i="2"/>
  <c r="K691" i="2" s="1"/>
  <c r="G692" i="2"/>
  <c r="K692" i="2"/>
  <c r="G693" i="2"/>
  <c r="K693" i="2" s="1"/>
  <c r="G694" i="2"/>
  <c r="K694" i="2" s="1"/>
  <c r="G695" i="2"/>
  <c r="K695" i="2" s="1"/>
  <c r="G696" i="2"/>
  <c r="K696" i="2" s="1"/>
  <c r="G697" i="2"/>
  <c r="K697" i="2" s="1"/>
  <c r="G698" i="2"/>
  <c r="K698" i="2"/>
  <c r="G699" i="2"/>
  <c r="K699" i="2" s="1"/>
  <c r="K700" i="2"/>
  <c r="K701" i="2"/>
  <c r="K702" i="2"/>
  <c r="K703" i="2"/>
  <c r="K704" i="2"/>
  <c r="G705" i="2"/>
  <c r="K705" i="2"/>
  <c r="G712" i="2"/>
  <c r="K712" i="2"/>
  <c r="E715" i="2"/>
  <c r="F715" i="2"/>
  <c r="I715" i="2"/>
  <c r="J715" i="2"/>
  <c r="AI672" i="2" l="1"/>
  <c r="AI715" i="2" s="1"/>
  <c r="AE715" i="2"/>
  <c r="AB715" i="2"/>
  <c r="S676" i="2"/>
  <c r="W676" i="2" s="1"/>
  <c r="W674" i="2"/>
  <c r="W715" i="2" s="1"/>
  <c r="S715" i="2"/>
  <c r="K689" i="2"/>
  <c r="D715" i="2"/>
  <c r="K672" i="2"/>
  <c r="G674" i="2"/>
  <c r="K674" i="2" s="1"/>
  <c r="AH620" i="2"/>
  <c r="AB620" i="2"/>
  <c r="AB618" i="2"/>
  <c r="AG617" i="2"/>
  <c r="AG660" i="2" s="1"/>
  <c r="AB617" i="2"/>
  <c r="AB660" i="2" s="1"/>
  <c r="U620" i="2"/>
  <c r="P620" i="2"/>
  <c r="P619" i="2"/>
  <c r="P618" i="2"/>
  <c r="P617" i="2"/>
  <c r="S617" i="2" s="1"/>
  <c r="D642" i="2"/>
  <c r="G642" i="2" s="1"/>
  <c r="K642" i="2" s="1"/>
  <c r="D640" i="2"/>
  <c r="D639" i="2"/>
  <c r="J638" i="2"/>
  <c r="J660" i="2" s="1"/>
  <c r="D638" i="2"/>
  <c r="D637" i="2"/>
  <c r="G637" i="2" s="1"/>
  <c r="K637" i="2" s="1"/>
  <c r="D636" i="2"/>
  <c r="D635" i="2"/>
  <c r="D634" i="2"/>
  <c r="D633" i="2"/>
  <c r="D632" i="2"/>
  <c r="D631" i="2"/>
  <c r="G631" i="2" s="1"/>
  <c r="K631" i="2" s="1"/>
  <c r="D630" i="2"/>
  <c r="G630" i="2" s="1"/>
  <c r="K630" i="2" s="1"/>
  <c r="D629" i="2"/>
  <c r="D628" i="2"/>
  <c r="D627" i="2"/>
  <c r="D626" i="2"/>
  <c r="D625" i="2"/>
  <c r="G625" i="2" s="1"/>
  <c r="K625" i="2" s="1"/>
  <c r="D624" i="2"/>
  <c r="D623" i="2"/>
  <c r="D622" i="2"/>
  <c r="D621" i="2"/>
  <c r="D620" i="2"/>
  <c r="G620" i="2" s="1"/>
  <c r="K620" i="2" s="1"/>
  <c r="D619" i="2"/>
  <c r="D618" i="2"/>
  <c r="I617" i="2"/>
  <c r="D617" i="2"/>
  <c r="AE617" i="2"/>
  <c r="AA618" i="2"/>
  <c r="AE618" i="2"/>
  <c r="AI618" i="2" s="1"/>
  <c r="AA619" i="2"/>
  <c r="AA620" i="2" s="1"/>
  <c r="AE619" i="2"/>
  <c r="AI619" i="2" s="1"/>
  <c r="AE620" i="2"/>
  <c r="AE621" i="2"/>
  <c r="AI621" i="2" s="1"/>
  <c r="AE622" i="2"/>
  <c r="AI622" i="2" s="1"/>
  <c r="AE623" i="2"/>
  <c r="AI623" i="2"/>
  <c r="AE624" i="2"/>
  <c r="AI624" i="2" s="1"/>
  <c r="AE625" i="2"/>
  <c r="AI625" i="2" s="1"/>
  <c r="AE626" i="2"/>
  <c r="AI626" i="2" s="1"/>
  <c r="AE627" i="2"/>
  <c r="AI627" i="2"/>
  <c r="AE628" i="2"/>
  <c r="AI628" i="2" s="1"/>
  <c r="AE629" i="2"/>
  <c r="AI629" i="2" s="1"/>
  <c r="AE630" i="2"/>
  <c r="AI630" i="2" s="1"/>
  <c r="AE631" i="2"/>
  <c r="AI631" i="2"/>
  <c r="AE632" i="2"/>
  <c r="AI632" i="2" s="1"/>
  <c r="AE633" i="2"/>
  <c r="AI633" i="2"/>
  <c r="AE634" i="2"/>
  <c r="AI634" i="2"/>
  <c r="AE635" i="2"/>
  <c r="AI635" i="2"/>
  <c r="AE636" i="2"/>
  <c r="AI636" i="2"/>
  <c r="AE637" i="2"/>
  <c r="AI637" i="2" s="1"/>
  <c r="AE638" i="2"/>
  <c r="AI638" i="2"/>
  <c r="AE639" i="2"/>
  <c r="AI639" i="2"/>
  <c r="AE640" i="2"/>
  <c r="AI640" i="2" s="1"/>
  <c r="AE641" i="2"/>
  <c r="AI641" i="2"/>
  <c r="AE642" i="2"/>
  <c r="AI642" i="2"/>
  <c r="AE643" i="2"/>
  <c r="AI643" i="2"/>
  <c r="AE644" i="2"/>
  <c r="AI644" i="2"/>
  <c r="AE645" i="2"/>
  <c r="AI645" i="2" s="1"/>
  <c r="AE646" i="2"/>
  <c r="AI646" i="2"/>
  <c r="AE647" i="2"/>
  <c r="AI647" i="2"/>
  <c r="AE648" i="2"/>
  <c r="AI648" i="2"/>
  <c r="AE649" i="2"/>
  <c r="AI649" i="2"/>
  <c r="AE650" i="2"/>
  <c r="AI650" i="2"/>
  <c r="AE651" i="2"/>
  <c r="AI651" i="2"/>
  <c r="AE652" i="2"/>
  <c r="AI652" i="2"/>
  <c r="AE653" i="2"/>
  <c r="AI653" i="2"/>
  <c r="AE654" i="2"/>
  <c r="AI654" i="2"/>
  <c r="AE655" i="2"/>
  <c r="AI655" i="2"/>
  <c r="AI656" i="2"/>
  <c r="AE657" i="2"/>
  <c r="AI657" i="2" s="1"/>
  <c r="AI658" i="2"/>
  <c r="AC660" i="2"/>
  <c r="AD660" i="2"/>
  <c r="AH660" i="2"/>
  <c r="I660" i="2"/>
  <c r="F660" i="2"/>
  <c r="E660" i="2"/>
  <c r="G657" i="2"/>
  <c r="K657" i="2" s="1"/>
  <c r="G650" i="2"/>
  <c r="K650" i="2" s="1"/>
  <c r="K649" i="2"/>
  <c r="K648" i="2"/>
  <c r="K647" i="2"/>
  <c r="K646" i="2"/>
  <c r="K645" i="2"/>
  <c r="G644" i="2"/>
  <c r="K644" i="2" s="1"/>
  <c r="G643" i="2"/>
  <c r="K643" i="2" s="1"/>
  <c r="G641" i="2"/>
  <c r="K641" i="2" s="1"/>
  <c r="G640" i="2"/>
  <c r="K640" i="2" s="1"/>
  <c r="G639" i="2"/>
  <c r="K639" i="2" s="1"/>
  <c r="G638" i="2"/>
  <c r="G636" i="2"/>
  <c r="K636" i="2" s="1"/>
  <c r="G635" i="2"/>
  <c r="K635" i="2" s="1"/>
  <c r="G634" i="2"/>
  <c r="K634" i="2" s="1"/>
  <c r="G633" i="2"/>
  <c r="K633" i="2" s="1"/>
  <c r="G632" i="2"/>
  <c r="K632" i="2" s="1"/>
  <c r="G629" i="2"/>
  <c r="K629" i="2" s="1"/>
  <c r="G628" i="2"/>
  <c r="K628" i="2" s="1"/>
  <c r="G627" i="2"/>
  <c r="K627" i="2" s="1"/>
  <c r="G626" i="2"/>
  <c r="K626" i="2" s="1"/>
  <c r="G624" i="2"/>
  <c r="K624" i="2" s="1"/>
  <c r="G623" i="2"/>
  <c r="K623" i="2" s="1"/>
  <c r="G622" i="2"/>
  <c r="K622" i="2" s="1"/>
  <c r="G621" i="2"/>
  <c r="K621" i="2" s="1"/>
  <c r="G619" i="2"/>
  <c r="K619" i="2" s="1"/>
  <c r="G618" i="2"/>
  <c r="K618" i="2" s="1"/>
  <c r="C618" i="2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O618" i="2"/>
  <c r="O619" i="2" s="1"/>
  <c r="O620" i="2" s="1"/>
  <c r="S618" i="2"/>
  <c r="W618" i="2" s="1"/>
  <c r="S619" i="2"/>
  <c r="W619" i="2" s="1"/>
  <c r="P660" i="2"/>
  <c r="S620" i="2"/>
  <c r="W620" i="2" s="1"/>
  <c r="V660" i="2"/>
  <c r="S621" i="2"/>
  <c r="W621" i="2"/>
  <c r="S622" i="2"/>
  <c r="W622" i="2" s="1"/>
  <c r="S623" i="2"/>
  <c r="W623" i="2" s="1"/>
  <c r="S624" i="2"/>
  <c r="W624" i="2" s="1"/>
  <c r="S625" i="2"/>
  <c r="W625" i="2" s="1"/>
  <c r="S626" i="2"/>
  <c r="W626" i="2"/>
  <c r="S627" i="2"/>
  <c r="W627" i="2" s="1"/>
  <c r="S628" i="2"/>
  <c r="W628" i="2" s="1"/>
  <c r="S629" i="2"/>
  <c r="W629" i="2"/>
  <c r="S630" i="2"/>
  <c r="W630" i="2"/>
  <c r="S631" i="2"/>
  <c r="W631" i="2" s="1"/>
  <c r="S632" i="2"/>
  <c r="W632" i="2"/>
  <c r="S633" i="2"/>
  <c r="W633" i="2"/>
  <c r="S634" i="2"/>
  <c r="W634" i="2"/>
  <c r="S635" i="2"/>
  <c r="W635" i="2" s="1"/>
  <c r="S636" i="2"/>
  <c r="W636" i="2" s="1"/>
  <c r="S637" i="2"/>
  <c r="W637" i="2"/>
  <c r="S638" i="2"/>
  <c r="W638" i="2"/>
  <c r="S639" i="2"/>
  <c r="W639" i="2" s="1"/>
  <c r="S640" i="2"/>
  <c r="W640" i="2"/>
  <c r="S641" i="2"/>
  <c r="W641" i="2"/>
  <c r="S642" i="2"/>
  <c r="W642" i="2"/>
  <c r="S643" i="2"/>
  <c r="W643" i="2" s="1"/>
  <c r="S644" i="2"/>
  <c r="W644" i="2" s="1"/>
  <c r="S645" i="2"/>
  <c r="W645" i="2"/>
  <c r="S646" i="2"/>
  <c r="W646" i="2"/>
  <c r="S647" i="2"/>
  <c r="W647" i="2" s="1"/>
  <c r="S648" i="2"/>
  <c r="W648" i="2"/>
  <c r="S649" i="2"/>
  <c r="W649" i="2"/>
  <c r="S650" i="2"/>
  <c r="W650" i="2"/>
  <c r="S651" i="2"/>
  <c r="W651" i="2" s="1"/>
  <c r="S652" i="2"/>
  <c r="W652" i="2" s="1"/>
  <c r="S653" i="2"/>
  <c r="W653" i="2"/>
  <c r="S654" i="2"/>
  <c r="W654" i="2"/>
  <c r="S655" i="2"/>
  <c r="W655" i="2" s="1"/>
  <c r="W656" i="2"/>
  <c r="S657" i="2"/>
  <c r="W657" i="2"/>
  <c r="W658" i="2"/>
  <c r="Q660" i="2"/>
  <c r="R660" i="2"/>
  <c r="U660" i="2"/>
  <c r="G715" i="2" l="1"/>
  <c r="K715" i="2"/>
  <c r="AI620" i="2"/>
  <c r="K638" i="2"/>
  <c r="D660" i="2"/>
  <c r="AI617" i="2"/>
  <c r="AE660" i="2"/>
  <c r="G617" i="2"/>
  <c r="W617" i="2"/>
  <c r="W660" i="2" s="1"/>
  <c r="S660" i="2"/>
  <c r="AB574" i="2"/>
  <c r="AE574" i="2" s="1"/>
  <c r="AI574" i="2" s="1"/>
  <c r="AB573" i="2"/>
  <c r="AB572" i="2"/>
  <c r="AB571" i="2"/>
  <c r="AB570" i="2"/>
  <c r="AB569" i="2"/>
  <c r="AB568" i="2"/>
  <c r="AB567" i="2"/>
  <c r="AB566" i="2"/>
  <c r="AB565" i="2"/>
  <c r="AE565" i="2" s="1"/>
  <c r="AI565" i="2" s="1"/>
  <c r="AB564" i="2"/>
  <c r="AB563" i="2"/>
  <c r="AE563" i="2" s="1"/>
  <c r="AI563" i="2" s="1"/>
  <c r="AB562" i="2"/>
  <c r="AE562" i="2" s="1"/>
  <c r="AA564" i="2"/>
  <c r="AA565" i="2" s="1"/>
  <c r="AA566" i="2" s="1"/>
  <c r="AA567" i="2" s="1"/>
  <c r="AA568" i="2" s="1"/>
  <c r="AA569" i="2" s="1"/>
  <c r="AA570" i="2" s="1"/>
  <c r="AA571" i="2" s="1"/>
  <c r="AA572" i="2" s="1"/>
  <c r="AA573" i="2" s="1"/>
  <c r="AA563" i="2"/>
  <c r="AE564" i="2"/>
  <c r="AI564" i="2" s="1"/>
  <c r="AE566" i="2"/>
  <c r="AI566" i="2" s="1"/>
  <c r="AE567" i="2"/>
  <c r="AI567" i="2" s="1"/>
  <c r="AE568" i="2"/>
  <c r="AI568" i="2" s="1"/>
  <c r="AE569" i="2"/>
  <c r="AI569" i="2" s="1"/>
  <c r="AE570" i="2"/>
  <c r="AI570" i="2"/>
  <c r="AE571" i="2"/>
  <c r="AI571" i="2" s="1"/>
  <c r="AE572" i="2"/>
  <c r="AI572" i="2" s="1"/>
  <c r="AE573" i="2"/>
  <c r="AI573" i="2" s="1"/>
  <c r="AE575" i="2"/>
  <c r="AI575" i="2" s="1"/>
  <c r="AE576" i="2"/>
  <c r="AI576" i="2" s="1"/>
  <c r="AE577" i="2"/>
  <c r="AI577" i="2"/>
  <c r="AE578" i="2"/>
  <c r="AI578" i="2"/>
  <c r="AE579" i="2"/>
  <c r="AI579" i="2"/>
  <c r="AE580" i="2"/>
  <c r="AI580" i="2" s="1"/>
  <c r="AE581" i="2"/>
  <c r="AI581" i="2"/>
  <c r="AE582" i="2"/>
  <c r="AI582" i="2"/>
  <c r="AE583" i="2"/>
  <c r="AI583" i="2" s="1"/>
  <c r="AE584" i="2"/>
  <c r="AI584" i="2"/>
  <c r="AE585" i="2"/>
  <c r="AI585" i="2"/>
  <c r="AE586" i="2"/>
  <c r="AI586" i="2"/>
  <c r="AE587" i="2"/>
  <c r="AI587" i="2"/>
  <c r="AE588" i="2"/>
  <c r="AI588" i="2"/>
  <c r="AE589" i="2"/>
  <c r="AI589" i="2"/>
  <c r="AE590" i="2"/>
  <c r="AI590" i="2"/>
  <c r="AE591" i="2"/>
  <c r="AI591" i="2" s="1"/>
  <c r="AE592" i="2"/>
  <c r="AI592" i="2"/>
  <c r="AE593" i="2"/>
  <c r="AI593" i="2"/>
  <c r="AE594" i="2"/>
  <c r="AI594" i="2"/>
  <c r="AE595" i="2"/>
  <c r="AI595" i="2"/>
  <c r="AE596" i="2"/>
  <c r="AI596" i="2"/>
  <c r="AE597" i="2"/>
  <c r="AI597" i="2"/>
  <c r="AE598" i="2"/>
  <c r="AI598" i="2"/>
  <c r="AE599" i="2"/>
  <c r="AI599" i="2" s="1"/>
  <c r="AE600" i="2"/>
  <c r="AI600" i="2"/>
  <c r="AI601" i="2"/>
  <c r="AE602" i="2"/>
  <c r="AI602" i="2" s="1"/>
  <c r="AI603" i="2"/>
  <c r="AC605" i="2"/>
  <c r="AD605" i="2"/>
  <c r="AG605" i="2"/>
  <c r="AH605" i="2"/>
  <c r="V565" i="2"/>
  <c r="V605" i="2" s="1"/>
  <c r="U565" i="2"/>
  <c r="U605" i="2" s="1"/>
  <c r="P565" i="2"/>
  <c r="P605" i="2" s="1"/>
  <c r="P564" i="2"/>
  <c r="P563" i="2"/>
  <c r="P562" i="2"/>
  <c r="S562" i="2" s="1"/>
  <c r="W562" i="2" s="1"/>
  <c r="O563" i="2"/>
  <c r="S563" i="2"/>
  <c r="O564" i="2"/>
  <c r="O565" i="2" s="1"/>
  <c r="S564" i="2"/>
  <c r="W564" i="2" s="1"/>
  <c r="S566" i="2"/>
  <c r="W566" i="2" s="1"/>
  <c r="S567" i="2"/>
  <c r="W567" i="2" s="1"/>
  <c r="S568" i="2"/>
  <c r="W568" i="2" s="1"/>
  <c r="S569" i="2"/>
  <c r="W569" i="2"/>
  <c r="S570" i="2"/>
  <c r="W570" i="2" s="1"/>
  <c r="S571" i="2"/>
  <c r="W571" i="2" s="1"/>
  <c r="S572" i="2"/>
  <c r="W572" i="2" s="1"/>
  <c r="S573" i="2"/>
  <c r="W573" i="2"/>
  <c r="S574" i="2"/>
  <c r="W574" i="2" s="1"/>
  <c r="S575" i="2"/>
  <c r="W575" i="2" s="1"/>
  <c r="S576" i="2"/>
  <c r="W576" i="2" s="1"/>
  <c r="S577" i="2"/>
  <c r="W577" i="2" s="1"/>
  <c r="S578" i="2"/>
  <c r="W578" i="2" s="1"/>
  <c r="S579" i="2"/>
  <c r="W579" i="2" s="1"/>
  <c r="S580" i="2"/>
  <c r="W580" i="2"/>
  <c r="S581" i="2"/>
  <c r="W581" i="2" s="1"/>
  <c r="S582" i="2"/>
  <c r="W582" i="2" s="1"/>
  <c r="S583" i="2"/>
  <c r="W583" i="2" s="1"/>
  <c r="S584" i="2"/>
  <c r="W584" i="2"/>
  <c r="S585" i="2"/>
  <c r="W585" i="2"/>
  <c r="S586" i="2"/>
  <c r="W586" i="2" s="1"/>
  <c r="S587" i="2"/>
  <c r="W587" i="2" s="1"/>
  <c r="S588" i="2"/>
  <c r="W588" i="2"/>
  <c r="S589" i="2"/>
  <c r="W589" i="2" s="1"/>
  <c r="S590" i="2"/>
  <c r="W590" i="2" s="1"/>
  <c r="S591" i="2"/>
  <c r="W591" i="2" s="1"/>
  <c r="S592" i="2"/>
  <c r="W592" i="2"/>
  <c r="S593" i="2"/>
  <c r="W593" i="2"/>
  <c r="S594" i="2"/>
  <c r="W594" i="2" s="1"/>
  <c r="S595" i="2"/>
  <c r="W595" i="2" s="1"/>
  <c r="S596" i="2"/>
  <c r="W596" i="2"/>
  <c r="S597" i="2"/>
  <c r="W597" i="2" s="1"/>
  <c r="S598" i="2"/>
  <c r="W598" i="2" s="1"/>
  <c r="S599" i="2"/>
  <c r="W599" i="2" s="1"/>
  <c r="S600" i="2"/>
  <c r="W600" i="2"/>
  <c r="W601" i="2"/>
  <c r="S602" i="2"/>
  <c r="W602" i="2"/>
  <c r="W603" i="2"/>
  <c r="Q605" i="2"/>
  <c r="R605" i="2"/>
  <c r="AI660" i="2" l="1"/>
  <c r="G660" i="2"/>
  <c r="K617" i="2"/>
  <c r="K660" i="2" s="1"/>
  <c r="AI562" i="2"/>
  <c r="AI605" i="2" s="1"/>
  <c r="AE605" i="2"/>
  <c r="AB605" i="2"/>
  <c r="S565" i="2"/>
  <c r="W565" i="2" s="1"/>
  <c r="W563" i="2"/>
  <c r="AG509" i="2"/>
  <c r="AB509" i="2"/>
  <c r="AB508" i="2"/>
  <c r="AG507" i="2"/>
  <c r="AG550" i="2" s="1"/>
  <c r="AB507" i="2"/>
  <c r="AE507" i="2"/>
  <c r="AA508" i="2"/>
  <c r="AE508" i="2"/>
  <c r="AI508" i="2" s="1"/>
  <c r="AH550" i="2"/>
  <c r="AE509" i="2"/>
  <c r="AI509" i="2" s="1"/>
  <c r="AE510" i="2"/>
  <c r="AI510" i="2" s="1"/>
  <c r="AE511" i="2"/>
  <c r="AI511" i="2" s="1"/>
  <c r="AE512" i="2"/>
  <c r="AI512" i="2" s="1"/>
  <c r="AE513" i="2"/>
  <c r="AI513" i="2" s="1"/>
  <c r="AE514" i="2"/>
  <c r="AI514" i="2"/>
  <c r="AE515" i="2"/>
  <c r="AI515" i="2"/>
  <c r="AE516" i="2"/>
  <c r="AI516" i="2" s="1"/>
  <c r="AE517" i="2"/>
  <c r="AI517" i="2" s="1"/>
  <c r="AE518" i="2"/>
  <c r="AI518" i="2"/>
  <c r="AE519" i="2"/>
  <c r="AI519" i="2"/>
  <c r="AE520" i="2"/>
  <c r="AI520" i="2" s="1"/>
  <c r="AE521" i="2"/>
  <c r="AI521" i="2" s="1"/>
  <c r="AE522" i="2"/>
  <c r="AI522" i="2" s="1"/>
  <c r="AE523" i="2"/>
  <c r="AI523" i="2"/>
  <c r="AE524" i="2"/>
  <c r="AI524" i="2" s="1"/>
  <c r="AE525" i="2"/>
  <c r="AI525" i="2" s="1"/>
  <c r="AE526" i="2"/>
  <c r="AI526" i="2"/>
  <c r="AE527" i="2"/>
  <c r="AI527" i="2"/>
  <c r="AE528" i="2"/>
  <c r="AI528" i="2" s="1"/>
  <c r="AE529" i="2"/>
  <c r="AI529" i="2"/>
  <c r="AE530" i="2"/>
  <c r="AI530" i="2" s="1"/>
  <c r="AE531" i="2"/>
  <c r="AI531" i="2"/>
  <c r="AE532" i="2"/>
  <c r="AI532" i="2" s="1"/>
  <c r="AE533" i="2"/>
  <c r="AI533" i="2" s="1"/>
  <c r="AE534" i="2"/>
  <c r="AI534" i="2" s="1"/>
  <c r="AE535" i="2"/>
  <c r="AI535" i="2"/>
  <c r="AE536" i="2"/>
  <c r="AI536" i="2" s="1"/>
  <c r="AE537" i="2"/>
  <c r="AI537" i="2"/>
  <c r="AE538" i="2"/>
  <c r="AI538" i="2"/>
  <c r="AE539" i="2"/>
  <c r="AI539" i="2"/>
  <c r="AE540" i="2"/>
  <c r="AI540" i="2" s="1"/>
  <c r="AE541" i="2"/>
  <c r="AI541" i="2" s="1"/>
  <c r="AE542" i="2"/>
  <c r="AI542" i="2"/>
  <c r="AE543" i="2"/>
  <c r="AI543" i="2"/>
  <c r="AE544" i="2"/>
  <c r="AI544" i="2" s="1"/>
  <c r="AE545" i="2"/>
  <c r="AI545" i="2"/>
  <c r="AI546" i="2"/>
  <c r="AE547" i="2"/>
  <c r="AI547" i="2"/>
  <c r="AI548" i="2"/>
  <c r="AC550" i="2"/>
  <c r="AD550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I520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W605" i="2" l="1"/>
  <c r="S605" i="2"/>
  <c r="AI507" i="2"/>
  <c r="AI550" i="2"/>
  <c r="AB550" i="2"/>
  <c r="AE550" i="2"/>
  <c r="G507" i="2"/>
  <c r="K507" i="2" s="1"/>
  <c r="C508" i="2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G508" i="2"/>
  <c r="G509" i="2"/>
  <c r="K509" i="2" s="1"/>
  <c r="D550" i="2"/>
  <c r="G511" i="2"/>
  <c r="K511" i="2" s="1"/>
  <c r="G512" i="2"/>
  <c r="K512" i="2" s="1"/>
  <c r="G513" i="2"/>
  <c r="K513" i="2" s="1"/>
  <c r="G514" i="2"/>
  <c r="K514" i="2" s="1"/>
  <c r="G515" i="2"/>
  <c r="K515" i="2" s="1"/>
  <c r="G516" i="2"/>
  <c r="K516" i="2" s="1"/>
  <c r="G517" i="2"/>
  <c r="K517" i="2" s="1"/>
  <c r="G518" i="2"/>
  <c r="K518" i="2" s="1"/>
  <c r="G519" i="2"/>
  <c r="K519" i="2" s="1"/>
  <c r="G520" i="2"/>
  <c r="K520" i="2" s="1"/>
  <c r="G521" i="2"/>
  <c r="K521" i="2" s="1"/>
  <c r="G522" i="2"/>
  <c r="K522" i="2"/>
  <c r="G523" i="2"/>
  <c r="K523" i="2" s="1"/>
  <c r="G524" i="2"/>
  <c r="K524" i="2" s="1"/>
  <c r="G525" i="2"/>
  <c r="K525" i="2"/>
  <c r="G526" i="2"/>
  <c r="K526" i="2"/>
  <c r="G527" i="2"/>
  <c r="K527" i="2" s="1"/>
  <c r="G528" i="2"/>
  <c r="K528" i="2" s="1"/>
  <c r="G529" i="2"/>
  <c r="K529" i="2"/>
  <c r="G530" i="2"/>
  <c r="K530" i="2" s="1"/>
  <c r="G531" i="2"/>
  <c r="K531" i="2" s="1"/>
  <c r="G532" i="2"/>
  <c r="K532" i="2" s="1"/>
  <c r="G533" i="2"/>
  <c r="K533" i="2" s="1"/>
  <c r="G534" i="2"/>
  <c r="K534" i="2" s="1"/>
  <c r="K535" i="2"/>
  <c r="K536" i="2"/>
  <c r="K537" i="2"/>
  <c r="K538" i="2"/>
  <c r="K539" i="2"/>
  <c r="G540" i="2"/>
  <c r="K540" i="2"/>
  <c r="G547" i="2"/>
  <c r="K547" i="2"/>
  <c r="E550" i="2"/>
  <c r="F550" i="2"/>
  <c r="I550" i="2"/>
  <c r="J550" i="2"/>
  <c r="P522" i="2"/>
  <c r="P521" i="2"/>
  <c r="P520" i="2"/>
  <c r="P519" i="2"/>
  <c r="P518" i="2"/>
  <c r="P517" i="2"/>
  <c r="P516" i="2"/>
  <c r="P515" i="2"/>
  <c r="K508" i="2" l="1"/>
  <c r="G510" i="2"/>
  <c r="K510" i="2" s="1"/>
  <c r="P514" i="2"/>
  <c r="S514" i="2" s="1"/>
  <c r="W514" i="2" s="1"/>
  <c r="P513" i="2"/>
  <c r="S513" i="2" s="1"/>
  <c r="W513" i="2" s="1"/>
  <c r="P512" i="2"/>
  <c r="S512" i="2" s="1"/>
  <c r="W512" i="2" s="1"/>
  <c r="P511" i="2"/>
  <c r="S511" i="2" s="1"/>
  <c r="W511" i="2" s="1"/>
  <c r="P510" i="2"/>
  <c r="P509" i="2"/>
  <c r="P508" i="2"/>
  <c r="P507" i="2"/>
  <c r="S507" i="2"/>
  <c r="O508" i="2"/>
  <c r="O509" i="2" s="1"/>
  <c r="O510" i="2" s="1"/>
  <c r="O511" i="2" s="1"/>
  <c r="O512" i="2" s="1"/>
  <c r="O513" i="2" s="1"/>
  <c r="O514" i="2" s="1"/>
  <c r="O515" i="2" s="1"/>
  <c r="O516" i="2" s="1"/>
  <c r="O517" i="2" s="1"/>
  <c r="O518" i="2" s="1"/>
  <c r="O519" i="2" s="1"/>
  <c r="O520" i="2" s="1"/>
  <c r="O521" i="2" s="1"/>
  <c r="O522" i="2" s="1"/>
  <c r="S509" i="2"/>
  <c r="W509" i="2" s="1"/>
  <c r="S510" i="2"/>
  <c r="W510" i="2"/>
  <c r="S515" i="2"/>
  <c r="W515" i="2" s="1"/>
  <c r="S516" i="2"/>
  <c r="W516" i="2" s="1"/>
  <c r="S517" i="2"/>
  <c r="W517" i="2" s="1"/>
  <c r="S518" i="2"/>
  <c r="W518" i="2" s="1"/>
  <c r="S519" i="2"/>
  <c r="W519" i="2" s="1"/>
  <c r="S520" i="2"/>
  <c r="W520" i="2"/>
  <c r="S521" i="2"/>
  <c r="W521" i="2"/>
  <c r="S522" i="2"/>
  <c r="W522" i="2" s="1"/>
  <c r="S523" i="2"/>
  <c r="W523" i="2" s="1"/>
  <c r="S524" i="2"/>
  <c r="W524" i="2"/>
  <c r="S525" i="2"/>
  <c r="W525" i="2" s="1"/>
  <c r="S526" i="2"/>
  <c r="W526" i="2" s="1"/>
  <c r="S527" i="2"/>
  <c r="W527" i="2" s="1"/>
  <c r="S528" i="2"/>
  <c r="W528" i="2"/>
  <c r="S529" i="2"/>
  <c r="W529" i="2"/>
  <c r="S530" i="2"/>
  <c r="W530" i="2" s="1"/>
  <c r="S531" i="2"/>
  <c r="W531" i="2" s="1"/>
  <c r="S532" i="2"/>
  <c r="W532" i="2"/>
  <c r="S533" i="2"/>
  <c r="W533" i="2" s="1"/>
  <c r="S534" i="2"/>
  <c r="W534" i="2" s="1"/>
  <c r="S535" i="2"/>
  <c r="W535" i="2" s="1"/>
  <c r="S536" i="2"/>
  <c r="W536" i="2"/>
  <c r="S537" i="2"/>
  <c r="W537" i="2"/>
  <c r="S538" i="2"/>
  <c r="W538" i="2" s="1"/>
  <c r="S539" i="2"/>
  <c r="W539" i="2" s="1"/>
  <c r="S540" i="2"/>
  <c r="W540" i="2"/>
  <c r="S541" i="2"/>
  <c r="W541" i="2" s="1"/>
  <c r="S542" i="2"/>
  <c r="W542" i="2" s="1"/>
  <c r="S543" i="2"/>
  <c r="W543" i="2" s="1"/>
  <c r="S544" i="2"/>
  <c r="W544" i="2"/>
  <c r="S545" i="2"/>
  <c r="W545" i="2"/>
  <c r="W546" i="2"/>
  <c r="S547" i="2"/>
  <c r="W547" i="2" s="1"/>
  <c r="W548" i="2"/>
  <c r="Q550" i="2"/>
  <c r="R550" i="2"/>
  <c r="U550" i="2"/>
  <c r="V550" i="2"/>
  <c r="K550" i="2" l="1"/>
  <c r="G550" i="2"/>
  <c r="P550" i="2"/>
  <c r="S508" i="2"/>
  <c r="W508" i="2" s="1"/>
  <c r="W507" i="2"/>
  <c r="AB457" i="2"/>
  <c r="AE457" i="2" s="1"/>
  <c r="AI457" i="2" s="1"/>
  <c r="AB456" i="2"/>
  <c r="AE456" i="2" s="1"/>
  <c r="AI456" i="2" s="1"/>
  <c r="AB455" i="2"/>
  <c r="AB454" i="2"/>
  <c r="AH453" i="2"/>
  <c r="AG453" i="2"/>
  <c r="AG495" i="2" s="1"/>
  <c r="AB453" i="2"/>
  <c r="AB452" i="2"/>
  <c r="AB495" i="2" s="1"/>
  <c r="AE452" i="2"/>
  <c r="AI452" i="2" s="1"/>
  <c r="AA453" i="2"/>
  <c r="AA454" i="2" s="1"/>
  <c r="AA455" i="2" s="1"/>
  <c r="AA456" i="2" s="1"/>
  <c r="AA457" i="2" s="1"/>
  <c r="AE453" i="2"/>
  <c r="AE454" i="2"/>
  <c r="AI454" i="2" s="1"/>
  <c r="AE455" i="2"/>
  <c r="AI455" i="2" s="1"/>
  <c r="AE458" i="2"/>
  <c r="AI458" i="2" s="1"/>
  <c r="AE459" i="2"/>
  <c r="AI459" i="2"/>
  <c r="AE460" i="2"/>
  <c r="AI460" i="2" s="1"/>
  <c r="AE461" i="2"/>
  <c r="AI461" i="2" s="1"/>
  <c r="AE462" i="2"/>
  <c r="AI462" i="2" s="1"/>
  <c r="AE463" i="2"/>
  <c r="AI463" i="2"/>
  <c r="AE464" i="2"/>
  <c r="AI464" i="2"/>
  <c r="AE465" i="2"/>
  <c r="AI465" i="2"/>
  <c r="AE466" i="2"/>
  <c r="AI466" i="2" s="1"/>
  <c r="AE467" i="2"/>
  <c r="AI467" i="2" s="1"/>
  <c r="AE468" i="2"/>
  <c r="AI468" i="2"/>
  <c r="AE469" i="2"/>
  <c r="AI469" i="2" s="1"/>
  <c r="AE470" i="2"/>
  <c r="AI470" i="2" s="1"/>
  <c r="AE471" i="2"/>
  <c r="AI471" i="2"/>
  <c r="AE472" i="2"/>
  <c r="AI472" i="2"/>
  <c r="AE473" i="2"/>
  <c r="AI473" i="2"/>
  <c r="AE474" i="2"/>
  <c r="AI474" i="2"/>
  <c r="AE475" i="2"/>
  <c r="AI475" i="2" s="1"/>
  <c r="AE476" i="2"/>
  <c r="AI476" i="2"/>
  <c r="AE477" i="2"/>
  <c r="AI477" i="2" s="1"/>
  <c r="AE478" i="2"/>
  <c r="AI478" i="2" s="1"/>
  <c r="AE479" i="2"/>
  <c r="AI479" i="2"/>
  <c r="AE480" i="2"/>
  <c r="AI480" i="2"/>
  <c r="AE481" i="2"/>
  <c r="AI481" i="2"/>
  <c r="AE482" i="2"/>
  <c r="AI482" i="2"/>
  <c r="AE483" i="2"/>
  <c r="AI483" i="2" s="1"/>
  <c r="AE484" i="2"/>
  <c r="AI484" i="2"/>
  <c r="AE485" i="2"/>
  <c r="AI485" i="2" s="1"/>
  <c r="AE486" i="2"/>
  <c r="AI486" i="2" s="1"/>
  <c r="AE487" i="2"/>
  <c r="AI487" i="2"/>
  <c r="AE488" i="2"/>
  <c r="AI488" i="2"/>
  <c r="AE489" i="2"/>
  <c r="AI489" i="2"/>
  <c r="AE490" i="2"/>
  <c r="AI490" i="2"/>
  <c r="AI491" i="2"/>
  <c r="AE492" i="2"/>
  <c r="AI492" i="2" s="1"/>
  <c r="AI493" i="2"/>
  <c r="AC495" i="2"/>
  <c r="AD495" i="2"/>
  <c r="AH495" i="2"/>
  <c r="S550" i="2" l="1"/>
  <c r="W550" i="2"/>
  <c r="AI453" i="2"/>
  <c r="AI495" i="2" s="1"/>
  <c r="AE495" i="2"/>
  <c r="P460" i="2"/>
  <c r="S460" i="2" s="1"/>
  <c r="W460" i="2" s="1"/>
  <c r="P459" i="2"/>
  <c r="S459" i="2" s="1"/>
  <c r="W459" i="2" s="1"/>
  <c r="P458" i="2"/>
  <c r="S458" i="2" s="1"/>
  <c r="W458" i="2" s="1"/>
  <c r="P457" i="2"/>
  <c r="P456" i="2"/>
  <c r="S456" i="2" s="1"/>
  <c r="W456" i="2" s="1"/>
  <c r="P455" i="2"/>
  <c r="P454" i="2"/>
  <c r="P453" i="2"/>
  <c r="P452" i="2"/>
  <c r="S452" i="2" s="1"/>
  <c r="O453" i="2"/>
  <c r="O454" i="2" s="1"/>
  <c r="O455" i="2" s="1"/>
  <c r="O456" i="2" s="1"/>
  <c r="O457" i="2" s="1"/>
  <c r="O458" i="2" s="1"/>
  <c r="O459" i="2" s="1"/>
  <c r="O460" i="2" s="1"/>
  <c r="S453" i="2"/>
  <c r="W453" i="2" s="1"/>
  <c r="S454" i="2"/>
  <c r="W454" i="2" s="1"/>
  <c r="S457" i="2"/>
  <c r="W457" i="2" s="1"/>
  <c r="S461" i="2"/>
  <c r="W461" i="2" s="1"/>
  <c r="S462" i="2"/>
  <c r="W462" i="2" s="1"/>
  <c r="S463" i="2"/>
  <c r="W463" i="2"/>
  <c r="S464" i="2"/>
  <c r="W464" i="2" s="1"/>
  <c r="S465" i="2"/>
  <c r="W465" i="2" s="1"/>
  <c r="S466" i="2"/>
  <c r="W466" i="2"/>
  <c r="S467" i="2"/>
  <c r="W467" i="2" s="1"/>
  <c r="S468" i="2"/>
  <c r="W468" i="2" s="1"/>
  <c r="S469" i="2"/>
  <c r="W469" i="2"/>
  <c r="S470" i="2"/>
  <c r="W470" i="2"/>
  <c r="S471" i="2"/>
  <c r="W471" i="2"/>
  <c r="S472" i="2"/>
  <c r="W472" i="2" s="1"/>
  <c r="S473" i="2"/>
  <c r="W473" i="2" s="1"/>
  <c r="S474" i="2"/>
  <c r="W474" i="2"/>
  <c r="S475" i="2"/>
  <c r="W475" i="2"/>
  <c r="S476" i="2"/>
  <c r="W476" i="2" s="1"/>
  <c r="S477" i="2"/>
  <c r="W477" i="2"/>
  <c r="S478" i="2"/>
  <c r="W478" i="2"/>
  <c r="S479" i="2"/>
  <c r="W479" i="2"/>
  <c r="S480" i="2"/>
  <c r="W480" i="2" s="1"/>
  <c r="S481" i="2"/>
  <c r="W481" i="2" s="1"/>
  <c r="S482" i="2"/>
  <c r="W482" i="2"/>
  <c r="S483" i="2"/>
  <c r="W483" i="2"/>
  <c r="S484" i="2"/>
  <c r="W484" i="2" s="1"/>
  <c r="S485" i="2"/>
  <c r="W485" i="2"/>
  <c r="S486" i="2"/>
  <c r="W486" i="2"/>
  <c r="S487" i="2"/>
  <c r="W487" i="2"/>
  <c r="S488" i="2"/>
  <c r="W488" i="2" s="1"/>
  <c r="S489" i="2"/>
  <c r="W489" i="2" s="1"/>
  <c r="S490" i="2"/>
  <c r="W490" i="2"/>
  <c r="W491" i="2"/>
  <c r="S492" i="2"/>
  <c r="W492" i="2"/>
  <c r="W493" i="2"/>
  <c r="Q495" i="2"/>
  <c r="R495" i="2"/>
  <c r="U495" i="2"/>
  <c r="V495" i="2"/>
  <c r="P495" i="2" l="1"/>
  <c r="S455" i="2"/>
  <c r="W455" i="2" s="1"/>
  <c r="W452" i="2"/>
  <c r="W495" i="2" s="1"/>
  <c r="D469" i="2"/>
  <c r="G469" i="2" s="1"/>
  <c r="K469" i="2" s="1"/>
  <c r="D468" i="2"/>
  <c r="G468" i="2" s="1"/>
  <c r="K468" i="2" s="1"/>
  <c r="D467" i="2"/>
  <c r="D466" i="2"/>
  <c r="D465" i="2"/>
  <c r="G465" i="2" s="1"/>
  <c r="K465" i="2" s="1"/>
  <c r="D464" i="2"/>
  <c r="D463" i="2"/>
  <c r="G463" i="2" s="1"/>
  <c r="K463" i="2" s="1"/>
  <c r="D462" i="2"/>
  <c r="G462" i="2"/>
  <c r="K462" i="2" s="1"/>
  <c r="D461" i="2"/>
  <c r="D460" i="2"/>
  <c r="G460" i="2" s="1"/>
  <c r="K460" i="2" s="1"/>
  <c r="D459" i="2"/>
  <c r="G459" i="2" s="1"/>
  <c r="K459" i="2" s="1"/>
  <c r="D458" i="2"/>
  <c r="G458" i="2" s="1"/>
  <c r="K458" i="2" s="1"/>
  <c r="D457" i="2"/>
  <c r="G457" i="2" s="1"/>
  <c r="K457" i="2" s="1"/>
  <c r="D456" i="2"/>
  <c r="G456" i="2" s="1"/>
  <c r="K456" i="2" s="1"/>
  <c r="D455" i="2"/>
  <c r="G455" i="2" s="1"/>
  <c r="K455" i="2" s="1"/>
  <c r="J454" i="2"/>
  <c r="D454" i="2"/>
  <c r="D453" i="2"/>
  <c r="I452" i="2"/>
  <c r="I495" i="2" s="1"/>
  <c r="D452" i="2"/>
  <c r="G452" i="2"/>
  <c r="C453" i="2"/>
  <c r="C454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G453" i="2"/>
  <c r="K453" i="2" s="1"/>
  <c r="G454" i="2"/>
  <c r="K454" i="2" s="1"/>
  <c r="G461" i="2"/>
  <c r="K461" i="2" s="1"/>
  <c r="G464" i="2"/>
  <c r="K464" i="2" s="1"/>
  <c r="G466" i="2"/>
  <c r="K466" i="2" s="1"/>
  <c r="G467" i="2"/>
  <c r="K467" i="2" s="1"/>
  <c r="G470" i="2"/>
  <c r="K470" i="2"/>
  <c r="G471" i="2"/>
  <c r="K471" i="2" s="1"/>
  <c r="G472" i="2"/>
  <c r="K472" i="2" s="1"/>
  <c r="G473" i="2"/>
  <c r="K473" i="2"/>
  <c r="G474" i="2"/>
  <c r="K474" i="2"/>
  <c r="G475" i="2"/>
  <c r="K475" i="2" s="1"/>
  <c r="G476" i="2"/>
  <c r="K476" i="2" s="1"/>
  <c r="G477" i="2"/>
  <c r="K477" i="2"/>
  <c r="G478" i="2"/>
  <c r="K478" i="2" s="1"/>
  <c r="G479" i="2"/>
  <c r="K479" i="2" s="1"/>
  <c r="G480" i="2"/>
  <c r="K480" i="2" s="1"/>
  <c r="G481" i="2"/>
  <c r="K481" i="2"/>
  <c r="G482" i="2"/>
  <c r="K482" i="2"/>
  <c r="G483" i="2"/>
  <c r="K483" i="2" s="1"/>
  <c r="G484" i="2"/>
  <c r="K484" i="2" s="1"/>
  <c r="G485" i="2"/>
  <c r="K485" i="2"/>
  <c r="G492" i="2"/>
  <c r="K492" i="2" s="1"/>
  <c r="E495" i="2"/>
  <c r="F495" i="2"/>
  <c r="J495" i="2"/>
  <c r="S495" i="2" l="1"/>
  <c r="G495" i="2"/>
  <c r="K452" i="2"/>
  <c r="K495" i="2" s="1"/>
  <c r="D495" i="2"/>
  <c r="AB405" i="2"/>
  <c r="AE405" i="2" s="1"/>
  <c r="AI405" i="2" s="1"/>
  <c r="AB404" i="2"/>
  <c r="AE404" i="2" s="1"/>
  <c r="AI404" i="2" s="1"/>
  <c r="AB403" i="2"/>
  <c r="AE403" i="2" s="1"/>
  <c r="AI403" i="2" s="1"/>
  <c r="AB402" i="2"/>
  <c r="AE402" i="2" s="1"/>
  <c r="AI402" i="2" s="1"/>
  <c r="AB401" i="2"/>
  <c r="AE401" i="2" s="1"/>
  <c r="AI401" i="2" s="1"/>
  <c r="AG400" i="2"/>
  <c r="AB400" i="2"/>
  <c r="AG397" i="2"/>
  <c r="AB397" i="2"/>
  <c r="AE397" i="2"/>
  <c r="AA398" i="2"/>
  <c r="AA399" i="2" s="1"/>
  <c r="AA400" i="2" s="1"/>
  <c r="AA401" i="2" s="1"/>
  <c r="AA402" i="2" s="1"/>
  <c r="AA403" i="2" s="1"/>
  <c r="AA404" i="2" s="1"/>
  <c r="AA405" i="2" s="1"/>
  <c r="AE398" i="2"/>
  <c r="AI398" i="2" s="1"/>
  <c r="AE399" i="2"/>
  <c r="AI399" i="2" s="1"/>
  <c r="AE400" i="2"/>
  <c r="AI400" i="2" s="1"/>
  <c r="AE406" i="2"/>
  <c r="AI406" i="2"/>
  <c r="AE407" i="2"/>
  <c r="AI407" i="2"/>
  <c r="AE408" i="2"/>
  <c r="AI408" i="2"/>
  <c r="AE409" i="2"/>
  <c r="AI409" i="2" s="1"/>
  <c r="AE410" i="2"/>
  <c r="AI410" i="2" s="1"/>
  <c r="AE411" i="2"/>
  <c r="AI411" i="2"/>
  <c r="AE412" i="2"/>
  <c r="AI412" i="2"/>
  <c r="AE413" i="2"/>
  <c r="AI413" i="2" s="1"/>
  <c r="AE414" i="2"/>
  <c r="AI414" i="2"/>
  <c r="AE415" i="2"/>
  <c r="AI415" i="2"/>
  <c r="AE416" i="2"/>
  <c r="AI416" i="2"/>
  <c r="AE417" i="2"/>
  <c r="AI417" i="2" s="1"/>
  <c r="AE418" i="2"/>
  <c r="AI418" i="2" s="1"/>
  <c r="AE419" i="2"/>
  <c r="AI419" i="2"/>
  <c r="AE420" i="2"/>
  <c r="AI420" i="2"/>
  <c r="AE421" i="2"/>
  <c r="AI421" i="2" s="1"/>
  <c r="AE422" i="2"/>
  <c r="AI422" i="2"/>
  <c r="AE423" i="2"/>
  <c r="AI423" i="2"/>
  <c r="AE424" i="2"/>
  <c r="AI424" i="2" s="1"/>
  <c r="AE425" i="2"/>
  <c r="AI425" i="2" s="1"/>
  <c r="AE426" i="2"/>
  <c r="AI426" i="2" s="1"/>
  <c r="AE427" i="2"/>
  <c r="AI427" i="2"/>
  <c r="AE428" i="2"/>
  <c r="AI428" i="2"/>
  <c r="AE429" i="2"/>
  <c r="AI429" i="2" s="1"/>
  <c r="AE430" i="2"/>
  <c r="AI430" i="2"/>
  <c r="AE431" i="2"/>
  <c r="AI431" i="2"/>
  <c r="AE432" i="2"/>
  <c r="AI432" i="2"/>
  <c r="AE433" i="2"/>
  <c r="AI433" i="2" s="1"/>
  <c r="AE434" i="2"/>
  <c r="AI434" i="2" s="1"/>
  <c r="AE435" i="2"/>
  <c r="AI435" i="2"/>
  <c r="AI436" i="2"/>
  <c r="AE437" i="2"/>
  <c r="AI437" i="2"/>
  <c r="AI438" i="2"/>
  <c r="AC440" i="2"/>
  <c r="AD440" i="2"/>
  <c r="AG440" i="2"/>
  <c r="AH440" i="2"/>
  <c r="AE440" i="2" l="1"/>
  <c r="AI397" i="2"/>
  <c r="AI440" i="2" s="1"/>
  <c r="AB440" i="2"/>
  <c r="P406" i="2"/>
  <c r="P405" i="2"/>
  <c r="S405" i="2" s="1"/>
  <c r="W405" i="2" s="1"/>
  <c r="P404" i="2"/>
  <c r="S404" i="2" s="1"/>
  <c r="W404" i="2" s="1"/>
  <c r="P403" i="2"/>
  <c r="S403" i="2" s="1"/>
  <c r="W403" i="2" s="1"/>
  <c r="P402" i="2"/>
  <c r="S402" i="2" s="1"/>
  <c r="W402" i="2" s="1"/>
  <c r="P401" i="2"/>
  <c r="S401" i="2" s="1"/>
  <c r="W401" i="2" s="1"/>
  <c r="P400" i="2"/>
  <c r="V399" i="2"/>
  <c r="V440" i="2" s="1"/>
  <c r="U399" i="2"/>
  <c r="U440" i="2" s="1"/>
  <c r="P399" i="2"/>
  <c r="P398" i="2"/>
  <c r="P397" i="2"/>
  <c r="S397" i="2"/>
  <c r="W397" i="2" s="1"/>
  <c r="O398" i="2"/>
  <c r="O399" i="2" s="1"/>
  <c r="O400" i="2" s="1"/>
  <c r="O401" i="2" s="1"/>
  <c r="O402" i="2" s="1"/>
  <c r="O403" i="2" s="1"/>
  <c r="O404" i="2" s="1"/>
  <c r="O405" i="2" s="1"/>
  <c r="O406" i="2" s="1"/>
  <c r="S398" i="2"/>
  <c r="S399" i="2"/>
  <c r="W399" i="2" s="1"/>
  <c r="S406" i="2"/>
  <c r="W406" i="2" s="1"/>
  <c r="S407" i="2"/>
  <c r="W407" i="2"/>
  <c r="S408" i="2"/>
  <c r="W408" i="2"/>
  <c r="S409" i="2"/>
  <c r="W409" i="2" s="1"/>
  <c r="S410" i="2"/>
  <c r="W410" i="2" s="1"/>
  <c r="S411" i="2"/>
  <c r="W411" i="2" s="1"/>
  <c r="S412" i="2"/>
  <c r="W412" i="2" s="1"/>
  <c r="S413" i="2"/>
  <c r="W413" i="2" s="1"/>
  <c r="S414" i="2"/>
  <c r="W414" i="2"/>
  <c r="S415" i="2"/>
  <c r="W415" i="2"/>
  <c r="S416" i="2"/>
  <c r="W416" i="2"/>
  <c r="S417" i="2"/>
  <c r="W417" i="2"/>
  <c r="S418" i="2"/>
  <c r="W418" i="2" s="1"/>
  <c r="S419" i="2"/>
  <c r="W419" i="2" s="1"/>
  <c r="S420" i="2"/>
  <c r="W420" i="2" s="1"/>
  <c r="S421" i="2"/>
  <c r="W421" i="2"/>
  <c r="S422" i="2"/>
  <c r="W422" i="2" s="1"/>
  <c r="S423" i="2"/>
  <c r="W423" i="2"/>
  <c r="S424" i="2"/>
  <c r="W424" i="2"/>
  <c r="S425" i="2"/>
  <c r="W425" i="2"/>
  <c r="S426" i="2"/>
  <c r="W426" i="2" s="1"/>
  <c r="S427" i="2"/>
  <c r="W427" i="2" s="1"/>
  <c r="S428" i="2"/>
  <c r="W428" i="2"/>
  <c r="S429" i="2"/>
  <c r="W429" i="2"/>
  <c r="S430" i="2"/>
  <c r="W430" i="2"/>
  <c r="S431" i="2"/>
  <c r="W431" i="2"/>
  <c r="S432" i="2"/>
  <c r="W432" i="2"/>
  <c r="S433" i="2"/>
  <c r="W433" i="2"/>
  <c r="S434" i="2"/>
  <c r="W434" i="2" s="1"/>
  <c r="S435" i="2"/>
  <c r="W435" i="2" s="1"/>
  <c r="W436" i="2"/>
  <c r="S437" i="2"/>
  <c r="W437" i="2"/>
  <c r="W438" i="2"/>
  <c r="Q440" i="2"/>
  <c r="R440" i="2"/>
  <c r="D416" i="2"/>
  <c r="D415" i="2"/>
  <c r="G415" i="2" s="1"/>
  <c r="K415" i="2" s="1"/>
  <c r="D414" i="2"/>
  <c r="G414" i="2" s="1"/>
  <c r="K414" i="2" s="1"/>
  <c r="D413" i="2"/>
  <c r="G413" i="2" s="1"/>
  <c r="K413" i="2" s="1"/>
  <c r="D412" i="2"/>
  <c r="G412" i="2" s="1"/>
  <c r="K412" i="2" s="1"/>
  <c r="D411" i="2"/>
  <c r="G411" i="2" s="1"/>
  <c r="K411" i="2" s="1"/>
  <c r="D410" i="2"/>
  <c r="D409" i="2"/>
  <c r="D408" i="2"/>
  <c r="D407" i="2"/>
  <c r="D406" i="2"/>
  <c r="G406" i="2" s="1"/>
  <c r="K406" i="2" s="1"/>
  <c r="D405" i="2"/>
  <c r="D404" i="2"/>
  <c r="G404" i="2" s="1"/>
  <c r="K404" i="2" s="1"/>
  <c r="I403" i="2"/>
  <c r="D403" i="2"/>
  <c r="G403" i="2" s="1"/>
  <c r="K403" i="2" s="1"/>
  <c r="D402" i="2"/>
  <c r="G402" i="2" s="1"/>
  <c r="K402" i="2" s="1"/>
  <c r="D401" i="2"/>
  <c r="D400" i="2"/>
  <c r="G400" i="2" s="1"/>
  <c r="K400" i="2" s="1"/>
  <c r="I399" i="2"/>
  <c r="I440" i="2" s="1"/>
  <c r="D399" i="2"/>
  <c r="D398" i="2"/>
  <c r="D397" i="2"/>
  <c r="G397" i="2"/>
  <c r="C398" i="2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G398" i="2"/>
  <c r="K398" i="2" s="1"/>
  <c r="G399" i="2"/>
  <c r="K399" i="2" s="1"/>
  <c r="G401" i="2"/>
  <c r="K401" i="2" s="1"/>
  <c r="G405" i="2"/>
  <c r="K405" i="2" s="1"/>
  <c r="G407" i="2"/>
  <c r="K407" i="2" s="1"/>
  <c r="G408" i="2"/>
  <c r="K408" i="2" s="1"/>
  <c r="G409" i="2"/>
  <c r="K409" i="2" s="1"/>
  <c r="G410" i="2"/>
  <c r="K410" i="2" s="1"/>
  <c r="G416" i="2"/>
  <c r="K416" i="2" s="1"/>
  <c r="G417" i="2"/>
  <c r="K417" i="2" s="1"/>
  <c r="G418" i="2"/>
  <c r="K418" i="2" s="1"/>
  <c r="G419" i="2"/>
  <c r="K419" i="2"/>
  <c r="G420" i="2"/>
  <c r="K420" i="2" s="1"/>
  <c r="G421" i="2"/>
  <c r="K421" i="2"/>
  <c r="G422" i="2"/>
  <c r="K422" i="2"/>
  <c r="G423" i="2"/>
  <c r="K423" i="2"/>
  <c r="G424" i="2"/>
  <c r="K424" i="2" s="1"/>
  <c r="G425" i="2"/>
  <c r="K425" i="2"/>
  <c r="G426" i="2"/>
  <c r="K426" i="2" s="1"/>
  <c r="G427" i="2"/>
  <c r="K427" i="2"/>
  <c r="G428" i="2"/>
  <c r="K428" i="2" s="1"/>
  <c r="G429" i="2"/>
  <c r="K429" i="2"/>
  <c r="G430" i="2"/>
  <c r="K430" i="2"/>
  <c r="G437" i="2"/>
  <c r="K437" i="2"/>
  <c r="E440" i="2"/>
  <c r="F440" i="2"/>
  <c r="J440" i="2"/>
  <c r="P440" i="2" l="1"/>
  <c r="W398" i="2"/>
  <c r="S400" i="2"/>
  <c r="W400" i="2" s="1"/>
  <c r="W440" i="2" s="1"/>
  <c r="G440" i="2"/>
  <c r="K397" i="2"/>
  <c r="K440" i="2" s="1"/>
  <c r="D440" i="2"/>
  <c r="AB348" i="2"/>
  <c r="AB347" i="2"/>
  <c r="AB346" i="2"/>
  <c r="AB345" i="2"/>
  <c r="AB344" i="2"/>
  <c r="AB343" i="2"/>
  <c r="AB342" i="2"/>
  <c r="AA343" i="2"/>
  <c r="AE343" i="2"/>
  <c r="AI343" i="2" s="1"/>
  <c r="AA344" i="2"/>
  <c r="AA345" i="2" s="1"/>
  <c r="AA346" i="2" s="1"/>
  <c r="AA347" i="2" s="1"/>
  <c r="AA348" i="2" s="1"/>
  <c r="AE344" i="2"/>
  <c r="AI344" i="2" s="1"/>
  <c r="AE345" i="2"/>
  <c r="AE346" i="2"/>
  <c r="AI346" i="2" s="1"/>
  <c r="AE347" i="2"/>
  <c r="AI347" i="2"/>
  <c r="AE348" i="2"/>
  <c r="AI348" i="2" s="1"/>
  <c r="AE349" i="2"/>
  <c r="AI349" i="2" s="1"/>
  <c r="AE350" i="2"/>
  <c r="AI350" i="2" s="1"/>
  <c r="AE351" i="2"/>
  <c r="AI351" i="2" s="1"/>
  <c r="AE352" i="2"/>
  <c r="AI352" i="2"/>
  <c r="AE353" i="2"/>
  <c r="AI353" i="2" s="1"/>
  <c r="AE354" i="2"/>
  <c r="AI354" i="2" s="1"/>
  <c r="AE355" i="2"/>
  <c r="AI355" i="2" s="1"/>
  <c r="AE356" i="2"/>
  <c r="AI356" i="2"/>
  <c r="AE357" i="2"/>
  <c r="AI357" i="2" s="1"/>
  <c r="AE358" i="2"/>
  <c r="AI358" i="2" s="1"/>
  <c r="AE359" i="2"/>
  <c r="AI359" i="2"/>
  <c r="AE360" i="2"/>
  <c r="AI360" i="2"/>
  <c r="AE361" i="2"/>
  <c r="AI361" i="2" s="1"/>
  <c r="AE362" i="2"/>
  <c r="AI362" i="2" s="1"/>
  <c r="AE363" i="2"/>
  <c r="AI363" i="2"/>
  <c r="AE364" i="2"/>
  <c r="AI364" i="2"/>
  <c r="AE365" i="2"/>
  <c r="AI365" i="2" s="1"/>
  <c r="AE366" i="2"/>
  <c r="AI366" i="2" s="1"/>
  <c r="AE367" i="2"/>
  <c r="AI367" i="2"/>
  <c r="AE368" i="2"/>
  <c r="AI368" i="2"/>
  <c r="AE369" i="2"/>
  <c r="AI369" i="2" s="1"/>
  <c r="AE370" i="2"/>
  <c r="AI370" i="2" s="1"/>
  <c r="AE371" i="2"/>
  <c r="AI371" i="2"/>
  <c r="AE372" i="2"/>
  <c r="AI372" i="2"/>
  <c r="AE373" i="2"/>
  <c r="AI373" i="2" s="1"/>
  <c r="AE374" i="2"/>
  <c r="AI374" i="2" s="1"/>
  <c r="AE375" i="2"/>
  <c r="AI375" i="2"/>
  <c r="AE376" i="2"/>
  <c r="AI376" i="2"/>
  <c r="AE377" i="2"/>
  <c r="AI377" i="2" s="1"/>
  <c r="AE378" i="2"/>
  <c r="AI378" i="2" s="1"/>
  <c r="AE379" i="2"/>
  <c r="AI379" i="2"/>
  <c r="AE380" i="2"/>
  <c r="AI380" i="2"/>
  <c r="AI381" i="2"/>
  <c r="AE382" i="2"/>
  <c r="AI382" i="2"/>
  <c r="AI383" i="2"/>
  <c r="AC385" i="2"/>
  <c r="AD385" i="2"/>
  <c r="AG385" i="2"/>
  <c r="AH385" i="2"/>
  <c r="P354" i="2"/>
  <c r="P353" i="2"/>
  <c r="P352" i="2"/>
  <c r="P351" i="2"/>
  <c r="S351" i="2" s="1"/>
  <c r="W351" i="2" s="1"/>
  <c r="P350" i="2"/>
  <c r="V349" i="2"/>
  <c r="U349" i="2"/>
  <c r="P349" i="2"/>
  <c r="S349" i="2" s="1"/>
  <c r="W349" i="2" s="1"/>
  <c r="P348" i="2"/>
  <c r="S348" i="2" s="1"/>
  <c r="W348" i="2" s="1"/>
  <c r="P347" i="2"/>
  <c r="S347" i="2" s="1"/>
  <c r="W347" i="2" s="1"/>
  <c r="P346" i="2"/>
  <c r="P345" i="2"/>
  <c r="S345" i="2" s="1"/>
  <c r="W345" i="2" s="1"/>
  <c r="P344" i="2"/>
  <c r="P343" i="2"/>
  <c r="P342" i="2"/>
  <c r="S342" i="2"/>
  <c r="O343" i="2"/>
  <c r="O344" i="2" s="1"/>
  <c r="O345" i="2" s="1"/>
  <c r="O346" i="2" s="1"/>
  <c r="O347" i="2" s="1"/>
  <c r="O348" i="2" s="1"/>
  <c r="O349" i="2" s="1"/>
  <c r="O350" i="2" s="1"/>
  <c r="O352" i="2" s="1"/>
  <c r="O353" i="2" s="1"/>
  <c r="O354" i="2" s="1"/>
  <c r="S343" i="2"/>
  <c r="W343" i="2" s="1"/>
  <c r="S344" i="2"/>
  <c r="W344" i="2" s="1"/>
  <c r="S346" i="2"/>
  <c r="W346" i="2" s="1"/>
  <c r="S350" i="2"/>
  <c r="W350" i="2" s="1"/>
  <c r="S352" i="2"/>
  <c r="W352" i="2" s="1"/>
  <c r="S353" i="2"/>
  <c r="W353" i="2" s="1"/>
  <c r="S354" i="2"/>
  <c r="W354" i="2" s="1"/>
  <c r="S355" i="2"/>
  <c r="W355" i="2" s="1"/>
  <c r="S356" i="2"/>
  <c r="W356" i="2" s="1"/>
  <c r="S357" i="2"/>
  <c r="W357" i="2" s="1"/>
  <c r="S358" i="2"/>
  <c r="W358" i="2"/>
  <c r="S359" i="2"/>
  <c r="W359" i="2" s="1"/>
  <c r="S360" i="2"/>
  <c r="W360" i="2"/>
  <c r="S361" i="2"/>
  <c r="W361" i="2" s="1"/>
  <c r="S362" i="2"/>
  <c r="W362" i="2"/>
  <c r="S363" i="2"/>
  <c r="W363" i="2" s="1"/>
  <c r="S364" i="2"/>
  <c r="W364" i="2" s="1"/>
  <c r="S365" i="2"/>
  <c r="W365" i="2" s="1"/>
  <c r="S366" i="2"/>
  <c r="W366" i="2"/>
  <c r="S367" i="2"/>
  <c r="W367" i="2" s="1"/>
  <c r="S368" i="2"/>
  <c r="W368" i="2" s="1"/>
  <c r="S369" i="2"/>
  <c r="W369" i="2"/>
  <c r="S370" i="2"/>
  <c r="W370" i="2"/>
  <c r="S371" i="2"/>
  <c r="W371" i="2" s="1"/>
  <c r="S372" i="2"/>
  <c r="W372" i="2" s="1"/>
  <c r="S373" i="2"/>
  <c r="W373" i="2"/>
  <c r="S374" i="2"/>
  <c r="W374" i="2"/>
  <c r="S375" i="2"/>
  <c r="W375" i="2" s="1"/>
  <c r="S376" i="2"/>
  <c r="W376" i="2" s="1"/>
  <c r="S377" i="2"/>
  <c r="W377" i="2"/>
  <c r="S378" i="2"/>
  <c r="W378" i="2"/>
  <c r="S379" i="2"/>
  <c r="W379" i="2" s="1"/>
  <c r="S380" i="2"/>
  <c r="W380" i="2" s="1"/>
  <c r="W381" i="2"/>
  <c r="S382" i="2"/>
  <c r="W382" i="2" s="1"/>
  <c r="W383" i="2"/>
  <c r="Q385" i="2"/>
  <c r="R385" i="2"/>
  <c r="U385" i="2"/>
  <c r="V385" i="2"/>
  <c r="D363" i="2"/>
  <c r="D362" i="2"/>
  <c r="D361" i="2"/>
  <c r="G361" i="2" s="1"/>
  <c r="K361" i="2" s="1"/>
  <c r="D360" i="2"/>
  <c r="G360" i="2" s="1"/>
  <c r="K360" i="2" s="1"/>
  <c r="D359" i="2"/>
  <c r="G359" i="2" s="1"/>
  <c r="K359" i="2" s="1"/>
  <c r="D358" i="2"/>
  <c r="G358" i="2"/>
  <c r="K358" i="2" s="1"/>
  <c r="D357" i="2"/>
  <c r="D356" i="2"/>
  <c r="D355" i="2"/>
  <c r="D354" i="2"/>
  <c r="G354" i="2" s="1"/>
  <c r="K354" i="2" s="1"/>
  <c r="D353" i="2"/>
  <c r="G353" i="2" s="1"/>
  <c r="K353" i="2" s="1"/>
  <c r="D352" i="2"/>
  <c r="G352" i="2" s="1"/>
  <c r="K352" i="2" s="1"/>
  <c r="D351" i="2"/>
  <c r="G351" i="2" s="1"/>
  <c r="K351" i="2" s="1"/>
  <c r="D350" i="2"/>
  <c r="G350" i="2" s="1"/>
  <c r="K350" i="2" s="1"/>
  <c r="D349" i="2"/>
  <c r="G349" i="2" s="1"/>
  <c r="K349" i="2" s="1"/>
  <c r="D348" i="2"/>
  <c r="G348" i="2" s="1"/>
  <c r="K348" i="2" s="1"/>
  <c r="D347" i="2"/>
  <c r="G347" i="2" s="1"/>
  <c r="K347" i="2" s="1"/>
  <c r="D346" i="2"/>
  <c r="D345" i="2"/>
  <c r="D344" i="2"/>
  <c r="D343" i="2"/>
  <c r="G343" i="2" s="1"/>
  <c r="K343" i="2" s="1"/>
  <c r="D342" i="2"/>
  <c r="G342" i="2"/>
  <c r="I385" i="2"/>
  <c r="C343" i="2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G344" i="2"/>
  <c r="K344" i="2" s="1"/>
  <c r="G345" i="2"/>
  <c r="K345" i="2" s="1"/>
  <c r="G346" i="2"/>
  <c r="K346" i="2" s="1"/>
  <c r="G355" i="2"/>
  <c r="K355" i="2" s="1"/>
  <c r="G356" i="2"/>
  <c r="K356" i="2" s="1"/>
  <c r="G357" i="2"/>
  <c r="K357" i="2" s="1"/>
  <c r="G362" i="2"/>
  <c r="K362" i="2"/>
  <c r="G363" i="2"/>
  <c r="K363" i="2" s="1"/>
  <c r="G364" i="2"/>
  <c r="K364" i="2" s="1"/>
  <c r="G365" i="2"/>
  <c r="K365" i="2"/>
  <c r="G366" i="2"/>
  <c r="K366" i="2" s="1"/>
  <c r="G367" i="2"/>
  <c r="K367" i="2"/>
  <c r="G368" i="2"/>
  <c r="K368" i="2"/>
  <c r="G369" i="2"/>
  <c r="K369" i="2" s="1"/>
  <c r="G370" i="2"/>
  <c r="K370" i="2"/>
  <c r="G371" i="2"/>
  <c r="K371" i="2" s="1"/>
  <c r="G372" i="2"/>
  <c r="K372" i="2"/>
  <c r="G373" i="2"/>
  <c r="K373" i="2"/>
  <c r="G374" i="2"/>
  <c r="K374" i="2"/>
  <c r="G375" i="2"/>
  <c r="K375" i="2"/>
  <c r="G382" i="2"/>
  <c r="K382" i="2"/>
  <c r="E385" i="2"/>
  <c r="F385" i="2"/>
  <c r="J385" i="2"/>
  <c r="S440" i="2" l="1"/>
  <c r="AB385" i="2"/>
  <c r="AE342" i="2"/>
  <c r="AI342" i="2" s="1"/>
  <c r="AI345" i="2"/>
  <c r="P385" i="2"/>
  <c r="S385" i="2"/>
  <c r="W342" i="2"/>
  <c r="W385" i="2" s="1"/>
  <c r="G385" i="2"/>
  <c r="D385" i="2"/>
  <c r="K342" i="2"/>
  <c r="K385" i="2" s="1"/>
  <c r="AB290" i="2"/>
  <c r="AB289" i="2"/>
  <c r="AB288" i="2"/>
  <c r="AB287" i="2"/>
  <c r="AE287" i="2"/>
  <c r="AI287" i="2" s="1"/>
  <c r="AA288" i="2"/>
  <c r="AA289" i="2" s="1"/>
  <c r="AA290" i="2" s="1"/>
  <c r="AE288" i="2"/>
  <c r="AI288" i="2" s="1"/>
  <c r="AE289" i="2"/>
  <c r="AI289" i="2" s="1"/>
  <c r="AE290" i="2"/>
  <c r="AI290" i="2" s="1"/>
  <c r="AE291" i="2"/>
  <c r="AI291" i="2" s="1"/>
  <c r="AE292" i="2"/>
  <c r="AI292" i="2" s="1"/>
  <c r="AE293" i="2"/>
  <c r="AI293" i="2" s="1"/>
  <c r="AE294" i="2"/>
  <c r="AG330" i="2"/>
  <c r="AI294" i="2"/>
  <c r="AE295" i="2"/>
  <c r="AI295" i="2" s="1"/>
  <c r="AE296" i="2"/>
  <c r="AI296" i="2" s="1"/>
  <c r="AE297" i="2"/>
  <c r="AI297" i="2"/>
  <c r="AE298" i="2"/>
  <c r="AI298" i="2"/>
  <c r="AE299" i="2"/>
  <c r="AI299" i="2"/>
  <c r="AE300" i="2"/>
  <c r="AI300" i="2"/>
  <c r="AE301" i="2"/>
  <c r="AI301" i="2"/>
  <c r="AE302" i="2"/>
  <c r="AI302" i="2"/>
  <c r="AE303" i="2"/>
  <c r="AI303" i="2" s="1"/>
  <c r="AE304" i="2"/>
  <c r="AI304" i="2" s="1"/>
  <c r="AE305" i="2"/>
  <c r="AI305" i="2"/>
  <c r="AE306" i="2"/>
  <c r="AI306" i="2"/>
  <c r="AE307" i="2"/>
  <c r="AI307" i="2"/>
  <c r="AE308" i="2"/>
  <c r="AI308" i="2"/>
  <c r="AE309" i="2"/>
  <c r="AI309" i="2"/>
  <c r="AE310" i="2"/>
  <c r="AI310" i="2"/>
  <c r="AE311" i="2"/>
  <c r="AI311" i="2" s="1"/>
  <c r="AE312" i="2"/>
  <c r="AI312" i="2" s="1"/>
  <c r="AE313" i="2"/>
  <c r="AI313" i="2"/>
  <c r="AE314" i="2"/>
  <c r="AI314" i="2"/>
  <c r="AE315" i="2"/>
  <c r="AI315" i="2"/>
  <c r="AE316" i="2"/>
  <c r="AI316" i="2"/>
  <c r="AE317" i="2"/>
  <c r="AI317" i="2"/>
  <c r="AE318" i="2"/>
  <c r="AI318" i="2"/>
  <c r="AE319" i="2"/>
  <c r="AI319" i="2" s="1"/>
  <c r="AE320" i="2"/>
  <c r="AI320" i="2" s="1"/>
  <c r="AE321" i="2"/>
  <c r="AI321" i="2"/>
  <c r="AE322" i="2"/>
  <c r="AI322" i="2"/>
  <c r="AE323" i="2"/>
  <c r="AI323" i="2"/>
  <c r="AE324" i="2"/>
  <c r="AI324" i="2"/>
  <c r="AE325" i="2"/>
  <c r="AI325" i="2"/>
  <c r="AI326" i="2"/>
  <c r="AE327" i="2"/>
  <c r="AI327" i="2"/>
  <c r="AI328" i="2"/>
  <c r="AC330" i="2"/>
  <c r="AD330" i="2"/>
  <c r="AH330" i="2"/>
  <c r="P308" i="2"/>
  <c r="P307" i="2"/>
  <c r="P306" i="2"/>
  <c r="P305" i="2"/>
  <c r="P304" i="2"/>
  <c r="S304" i="2" s="1"/>
  <c r="W304" i="2" s="1"/>
  <c r="P303" i="2"/>
  <c r="S303" i="2" s="1"/>
  <c r="W303" i="2" s="1"/>
  <c r="P302" i="2"/>
  <c r="P301" i="2"/>
  <c r="P300" i="2"/>
  <c r="S300" i="2" s="1"/>
  <c r="W300" i="2" s="1"/>
  <c r="P299" i="2"/>
  <c r="S299" i="2" s="1"/>
  <c r="W299" i="2" s="1"/>
  <c r="P298" i="2"/>
  <c r="P297" i="2"/>
  <c r="S297" i="2" s="1"/>
  <c r="W297" i="2" s="1"/>
  <c r="P296" i="2"/>
  <c r="S296" i="2" s="1"/>
  <c r="W296" i="2" s="1"/>
  <c r="P295" i="2"/>
  <c r="S295" i="2" s="1"/>
  <c r="W295" i="2" s="1"/>
  <c r="P294" i="2"/>
  <c r="S294" i="2" s="1"/>
  <c r="W294" i="2" s="1"/>
  <c r="P293" i="2"/>
  <c r="S293" i="2" s="1"/>
  <c r="W293" i="2" s="1"/>
  <c r="P292" i="2"/>
  <c r="S292" i="2" s="1"/>
  <c r="W292" i="2" s="1"/>
  <c r="P291" i="2"/>
  <c r="S291" i="2" s="1"/>
  <c r="W291" i="2" s="1"/>
  <c r="P290" i="2"/>
  <c r="P289" i="2"/>
  <c r="P288" i="2"/>
  <c r="P287" i="2"/>
  <c r="S287" i="2" s="1"/>
  <c r="W287" i="2" s="1"/>
  <c r="O288" i="2"/>
  <c r="S288" i="2"/>
  <c r="W288" i="2" s="1"/>
  <c r="O289" i="2"/>
  <c r="S289" i="2"/>
  <c r="W289" i="2" s="1"/>
  <c r="O290" i="2"/>
  <c r="S290" i="2"/>
  <c r="W290" i="2" s="1"/>
  <c r="O291" i="2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S298" i="2"/>
  <c r="W298" i="2" s="1"/>
  <c r="S301" i="2"/>
  <c r="W301" i="2" s="1"/>
  <c r="S302" i="2"/>
  <c r="W302" i="2" s="1"/>
  <c r="S305" i="2"/>
  <c r="W305" i="2" s="1"/>
  <c r="S306" i="2"/>
  <c r="W306" i="2" s="1"/>
  <c r="S307" i="2"/>
  <c r="W307" i="2" s="1"/>
  <c r="S308" i="2"/>
  <c r="W308" i="2" s="1"/>
  <c r="S309" i="2"/>
  <c r="W309" i="2"/>
  <c r="S310" i="2"/>
  <c r="W310" i="2" s="1"/>
  <c r="S311" i="2"/>
  <c r="W311" i="2"/>
  <c r="S312" i="2"/>
  <c r="W312" i="2"/>
  <c r="S313" i="2"/>
  <c r="W313" i="2" s="1"/>
  <c r="S314" i="2"/>
  <c r="W314" i="2" s="1"/>
  <c r="S315" i="2"/>
  <c r="W315" i="2"/>
  <c r="S316" i="2"/>
  <c r="W316" i="2"/>
  <c r="S317" i="2"/>
  <c r="W317" i="2"/>
  <c r="S318" i="2"/>
  <c r="W318" i="2" s="1"/>
  <c r="S319" i="2"/>
  <c r="W319" i="2"/>
  <c r="S320" i="2"/>
  <c r="W320" i="2"/>
  <c r="S321" i="2"/>
  <c r="W321" i="2" s="1"/>
  <c r="S322" i="2"/>
  <c r="W322" i="2" s="1"/>
  <c r="S323" i="2"/>
  <c r="W323" i="2"/>
  <c r="S324" i="2"/>
  <c r="W324" i="2"/>
  <c r="S325" i="2"/>
  <c r="W325" i="2"/>
  <c r="W326" i="2"/>
  <c r="S327" i="2"/>
  <c r="W327" i="2" s="1"/>
  <c r="W328" i="2"/>
  <c r="Q330" i="2"/>
  <c r="R330" i="2"/>
  <c r="U330" i="2"/>
  <c r="V330" i="2"/>
  <c r="D298" i="2"/>
  <c r="G298" i="2" s="1"/>
  <c r="K298" i="2" s="1"/>
  <c r="D297" i="2"/>
  <c r="D296" i="2"/>
  <c r="G296" i="2" s="1"/>
  <c r="K296" i="2" s="1"/>
  <c r="D295" i="2"/>
  <c r="G295" i="2" s="1"/>
  <c r="K295" i="2" s="1"/>
  <c r="D294" i="2"/>
  <c r="G294" i="2" s="1"/>
  <c r="K294" i="2" s="1"/>
  <c r="D293" i="2"/>
  <c r="G293" i="2" s="1"/>
  <c r="K293" i="2" s="1"/>
  <c r="D292" i="2"/>
  <c r="G292" i="2" s="1"/>
  <c r="K292" i="2" s="1"/>
  <c r="D291" i="2"/>
  <c r="D290" i="2"/>
  <c r="G290" i="2" s="1"/>
  <c r="K290" i="2" s="1"/>
  <c r="D289" i="2"/>
  <c r="D288" i="2"/>
  <c r="I287" i="2"/>
  <c r="D287" i="2"/>
  <c r="G287" i="2" s="1"/>
  <c r="K287" i="2" s="1"/>
  <c r="C288" i="2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G288" i="2"/>
  <c r="K288" i="2" s="1"/>
  <c r="G289" i="2"/>
  <c r="K289" i="2" s="1"/>
  <c r="G291" i="2"/>
  <c r="K291" i="2" s="1"/>
  <c r="G297" i="2"/>
  <c r="K297" i="2" s="1"/>
  <c r="G299" i="2"/>
  <c r="K299" i="2" s="1"/>
  <c r="G300" i="2"/>
  <c r="K300" i="2" s="1"/>
  <c r="G301" i="2"/>
  <c r="K301" i="2" s="1"/>
  <c r="G302" i="2"/>
  <c r="K302" i="2" s="1"/>
  <c r="G303" i="2"/>
  <c r="K303" i="2" s="1"/>
  <c r="G304" i="2"/>
  <c r="K304" i="2" s="1"/>
  <c r="G305" i="2"/>
  <c r="K305" i="2"/>
  <c r="G306" i="2"/>
  <c r="K306" i="2" s="1"/>
  <c r="G307" i="2"/>
  <c r="K307" i="2"/>
  <c r="G308" i="2"/>
  <c r="K308" i="2" s="1"/>
  <c r="G309" i="2"/>
  <c r="K309" i="2"/>
  <c r="G310" i="2"/>
  <c r="K310" i="2"/>
  <c r="G311" i="2"/>
  <c r="K311" i="2"/>
  <c r="G312" i="2"/>
  <c r="K312" i="2" s="1"/>
  <c r="G313" i="2"/>
  <c r="K313" i="2"/>
  <c r="G314" i="2"/>
  <c r="K314" i="2" s="1"/>
  <c r="G315" i="2"/>
  <c r="K315" i="2"/>
  <c r="G316" i="2"/>
  <c r="K316" i="2" s="1"/>
  <c r="G317" i="2"/>
  <c r="K317" i="2"/>
  <c r="G318" i="2"/>
  <c r="K318" i="2"/>
  <c r="G319" i="2"/>
  <c r="K319" i="2"/>
  <c r="G320" i="2"/>
  <c r="K320" i="2" s="1"/>
  <c r="G327" i="2"/>
  <c r="K327" i="2"/>
  <c r="E330" i="2"/>
  <c r="F330" i="2"/>
  <c r="I330" i="2"/>
  <c r="J330" i="2"/>
  <c r="AI385" i="2" l="1"/>
  <c r="AE385" i="2"/>
  <c r="AI330" i="2"/>
  <c r="AE330" i="2"/>
  <c r="AB330" i="2"/>
  <c r="P330" i="2"/>
  <c r="W330" i="2"/>
  <c r="S330" i="2"/>
  <c r="K330" i="2"/>
  <c r="G330" i="2"/>
  <c r="D330" i="2"/>
  <c r="AB241" i="2"/>
  <c r="AB240" i="2"/>
  <c r="AE240" i="2" s="1"/>
  <c r="AI240" i="2" s="1"/>
  <c r="AG239" i="2"/>
  <c r="AB239" i="2"/>
  <c r="AE239" i="2" s="1"/>
  <c r="AI239" i="2" s="1"/>
  <c r="AB238" i="2"/>
  <c r="AE238" i="2" s="1"/>
  <c r="AI238" i="2" s="1"/>
  <c r="AB237" i="2"/>
  <c r="AB236" i="2"/>
  <c r="AB235" i="2"/>
  <c r="AE235" i="2" s="1"/>
  <c r="AI235" i="2" s="1"/>
  <c r="AB234" i="2"/>
  <c r="AE234" i="2" s="1"/>
  <c r="AI234" i="2" s="1"/>
  <c r="AB233" i="2"/>
  <c r="AB232" i="2"/>
  <c r="AE232" i="2"/>
  <c r="AA233" i="2"/>
  <c r="AA234" i="2" s="1"/>
  <c r="AA235" i="2" s="1"/>
  <c r="AA236" i="2" s="1"/>
  <c r="AA237" i="2" s="1"/>
  <c r="AA238" i="2" s="1"/>
  <c r="AA239" i="2" s="1"/>
  <c r="AA240" i="2" s="1"/>
  <c r="AA241" i="2" s="1"/>
  <c r="AE233" i="2"/>
  <c r="AE236" i="2"/>
  <c r="AI236" i="2" s="1"/>
  <c r="AE237" i="2"/>
  <c r="AI237" i="2" s="1"/>
  <c r="AE241" i="2"/>
  <c r="AI241" i="2" s="1"/>
  <c r="AE242" i="2"/>
  <c r="AI242" i="2"/>
  <c r="AE243" i="2"/>
  <c r="AI243" i="2"/>
  <c r="AE244" i="2"/>
  <c r="AI244" i="2" s="1"/>
  <c r="AE245" i="2"/>
  <c r="AI245" i="2" s="1"/>
  <c r="AE246" i="2"/>
  <c r="AI246" i="2"/>
  <c r="AE247" i="2"/>
  <c r="AI247" i="2"/>
  <c r="AE248" i="2"/>
  <c r="AI248" i="2"/>
  <c r="AE249" i="2"/>
  <c r="AI249" i="2"/>
  <c r="AE250" i="2"/>
  <c r="AI250" i="2"/>
  <c r="AE251" i="2"/>
  <c r="AI251" i="2"/>
  <c r="AE252" i="2"/>
  <c r="AI252" i="2" s="1"/>
  <c r="AE253" i="2"/>
  <c r="AI253" i="2" s="1"/>
  <c r="AE254" i="2"/>
  <c r="AI254" i="2"/>
  <c r="AE255" i="2"/>
  <c r="AI255" i="2"/>
  <c r="AE256" i="2"/>
  <c r="AI256" i="2"/>
  <c r="AE257" i="2"/>
  <c r="AI257" i="2"/>
  <c r="AE258" i="2"/>
  <c r="AI258" i="2"/>
  <c r="AE259" i="2"/>
  <c r="AI259" i="2"/>
  <c r="AE260" i="2"/>
  <c r="AI260" i="2" s="1"/>
  <c r="AE261" i="2"/>
  <c r="AI261" i="2" s="1"/>
  <c r="AE262" i="2"/>
  <c r="AI262" i="2"/>
  <c r="AE263" i="2"/>
  <c r="AI263" i="2"/>
  <c r="AE264" i="2"/>
  <c r="AI264" i="2"/>
  <c r="AE265" i="2"/>
  <c r="AI265" i="2"/>
  <c r="AE266" i="2"/>
  <c r="AI266" i="2"/>
  <c r="AE267" i="2"/>
  <c r="AI267" i="2"/>
  <c r="AE268" i="2"/>
  <c r="AI268" i="2" s="1"/>
  <c r="AE269" i="2"/>
  <c r="AI269" i="2" s="1"/>
  <c r="AE270" i="2"/>
  <c r="AI270" i="2"/>
  <c r="AI271" i="2"/>
  <c r="AE272" i="2"/>
  <c r="AI272" i="2" s="1"/>
  <c r="AI273" i="2"/>
  <c r="AC275" i="2"/>
  <c r="AD275" i="2"/>
  <c r="AH275" i="2"/>
  <c r="P248" i="2"/>
  <c r="S248" i="2" s="1"/>
  <c r="W248" i="2" s="1"/>
  <c r="P247" i="2"/>
  <c r="P246" i="2"/>
  <c r="S246" i="2" s="1"/>
  <c r="W246" i="2" s="1"/>
  <c r="P245" i="2"/>
  <c r="P244" i="2"/>
  <c r="P243" i="2"/>
  <c r="S243" i="2" s="1"/>
  <c r="W243" i="2" s="1"/>
  <c r="P242" i="2"/>
  <c r="P241" i="2"/>
  <c r="P240" i="2"/>
  <c r="P239" i="2"/>
  <c r="P238" i="2"/>
  <c r="S238" i="2" s="1"/>
  <c r="W238" i="2" s="1"/>
  <c r="P237" i="2"/>
  <c r="P236" i="2"/>
  <c r="P235" i="2"/>
  <c r="P234" i="2"/>
  <c r="P233" i="2"/>
  <c r="P232" i="2"/>
  <c r="S232" i="2" s="1"/>
  <c r="W232" i="2" s="1"/>
  <c r="O237" i="2"/>
  <c r="O238" i="2" s="1"/>
  <c r="O239" i="2" s="1"/>
  <c r="O240" i="2" s="1"/>
  <c r="O241" i="2" s="1"/>
  <c r="O242" i="2" s="1"/>
  <c r="O243" i="2" s="1"/>
  <c r="O244" i="2" s="1"/>
  <c r="O245" i="2" s="1"/>
  <c r="O246" i="2" s="1"/>
  <c r="O247" i="2" s="1"/>
  <c r="O248" i="2" s="1"/>
  <c r="O233" i="2"/>
  <c r="O234" i="2" s="1"/>
  <c r="O235" i="2" s="1"/>
  <c r="O236" i="2" s="1"/>
  <c r="S234" i="2"/>
  <c r="W234" i="2" s="1"/>
  <c r="S235" i="2"/>
  <c r="W235" i="2" s="1"/>
  <c r="S237" i="2"/>
  <c r="W237" i="2" s="1"/>
  <c r="S239" i="2"/>
  <c r="W239" i="2"/>
  <c r="S240" i="2"/>
  <c r="W240" i="2"/>
  <c r="S241" i="2"/>
  <c r="W241" i="2" s="1"/>
  <c r="S242" i="2"/>
  <c r="W242" i="2" s="1"/>
  <c r="S244" i="2"/>
  <c r="W244" i="2" s="1"/>
  <c r="S245" i="2"/>
  <c r="W245" i="2" s="1"/>
  <c r="S247" i="2"/>
  <c r="W247" i="2"/>
  <c r="S249" i="2"/>
  <c r="W249" i="2" s="1"/>
  <c r="S250" i="2"/>
  <c r="W250" i="2" s="1"/>
  <c r="S251" i="2"/>
  <c r="W251" i="2"/>
  <c r="S252" i="2"/>
  <c r="W252" i="2"/>
  <c r="S253" i="2"/>
  <c r="W253" i="2" s="1"/>
  <c r="S254" i="2"/>
  <c r="W254" i="2"/>
  <c r="S255" i="2"/>
  <c r="W255" i="2" s="1"/>
  <c r="S256" i="2"/>
  <c r="W256" i="2"/>
  <c r="S257" i="2"/>
  <c r="W257" i="2" s="1"/>
  <c r="S258" i="2"/>
  <c r="W258" i="2" s="1"/>
  <c r="S259" i="2"/>
  <c r="W259" i="2"/>
  <c r="S260" i="2"/>
  <c r="W260" i="2"/>
  <c r="S261" i="2"/>
  <c r="W261" i="2"/>
  <c r="S262" i="2"/>
  <c r="W262" i="2"/>
  <c r="S263" i="2"/>
  <c r="W263" i="2"/>
  <c r="S264" i="2"/>
  <c r="W264" i="2"/>
  <c r="S265" i="2"/>
  <c r="W265" i="2" s="1"/>
  <c r="S266" i="2"/>
  <c r="W266" i="2" s="1"/>
  <c r="S267" i="2"/>
  <c r="W267" i="2"/>
  <c r="S268" i="2"/>
  <c r="W268" i="2"/>
  <c r="S269" i="2"/>
  <c r="W269" i="2"/>
  <c r="S270" i="2"/>
  <c r="W270" i="2"/>
  <c r="W271" i="2"/>
  <c r="S272" i="2"/>
  <c r="W272" i="2" s="1"/>
  <c r="W273" i="2"/>
  <c r="Q275" i="2"/>
  <c r="R275" i="2"/>
  <c r="U275" i="2"/>
  <c r="V275" i="2"/>
  <c r="D249" i="2"/>
  <c r="G249" i="2" s="1"/>
  <c r="K249" i="2" s="1"/>
  <c r="D248" i="2"/>
  <c r="D247" i="2"/>
  <c r="G247" i="2" s="1"/>
  <c r="K247" i="2" s="1"/>
  <c r="D246" i="2"/>
  <c r="D245" i="2"/>
  <c r="D244" i="2"/>
  <c r="G244" i="2" s="1"/>
  <c r="K244" i="2" s="1"/>
  <c r="D243" i="2"/>
  <c r="D242" i="2"/>
  <c r="G242" i="2" s="1"/>
  <c r="K242" i="2" s="1"/>
  <c r="D241" i="2"/>
  <c r="G241" i="2" s="1"/>
  <c r="K241" i="2" s="1"/>
  <c r="D240" i="2"/>
  <c r="G240" i="2" s="1"/>
  <c r="K240" i="2" s="1"/>
  <c r="D239" i="2"/>
  <c r="G239" i="2" s="1"/>
  <c r="K239" i="2" s="1"/>
  <c r="D238" i="2"/>
  <c r="G238" i="2" s="1"/>
  <c r="K238" i="2" s="1"/>
  <c r="D237" i="2"/>
  <c r="G237" i="2" s="1"/>
  <c r="K237" i="2" s="1"/>
  <c r="G236" i="2"/>
  <c r="K236" i="2" s="1"/>
  <c r="D235" i="2"/>
  <c r="D234" i="2"/>
  <c r="D233" i="2"/>
  <c r="D232" i="2"/>
  <c r="G232" i="2"/>
  <c r="C233" i="2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G233" i="2"/>
  <c r="K233" i="2" s="1"/>
  <c r="I275" i="2"/>
  <c r="G235" i="2"/>
  <c r="K235" i="2" s="1"/>
  <c r="G243" i="2"/>
  <c r="K243" i="2" s="1"/>
  <c r="G245" i="2"/>
  <c r="K245" i="2"/>
  <c r="G246" i="2"/>
  <c r="K246" i="2" s="1"/>
  <c r="G248" i="2"/>
  <c r="K248" i="2" s="1"/>
  <c r="G250" i="2"/>
  <c r="K250" i="2" s="1"/>
  <c r="G251" i="2"/>
  <c r="K251" i="2"/>
  <c r="G252" i="2"/>
  <c r="K252" i="2" s="1"/>
  <c r="G253" i="2"/>
  <c r="K253" i="2"/>
  <c r="G254" i="2"/>
  <c r="K254" i="2" s="1"/>
  <c r="G255" i="2"/>
  <c r="K255" i="2"/>
  <c r="G256" i="2"/>
  <c r="K256" i="2"/>
  <c r="G257" i="2"/>
  <c r="K257" i="2"/>
  <c r="G258" i="2"/>
  <c r="K258" i="2"/>
  <c r="G259" i="2"/>
  <c r="K259" i="2"/>
  <c r="G260" i="2"/>
  <c r="K260" i="2" s="1"/>
  <c r="G261" i="2"/>
  <c r="K261" i="2"/>
  <c r="G262" i="2"/>
  <c r="K262" i="2" s="1"/>
  <c r="G263" i="2"/>
  <c r="K263" i="2"/>
  <c r="G264" i="2"/>
  <c r="K264" i="2"/>
  <c r="G265" i="2"/>
  <c r="K265" i="2"/>
  <c r="G272" i="2"/>
  <c r="K272" i="2"/>
  <c r="E275" i="2"/>
  <c r="F275" i="2"/>
  <c r="J275" i="2"/>
  <c r="AI232" i="2" l="1"/>
  <c r="AI233" i="2"/>
  <c r="AE275" i="2"/>
  <c r="AG275" i="2"/>
  <c r="AB275" i="2"/>
  <c r="P275" i="2"/>
  <c r="S236" i="2"/>
  <c r="W236" i="2" s="1"/>
  <c r="S233" i="2"/>
  <c r="W233" i="2" s="1"/>
  <c r="D275" i="2"/>
  <c r="K232" i="2"/>
  <c r="G234" i="2"/>
  <c r="K234" i="2" s="1"/>
  <c r="V183" i="2"/>
  <c r="V220" i="2" s="1"/>
  <c r="P183" i="2"/>
  <c r="S183" i="2" s="1"/>
  <c r="P182" i="2"/>
  <c r="P220" i="2" s="1"/>
  <c r="P181" i="2"/>
  <c r="P180" i="2"/>
  <c r="P179" i="2"/>
  <c r="P178" i="2"/>
  <c r="P177" i="2"/>
  <c r="O177" i="2"/>
  <c r="O178" i="2" s="1"/>
  <c r="O179" i="2" s="1"/>
  <c r="O180" i="2" s="1"/>
  <c r="O181" i="2" s="1"/>
  <c r="O183" i="2" s="1"/>
  <c r="S177" i="2"/>
  <c r="W177" i="2" s="1"/>
  <c r="S178" i="2"/>
  <c r="W178" i="2" s="1"/>
  <c r="S179" i="2"/>
  <c r="W179" i="2" s="1"/>
  <c r="S180" i="2"/>
  <c r="S181" i="2"/>
  <c r="W181" i="2" s="1"/>
  <c r="S184" i="2"/>
  <c r="W184" i="2"/>
  <c r="S185" i="2"/>
  <c r="W185" i="2"/>
  <c r="S186" i="2"/>
  <c r="W186" i="2" s="1"/>
  <c r="S187" i="2"/>
  <c r="W187" i="2" s="1"/>
  <c r="S188" i="2"/>
  <c r="W188" i="2"/>
  <c r="S189" i="2"/>
  <c r="W189" i="2" s="1"/>
  <c r="S190" i="2"/>
  <c r="W190" i="2" s="1"/>
  <c r="S191" i="2"/>
  <c r="W191" i="2" s="1"/>
  <c r="S192" i="2"/>
  <c r="U220" i="2"/>
  <c r="W192" i="2"/>
  <c r="S193" i="2"/>
  <c r="W193" i="2"/>
  <c r="S194" i="2"/>
  <c r="W194" i="2" s="1"/>
  <c r="S195" i="2"/>
  <c r="W195" i="2" s="1"/>
  <c r="S196" i="2"/>
  <c r="W196" i="2" s="1"/>
  <c r="S197" i="2"/>
  <c r="W197" i="2"/>
  <c r="S198" i="2"/>
  <c r="W198" i="2"/>
  <c r="S199" i="2"/>
  <c r="W199" i="2"/>
  <c r="S200" i="2"/>
  <c r="W200" i="2"/>
  <c r="S201" i="2"/>
  <c r="W201" i="2"/>
  <c r="S202" i="2"/>
  <c r="W202" i="2" s="1"/>
  <c r="S203" i="2"/>
  <c r="W203" i="2" s="1"/>
  <c r="S204" i="2"/>
  <c r="W204" i="2" s="1"/>
  <c r="S205" i="2"/>
  <c r="W205" i="2" s="1"/>
  <c r="S206" i="2"/>
  <c r="W206" i="2"/>
  <c r="S207" i="2"/>
  <c r="W207" i="2"/>
  <c r="S208" i="2"/>
  <c r="W208" i="2"/>
  <c r="S209" i="2"/>
  <c r="W209" i="2"/>
  <c r="S210" i="2"/>
  <c r="W210" i="2" s="1"/>
  <c r="S211" i="2"/>
  <c r="W211" i="2"/>
  <c r="S212" i="2"/>
  <c r="W212" i="2" s="1"/>
  <c r="S213" i="2"/>
  <c r="W213" i="2"/>
  <c r="S214" i="2"/>
  <c r="W214" i="2"/>
  <c r="S215" i="2"/>
  <c r="W215" i="2"/>
  <c r="W216" i="2"/>
  <c r="S217" i="2"/>
  <c r="W217" i="2" s="1"/>
  <c r="W218" i="2"/>
  <c r="Q220" i="2"/>
  <c r="R220" i="2"/>
  <c r="AI275" i="2" l="1"/>
  <c r="W275" i="2"/>
  <c r="S275" i="2"/>
  <c r="K275" i="2"/>
  <c r="G275" i="2"/>
  <c r="W183" i="2"/>
  <c r="S182" i="2"/>
  <c r="W182" i="2" s="1"/>
  <c r="W180" i="2"/>
  <c r="D196" i="2"/>
  <c r="D195" i="2"/>
  <c r="D194" i="2"/>
  <c r="D193" i="2"/>
  <c r="G193" i="2" s="1"/>
  <c r="K193" i="2" s="1"/>
  <c r="D192" i="2"/>
  <c r="G192" i="2" s="1"/>
  <c r="K192" i="2" s="1"/>
  <c r="D191" i="2"/>
  <c r="G191" i="2" s="1"/>
  <c r="K191" i="2" s="1"/>
  <c r="D190" i="2"/>
  <c r="G190" i="2" s="1"/>
  <c r="K190" i="2" s="1"/>
  <c r="D189" i="2"/>
  <c r="D188" i="2"/>
  <c r="D187" i="2"/>
  <c r="D186" i="2"/>
  <c r="D185" i="2"/>
  <c r="D184" i="2"/>
  <c r="D183" i="2"/>
  <c r="G183" i="2" s="1"/>
  <c r="K183" i="2" s="1"/>
  <c r="D182" i="2"/>
  <c r="D181" i="2"/>
  <c r="G181" i="2" s="1"/>
  <c r="K181" i="2" s="1"/>
  <c r="D180" i="2"/>
  <c r="G180" i="2" s="1"/>
  <c r="K180" i="2" s="1"/>
  <c r="D179" i="2"/>
  <c r="I178" i="2"/>
  <c r="D178" i="2"/>
  <c r="D177" i="2"/>
  <c r="C179" i="2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G177" i="2"/>
  <c r="K177" i="2" s="1"/>
  <c r="C178" i="2"/>
  <c r="G178" i="2"/>
  <c r="K178" i="2" s="1"/>
  <c r="G179" i="2"/>
  <c r="K179" i="2" s="1"/>
  <c r="G182" i="2"/>
  <c r="K182" i="2" s="1"/>
  <c r="G184" i="2"/>
  <c r="K184" i="2"/>
  <c r="G185" i="2"/>
  <c r="K185" i="2" s="1"/>
  <c r="G186" i="2"/>
  <c r="K186" i="2" s="1"/>
  <c r="G187" i="2"/>
  <c r="K187" i="2" s="1"/>
  <c r="G188" i="2"/>
  <c r="K188" i="2" s="1"/>
  <c r="G189" i="2"/>
  <c r="K189" i="2" s="1"/>
  <c r="G194" i="2"/>
  <c r="K194" i="2"/>
  <c r="G195" i="2"/>
  <c r="K195" i="2" s="1"/>
  <c r="G196" i="2"/>
  <c r="K196" i="2" s="1"/>
  <c r="G197" i="2"/>
  <c r="K197" i="2" s="1"/>
  <c r="G198" i="2"/>
  <c r="K198" i="2"/>
  <c r="G199" i="2"/>
  <c r="K199" i="2"/>
  <c r="G200" i="2"/>
  <c r="K200" i="2"/>
  <c r="G201" i="2"/>
  <c r="K201" i="2"/>
  <c r="G202" i="2"/>
  <c r="K202" i="2"/>
  <c r="G203" i="2"/>
  <c r="K203" i="2" s="1"/>
  <c r="G204" i="2"/>
  <c r="K204" i="2"/>
  <c r="G205" i="2"/>
  <c r="K205" i="2" s="1"/>
  <c r="G206" i="2"/>
  <c r="K206" i="2"/>
  <c r="G207" i="2"/>
  <c r="K207" i="2"/>
  <c r="G208" i="2"/>
  <c r="K208" i="2"/>
  <c r="G209" i="2"/>
  <c r="K209" i="2"/>
  <c r="G210" i="2"/>
  <c r="K210" i="2"/>
  <c r="G217" i="2"/>
  <c r="K217" i="2" s="1"/>
  <c r="E220" i="2"/>
  <c r="F220" i="2"/>
  <c r="I220" i="2"/>
  <c r="J220" i="2"/>
  <c r="AB187" i="2"/>
  <c r="AE187" i="2" s="1"/>
  <c r="AI187" i="2" s="1"/>
  <c r="AB186" i="2"/>
  <c r="AG185" i="2"/>
  <c r="AB185" i="2"/>
  <c r="AE185" i="2" s="1"/>
  <c r="AI185" i="2" s="1"/>
  <c r="AB184" i="2"/>
  <c r="AE184" i="2" s="1"/>
  <c r="AI184" i="2" s="1"/>
  <c r="AB183" i="2"/>
  <c r="AE183" i="2" s="1"/>
  <c r="AI183" i="2" s="1"/>
  <c r="AB182" i="2"/>
  <c r="AB181" i="2"/>
  <c r="AE181" i="2" s="1"/>
  <c r="AI181" i="2" s="1"/>
  <c r="AB180" i="2"/>
  <c r="AB179" i="2"/>
  <c r="AB178" i="2"/>
  <c r="AG178" i="2"/>
  <c r="AG177" i="2"/>
  <c r="AB177" i="2"/>
  <c r="AE177" i="2" s="1"/>
  <c r="AI177" i="2" s="1"/>
  <c r="AA178" i="2"/>
  <c r="AA179" i="2" s="1"/>
  <c r="AA180" i="2" s="1"/>
  <c r="AA181" i="2" s="1"/>
  <c r="AA182" i="2" s="1"/>
  <c r="AA183" i="2" s="1"/>
  <c r="AA184" i="2" s="1"/>
  <c r="AA185" i="2" s="1"/>
  <c r="AA186" i="2" s="1"/>
  <c r="AA187" i="2" s="1"/>
  <c r="AE178" i="2"/>
  <c r="AI178" i="2" s="1"/>
  <c r="AE179" i="2"/>
  <c r="AI179" i="2" s="1"/>
  <c r="AE180" i="2"/>
  <c r="AI180" i="2" s="1"/>
  <c r="AE182" i="2"/>
  <c r="AI182" i="2" s="1"/>
  <c r="AE186" i="2"/>
  <c r="AI186" i="2" s="1"/>
  <c r="AE188" i="2"/>
  <c r="AI188" i="2"/>
  <c r="AE189" i="2"/>
  <c r="AI189" i="2" s="1"/>
  <c r="AE190" i="2"/>
  <c r="AI190" i="2" s="1"/>
  <c r="AE191" i="2"/>
  <c r="AI191" i="2"/>
  <c r="AE192" i="2"/>
  <c r="AI192" i="2" s="1"/>
  <c r="AE193" i="2"/>
  <c r="AI193" i="2" s="1"/>
  <c r="AE194" i="2"/>
  <c r="AE195" i="2"/>
  <c r="AI195" i="2"/>
  <c r="AE196" i="2"/>
  <c r="AI196" i="2" s="1"/>
  <c r="AE197" i="2"/>
  <c r="AI197" i="2"/>
  <c r="AE198" i="2"/>
  <c r="AI198" i="2"/>
  <c r="AE199" i="2"/>
  <c r="AI199" i="2"/>
  <c r="AE200" i="2"/>
  <c r="AI200" i="2" s="1"/>
  <c r="AE201" i="2"/>
  <c r="AI201" i="2"/>
  <c r="AE202" i="2"/>
  <c r="AI202" i="2"/>
  <c r="AE203" i="2"/>
  <c r="AI203" i="2"/>
  <c r="AE204" i="2"/>
  <c r="AI204" i="2" s="1"/>
  <c r="AE205" i="2"/>
  <c r="AI205" i="2"/>
  <c r="AE206" i="2"/>
  <c r="AI206" i="2"/>
  <c r="AE207" i="2"/>
  <c r="AI207" i="2"/>
  <c r="AE208" i="2"/>
  <c r="AI208" i="2" s="1"/>
  <c r="AE209" i="2"/>
  <c r="AI209" i="2"/>
  <c r="AE210" i="2"/>
  <c r="AI210" i="2"/>
  <c r="AE211" i="2"/>
  <c r="AI211" i="2"/>
  <c r="AE212" i="2"/>
  <c r="AI212" i="2" s="1"/>
  <c r="AE213" i="2"/>
  <c r="AI213" i="2"/>
  <c r="AE214" i="2"/>
  <c r="AI214" i="2"/>
  <c r="AE215" i="2"/>
  <c r="AI215" i="2"/>
  <c r="AI216" i="2"/>
  <c r="AE217" i="2"/>
  <c r="AI217" i="2"/>
  <c r="AI218" i="2"/>
  <c r="AC220" i="2"/>
  <c r="AD220" i="2"/>
  <c r="AG220" i="2"/>
  <c r="AH220" i="2"/>
  <c r="W220" i="2" l="1"/>
  <c r="S220" i="2"/>
  <c r="D220" i="2"/>
  <c r="K220" i="2"/>
  <c r="G220" i="2"/>
  <c r="AB220" i="2"/>
  <c r="AI194" i="2"/>
  <c r="AI220" i="2" s="1"/>
  <c r="AE220" i="2"/>
  <c r="AB141" i="2"/>
  <c r="AB140" i="2"/>
  <c r="AB139" i="2"/>
  <c r="AG138" i="2"/>
  <c r="AB138" i="2"/>
  <c r="AB137" i="2"/>
  <c r="AE137" i="2" s="1"/>
  <c r="AI137" i="2" s="1"/>
  <c r="AB136" i="2"/>
  <c r="AB135" i="2"/>
  <c r="AB134" i="2"/>
  <c r="AE134" i="2" s="1"/>
  <c r="AI134" i="2" s="1"/>
  <c r="AB133" i="2"/>
  <c r="AB132" i="2"/>
  <c r="AB131" i="2"/>
  <c r="AB130" i="2"/>
  <c r="AB129" i="2"/>
  <c r="AE129" i="2" s="1"/>
  <c r="AI129" i="2" s="1"/>
  <c r="AB128" i="2"/>
  <c r="AB127" i="2"/>
  <c r="AE127" i="2" s="1"/>
  <c r="AI127" i="2" s="1"/>
  <c r="AB126" i="2"/>
  <c r="AB125" i="2"/>
  <c r="AB124" i="2"/>
  <c r="AB123" i="2"/>
  <c r="AB122" i="2"/>
  <c r="AE122" i="2"/>
  <c r="AI122" i="2" s="1"/>
  <c r="AA123" i="2"/>
  <c r="AA124" i="2" s="1"/>
  <c r="AA125" i="2" s="1"/>
  <c r="AA126" i="2" s="1"/>
  <c r="AA127" i="2" s="1"/>
  <c r="AA128" i="2" s="1"/>
  <c r="AA129" i="2" s="1"/>
  <c r="AA130" i="2" s="1"/>
  <c r="AA131" i="2" s="1"/>
  <c r="AA132" i="2" s="1"/>
  <c r="AA133" i="2" s="1"/>
  <c r="AA134" i="2" s="1"/>
  <c r="AA135" i="2" s="1"/>
  <c r="AA136" i="2" s="1"/>
  <c r="AA137" i="2" s="1"/>
  <c r="AA138" i="2" s="1"/>
  <c r="AA139" i="2" s="1"/>
  <c r="AA140" i="2" s="1"/>
  <c r="AA141" i="2" s="1"/>
  <c r="AE123" i="2"/>
  <c r="AI123" i="2" s="1"/>
  <c r="AE124" i="2"/>
  <c r="AE125" i="2"/>
  <c r="AI125" i="2" s="1"/>
  <c r="AE126" i="2"/>
  <c r="AI126" i="2" s="1"/>
  <c r="AE128" i="2"/>
  <c r="AI128" i="2" s="1"/>
  <c r="AE130" i="2"/>
  <c r="AI130" i="2"/>
  <c r="AE131" i="2"/>
  <c r="AI131" i="2" s="1"/>
  <c r="AE132" i="2"/>
  <c r="AI132" i="2" s="1"/>
  <c r="AE133" i="2"/>
  <c r="AI133" i="2" s="1"/>
  <c r="AE135" i="2"/>
  <c r="AI135" i="2" s="1"/>
  <c r="AE136" i="2"/>
  <c r="AI136" i="2" s="1"/>
  <c r="AE138" i="2"/>
  <c r="AI138" i="2" s="1"/>
  <c r="AE139" i="2"/>
  <c r="AI139" i="2" s="1"/>
  <c r="AE140" i="2"/>
  <c r="AI140" i="2" s="1"/>
  <c r="AE141" i="2"/>
  <c r="AI141" i="2" s="1"/>
  <c r="AE142" i="2"/>
  <c r="AI142" i="2"/>
  <c r="AE143" i="2"/>
  <c r="AI143" i="2" s="1"/>
  <c r="AE144" i="2"/>
  <c r="AI144" i="2" s="1"/>
  <c r="AE145" i="2"/>
  <c r="AI145" i="2"/>
  <c r="AE146" i="2"/>
  <c r="AI146" i="2"/>
  <c r="AE147" i="2"/>
  <c r="AI147" i="2"/>
  <c r="AE148" i="2"/>
  <c r="AI148" i="2"/>
  <c r="AE149" i="2"/>
  <c r="AI149" i="2"/>
  <c r="AE150" i="2"/>
  <c r="AI150" i="2"/>
  <c r="AE151" i="2"/>
  <c r="AI151" i="2" s="1"/>
  <c r="AE152" i="2"/>
  <c r="AI152" i="2" s="1"/>
  <c r="AE153" i="2"/>
  <c r="AI153" i="2"/>
  <c r="AE154" i="2"/>
  <c r="AI154" i="2"/>
  <c r="AE155" i="2"/>
  <c r="AI155" i="2"/>
  <c r="AE156" i="2"/>
  <c r="AI156" i="2"/>
  <c r="AE157" i="2"/>
  <c r="AI157" i="2"/>
  <c r="AE158" i="2"/>
  <c r="AI158" i="2"/>
  <c r="AE159" i="2"/>
  <c r="AI159" i="2" s="1"/>
  <c r="AE160" i="2"/>
  <c r="AI160" i="2" s="1"/>
  <c r="AI161" i="2"/>
  <c r="AE162" i="2"/>
  <c r="AI162" i="2"/>
  <c r="AI163" i="2"/>
  <c r="AC165" i="2"/>
  <c r="AD165" i="2"/>
  <c r="AG165" i="2"/>
  <c r="AH165" i="2"/>
  <c r="V137" i="2"/>
  <c r="V165" i="2"/>
  <c r="U137" i="2"/>
  <c r="P137" i="2"/>
  <c r="S136" i="2" s="1"/>
  <c r="W136" i="2" s="1"/>
  <c r="P135" i="2"/>
  <c r="P134" i="2"/>
  <c r="S134" i="2" s="1"/>
  <c r="W134" i="2" s="1"/>
  <c r="P133" i="2"/>
  <c r="P132" i="2"/>
  <c r="P131" i="2"/>
  <c r="P130" i="2"/>
  <c r="P129" i="2"/>
  <c r="P128" i="2"/>
  <c r="S128" i="2" s="1"/>
  <c r="W128" i="2" s="1"/>
  <c r="P127" i="2"/>
  <c r="P126" i="2"/>
  <c r="S126" i="2" s="1"/>
  <c r="W126" i="2" s="1"/>
  <c r="P125" i="2"/>
  <c r="S125" i="2" s="1"/>
  <c r="P124" i="2"/>
  <c r="P123" i="2"/>
  <c r="P122" i="2"/>
  <c r="S122" i="2"/>
  <c r="W122" i="2" s="1"/>
  <c r="O123" i="2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S123" i="2"/>
  <c r="W123" i="2" s="1"/>
  <c r="S124" i="2"/>
  <c r="W124" i="2" s="1"/>
  <c r="S127" i="2"/>
  <c r="W127" i="2" s="1"/>
  <c r="R165" i="2"/>
  <c r="S129" i="2"/>
  <c r="W129" i="2" s="1"/>
  <c r="S130" i="2"/>
  <c r="W130" i="2" s="1"/>
  <c r="S131" i="2"/>
  <c r="W131" i="2" s="1"/>
  <c r="S132" i="2"/>
  <c r="W132" i="2" s="1"/>
  <c r="S133" i="2"/>
  <c r="W133" i="2" s="1"/>
  <c r="S135" i="2"/>
  <c r="W135" i="2" s="1"/>
  <c r="S137" i="2"/>
  <c r="W137" i="2"/>
  <c r="S138" i="2"/>
  <c r="W138" i="2" s="1"/>
  <c r="S139" i="2"/>
  <c r="W139" i="2" s="1"/>
  <c r="S140" i="2"/>
  <c r="W140" i="2" s="1"/>
  <c r="S141" i="2"/>
  <c r="W141" i="2" s="1"/>
  <c r="S142" i="2"/>
  <c r="W142" i="2"/>
  <c r="S143" i="2"/>
  <c r="W143" i="2" s="1"/>
  <c r="S144" i="2"/>
  <c r="W144" i="2" s="1"/>
  <c r="S145" i="2"/>
  <c r="W145" i="2" s="1"/>
  <c r="S146" i="2"/>
  <c r="W146" i="2" s="1"/>
  <c r="S147" i="2"/>
  <c r="W147" i="2" s="1"/>
  <c r="S148" i="2"/>
  <c r="W148" i="2" s="1"/>
  <c r="S149" i="2"/>
  <c r="W149" i="2" s="1"/>
  <c r="S150" i="2"/>
  <c r="W150" i="2" s="1"/>
  <c r="S151" i="2"/>
  <c r="W151" i="2"/>
  <c r="S152" i="2"/>
  <c r="W152" i="2"/>
  <c r="S153" i="2"/>
  <c r="W153" i="2" s="1"/>
  <c r="S154" i="2"/>
  <c r="W154" i="2"/>
  <c r="S155" i="2"/>
  <c r="W155" i="2"/>
  <c r="S156" i="2"/>
  <c r="W156" i="2"/>
  <c r="S157" i="2"/>
  <c r="W157" i="2" s="1"/>
  <c r="S158" i="2"/>
  <c r="W158" i="2"/>
  <c r="S159" i="2"/>
  <c r="W159" i="2"/>
  <c r="S160" i="2"/>
  <c r="W160" i="2"/>
  <c r="W161" i="2"/>
  <c r="S162" i="2"/>
  <c r="W162" i="2" s="1"/>
  <c r="W163" i="2"/>
  <c r="Q165" i="2"/>
  <c r="U165" i="2"/>
  <c r="D127" i="2"/>
  <c r="D126" i="2"/>
  <c r="D125" i="2"/>
  <c r="D124" i="2"/>
  <c r="G124" i="2" s="1"/>
  <c r="K124" i="2" s="1"/>
  <c r="D123" i="2"/>
  <c r="G123" i="2" s="1"/>
  <c r="K123" i="2" s="1"/>
  <c r="D122" i="2"/>
  <c r="G122" i="2" s="1"/>
  <c r="C123" i="2"/>
  <c r="C125" i="2" s="1"/>
  <c r="C126" i="2" s="1"/>
  <c r="C127" i="2" s="1"/>
  <c r="G125" i="2"/>
  <c r="K125" i="2" s="1"/>
  <c r="G126" i="2"/>
  <c r="K126" i="2" s="1"/>
  <c r="G127" i="2"/>
  <c r="K127" i="2" s="1"/>
  <c r="G128" i="2"/>
  <c r="K128" i="2" s="1"/>
  <c r="G129" i="2"/>
  <c r="K129" i="2" s="1"/>
  <c r="G130" i="2"/>
  <c r="K130" i="2" s="1"/>
  <c r="G131" i="2"/>
  <c r="K131" i="2" s="1"/>
  <c r="G132" i="2"/>
  <c r="K132" i="2" s="1"/>
  <c r="G133" i="2"/>
  <c r="K133" i="2" s="1"/>
  <c r="G134" i="2"/>
  <c r="K134" i="2" s="1"/>
  <c r="G135" i="2"/>
  <c r="K135" i="2" s="1"/>
  <c r="G136" i="2"/>
  <c r="K136" i="2" s="1"/>
  <c r="G137" i="2"/>
  <c r="K137" i="2" s="1"/>
  <c r="G138" i="2"/>
  <c r="K138" i="2" s="1"/>
  <c r="G139" i="2"/>
  <c r="K139" i="2" s="1"/>
  <c r="G140" i="2"/>
  <c r="K140" i="2" s="1"/>
  <c r="G141" i="2"/>
  <c r="K141" i="2" s="1"/>
  <c r="G142" i="2"/>
  <c r="K142" i="2" s="1"/>
  <c r="G143" i="2"/>
  <c r="K143" i="2" s="1"/>
  <c r="G144" i="2"/>
  <c r="K144" i="2" s="1"/>
  <c r="G145" i="2"/>
  <c r="K145" i="2"/>
  <c r="G146" i="2"/>
  <c r="K146" i="2" s="1"/>
  <c r="G147" i="2"/>
  <c r="K147" i="2" s="1"/>
  <c r="G148" i="2"/>
  <c r="K148" i="2" s="1"/>
  <c r="G149" i="2"/>
  <c r="K149" i="2"/>
  <c r="G150" i="2"/>
  <c r="K150" i="2" s="1"/>
  <c r="G151" i="2"/>
  <c r="K151" i="2" s="1"/>
  <c r="G152" i="2"/>
  <c r="K152" i="2" s="1"/>
  <c r="G153" i="2"/>
  <c r="K153" i="2" s="1"/>
  <c r="G154" i="2"/>
  <c r="K154" i="2" s="1"/>
  <c r="G155" i="2"/>
  <c r="K155" i="2" s="1"/>
  <c r="G162" i="2"/>
  <c r="K162" i="2"/>
  <c r="E165" i="2"/>
  <c r="F165" i="2"/>
  <c r="I165" i="2"/>
  <c r="J165" i="2"/>
  <c r="AB165" i="2" l="1"/>
  <c r="AE165" i="2"/>
  <c r="AI124" i="2"/>
  <c r="AI165" i="2" s="1"/>
  <c r="P165" i="2"/>
  <c r="S165" i="2"/>
  <c r="W125" i="2"/>
  <c r="W165" i="2" s="1"/>
  <c r="G165" i="2"/>
  <c r="K122" i="2"/>
  <c r="K165" i="2" s="1"/>
  <c r="D165" i="2"/>
  <c r="R74" i="2"/>
  <c r="R110" i="2" s="1"/>
  <c r="P74" i="2"/>
  <c r="P73" i="2"/>
  <c r="P72" i="2"/>
  <c r="S72" i="2" s="1"/>
  <c r="W72" i="2" s="1"/>
  <c r="P71" i="2"/>
  <c r="P70" i="2"/>
  <c r="U69" i="2"/>
  <c r="U110" i="2" s="1"/>
  <c r="P69" i="2"/>
  <c r="P68" i="2"/>
  <c r="P67" i="2"/>
  <c r="S67" i="2" s="1"/>
  <c r="W67" i="2" s="1"/>
  <c r="O68" i="2"/>
  <c r="O69" i="2" s="1"/>
  <c r="O70" i="2" s="1"/>
  <c r="O71" i="2" s="1"/>
  <c r="O72" i="2" s="1"/>
  <c r="O73" i="2" s="1"/>
  <c r="S68" i="2"/>
  <c r="W68" i="2" s="1"/>
  <c r="S69" i="2"/>
  <c r="S70" i="2"/>
  <c r="W70" i="2" s="1"/>
  <c r="S71" i="2"/>
  <c r="W71" i="2" s="1"/>
  <c r="S73" i="2"/>
  <c r="W73" i="2" s="1"/>
  <c r="S74" i="2"/>
  <c r="W74" i="2" s="1"/>
  <c r="S75" i="2"/>
  <c r="W75" i="2" s="1"/>
  <c r="S76" i="2"/>
  <c r="W76" i="2" s="1"/>
  <c r="S77" i="2"/>
  <c r="W77" i="2" s="1"/>
  <c r="S78" i="2"/>
  <c r="W78" i="2" s="1"/>
  <c r="S79" i="2"/>
  <c r="W79" i="2"/>
  <c r="S80" i="2"/>
  <c r="W80" i="2" s="1"/>
  <c r="S81" i="2"/>
  <c r="W81" i="2" s="1"/>
  <c r="S82" i="2"/>
  <c r="W82" i="2"/>
  <c r="S83" i="2"/>
  <c r="W83" i="2" s="1"/>
  <c r="S84" i="2"/>
  <c r="W84" i="2" s="1"/>
  <c r="S85" i="2"/>
  <c r="W85" i="2" s="1"/>
  <c r="S86" i="2"/>
  <c r="W86" i="2" s="1"/>
  <c r="S87" i="2"/>
  <c r="W87" i="2" s="1"/>
  <c r="S88" i="2"/>
  <c r="W88" i="2"/>
  <c r="S89" i="2"/>
  <c r="W89" i="2"/>
  <c r="S90" i="2"/>
  <c r="W90" i="2" s="1"/>
  <c r="S91" i="2"/>
  <c r="W91" i="2"/>
  <c r="S92" i="2"/>
  <c r="W92" i="2"/>
  <c r="S93" i="2"/>
  <c r="W93" i="2"/>
  <c r="S94" i="2"/>
  <c r="W94" i="2" s="1"/>
  <c r="S95" i="2"/>
  <c r="W95" i="2"/>
  <c r="S96" i="2"/>
  <c r="W96" i="2"/>
  <c r="S97" i="2"/>
  <c r="W97" i="2"/>
  <c r="S98" i="2"/>
  <c r="W98" i="2" s="1"/>
  <c r="S99" i="2"/>
  <c r="W99" i="2"/>
  <c r="S100" i="2"/>
  <c r="W100" i="2"/>
  <c r="S101" i="2"/>
  <c r="W101" i="2"/>
  <c r="S102" i="2"/>
  <c r="W102" i="2"/>
  <c r="S103" i="2"/>
  <c r="W103" i="2"/>
  <c r="S104" i="2"/>
  <c r="W104" i="2"/>
  <c r="S105" i="2"/>
  <c r="W105" i="2"/>
  <c r="W106" i="2"/>
  <c r="S107" i="2"/>
  <c r="W107" i="2"/>
  <c r="W108" i="2"/>
  <c r="Q110" i="2"/>
  <c r="V110" i="2"/>
  <c r="S110" i="2" l="1"/>
  <c r="W69" i="2"/>
  <c r="W110" i="2" s="1"/>
  <c r="P110" i="2"/>
  <c r="AB80" i="2"/>
  <c r="AE80" i="2" s="1"/>
  <c r="AI80" i="2" s="1"/>
  <c r="AB79" i="2"/>
  <c r="AB78" i="2"/>
  <c r="AB77" i="2"/>
  <c r="AB76" i="2"/>
  <c r="AE76" i="2" s="1"/>
  <c r="AI76" i="2" s="1"/>
  <c r="AB75" i="2"/>
  <c r="AG74" i="2"/>
  <c r="AG110" i="2"/>
  <c r="AB74" i="2"/>
  <c r="AE74" i="2" s="1"/>
  <c r="AI74" i="2" s="1"/>
  <c r="AB73" i="2"/>
  <c r="AE73" i="2" s="1"/>
  <c r="AI73" i="2" s="1"/>
  <c r="AB72" i="2"/>
  <c r="AE72" i="2" s="1"/>
  <c r="AI72" i="2" s="1"/>
  <c r="AB71" i="2"/>
  <c r="AE71" i="2" s="1"/>
  <c r="AI71" i="2" s="1"/>
  <c r="AB70" i="2"/>
  <c r="AB69" i="2"/>
  <c r="AB68" i="2"/>
  <c r="AB67" i="2"/>
  <c r="AE67" i="2"/>
  <c r="AI67" i="2" s="1"/>
  <c r="AA68" i="2"/>
  <c r="AA69" i="2" s="1"/>
  <c r="AA70" i="2" s="1"/>
  <c r="AA71" i="2" s="1"/>
  <c r="AA72" i="2" s="1"/>
  <c r="AA73" i="2" s="1"/>
  <c r="AA74" i="2" s="1"/>
  <c r="AA75" i="2" s="1"/>
  <c r="AA76" i="2" s="1"/>
  <c r="AA77" i="2" s="1"/>
  <c r="AA78" i="2" s="1"/>
  <c r="AA79" i="2" s="1"/>
  <c r="AA80" i="2" s="1"/>
  <c r="AE68" i="2"/>
  <c r="AI68" i="2" s="1"/>
  <c r="AE69" i="2"/>
  <c r="AI69" i="2" s="1"/>
  <c r="AE70" i="2"/>
  <c r="AI70" i="2" s="1"/>
  <c r="AD110" i="2"/>
  <c r="AE75" i="2"/>
  <c r="AI75" i="2" s="1"/>
  <c r="AE77" i="2"/>
  <c r="AI77" i="2" s="1"/>
  <c r="AE78" i="2"/>
  <c r="AI78" i="2" s="1"/>
  <c r="AE79" i="2"/>
  <c r="AI79" i="2" s="1"/>
  <c r="AE81" i="2"/>
  <c r="AI81" i="2" s="1"/>
  <c r="AE82" i="2"/>
  <c r="AI82" i="2"/>
  <c r="AE83" i="2"/>
  <c r="AI83" i="2"/>
  <c r="AE84" i="2"/>
  <c r="AI84" i="2"/>
  <c r="AE85" i="2"/>
  <c r="AI85" i="2"/>
  <c r="AE86" i="2"/>
  <c r="AI86" i="2" s="1"/>
  <c r="AE87" i="2"/>
  <c r="AI87" i="2"/>
  <c r="AE88" i="2"/>
  <c r="AI88" i="2"/>
  <c r="AE89" i="2"/>
  <c r="AI89" i="2"/>
  <c r="AE90" i="2"/>
  <c r="AI90" i="2"/>
  <c r="AE91" i="2"/>
  <c r="AI91" i="2" s="1"/>
  <c r="AE92" i="2"/>
  <c r="AI92" i="2"/>
  <c r="AE93" i="2"/>
  <c r="AI93" i="2"/>
  <c r="AE94" i="2"/>
  <c r="AI94" i="2" s="1"/>
  <c r="AE95" i="2"/>
  <c r="AI95" i="2"/>
  <c r="AE96" i="2"/>
  <c r="AI96" i="2" s="1"/>
  <c r="AE97" i="2"/>
  <c r="AI97" i="2"/>
  <c r="AE98" i="2"/>
  <c r="AI98" i="2"/>
  <c r="AE99" i="2"/>
  <c r="AI99" i="2"/>
  <c r="AE100" i="2"/>
  <c r="AI100" i="2" s="1"/>
  <c r="AE101" i="2"/>
  <c r="AI101" i="2"/>
  <c r="AE102" i="2"/>
  <c r="AI102" i="2" s="1"/>
  <c r="AE103" i="2"/>
  <c r="AI103" i="2"/>
  <c r="AE104" i="2"/>
  <c r="AI104" i="2"/>
  <c r="AE105" i="2"/>
  <c r="AI105" i="2"/>
  <c r="AI106" i="2"/>
  <c r="AE107" i="2"/>
  <c r="AI107" i="2" s="1"/>
  <c r="AI108" i="2"/>
  <c r="AC110" i="2"/>
  <c r="AH110" i="2"/>
  <c r="D102" i="2"/>
  <c r="D101" i="2"/>
  <c r="D100" i="2"/>
  <c r="I99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1" i="2"/>
  <c r="D70" i="2"/>
  <c r="AB110" i="2" l="1"/>
  <c r="AI110" i="2"/>
  <c r="AE110" i="2"/>
  <c r="D69" i="2" l="1"/>
  <c r="D110" i="2" s="1"/>
  <c r="D68" i="2"/>
  <c r="D67" i="2"/>
  <c r="G67" i="2"/>
  <c r="K67" i="2" s="1"/>
  <c r="C68" i="2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G68" i="2"/>
  <c r="G69" i="2"/>
  <c r="K69" i="2" s="1"/>
  <c r="G70" i="2"/>
  <c r="K70" i="2" s="1"/>
  <c r="G71" i="2"/>
  <c r="K71" i="2"/>
  <c r="G72" i="2"/>
  <c r="K72" i="2" s="1"/>
  <c r="G73" i="2"/>
  <c r="K73" i="2" s="1"/>
  <c r="G74" i="2"/>
  <c r="K74" i="2" s="1"/>
  <c r="G75" i="2"/>
  <c r="K75" i="2" s="1"/>
  <c r="G76" i="2"/>
  <c r="K76" i="2" s="1"/>
  <c r="G77" i="2"/>
  <c r="K77" i="2" s="1"/>
  <c r="G78" i="2"/>
  <c r="K78" i="2" s="1"/>
  <c r="G79" i="2"/>
  <c r="K79" i="2"/>
  <c r="G80" i="2"/>
  <c r="K80" i="2" s="1"/>
  <c r="G81" i="2"/>
  <c r="K81" i="2" s="1"/>
  <c r="G82" i="2"/>
  <c r="K82" i="2" s="1"/>
  <c r="G83" i="2"/>
  <c r="K83" i="2"/>
  <c r="G84" i="2"/>
  <c r="K84" i="2" s="1"/>
  <c r="G85" i="2"/>
  <c r="K85" i="2" s="1"/>
  <c r="G86" i="2"/>
  <c r="K86" i="2" s="1"/>
  <c r="G87" i="2"/>
  <c r="K87" i="2" s="1"/>
  <c r="G88" i="2"/>
  <c r="K88" i="2" s="1"/>
  <c r="G89" i="2"/>
  <c r="K89" i="2" s="1"/>
  <c r="G90" i="2"/>
  <c r="K90" i="2" s="1"/>
  <c r="G91" i="2"/>
  <c r="K91" i="2" s="1"/>
  <c r="G92" i="2"/>
  <c r="K92" i="2" s="1"/>
  <c r="G93" i="2"/>
  <c r="K93" i="2" s="1"/>
  <c r="G94" i="2"/>
  <c r="K94" i="2" s="1"/>
  <c r="G95" i="2"/>
  <c r="K95" i="2"/>
  <c r="G96" i="2"/>
  <c r="K96" i="2" s="1"/>
  <c r="G97" i="2"/>
  <c r="K97" i="2" s="1"/>
  <c r="G98" i="2"/>
  <c r="K98" i="2" s="1"/>
  <c r="G99" i="2"/>
  <c r="K99" i="2" s="1"/>
  <c r="G100" i="2"/>
  <c r="K100" i="2" s="1"/>
  <c r="G107" i="2"/>
  <c r="K107" i="2" s="1"/>
  <c r="E110" i="2"/>
  <c r="F110" i="2"/>
  <c r="I110" i="2"/>
  <c r="J110" i="2"/>
  <c r="G110" i="2" l="1"/>
  <c r="K68" i="2"/>
  <c r="K110" i="2" s="1"/>
  <c r="AD18" i="2"/>
  <c r="AB18" i="2"/>
  <c r="AG17" i="2"/>
  <c r="AB17" i="2"/>
  <c r="AB16" i="2"/>
  <c r="AB15" i="2"/>
  <c r="AB14" i="2"/>
  <c r="AB13" i="2"/>
  <c r="AB12" i="2"/>
  <c r="P32" i="2" l="1"/>
  <c r="P31" i="2"/>
  <c r="P30" i="2"/>
  <c r="P29" i="2"/>
  <c r="P28" i="2"/>
  <c r="P27" i="2"/>
  <c r="P26" i="2"/>
  <c r="P25" i="2"/>
  <c r="P24" i="2"/>
  <c r="U23" i="2"/>
  <c r="P23" i="2"/>
  <c r="P22" i="2"/>
  <c r="P21" i="2"/>
  <c r="P20" i="2"/>
  <c r="P19" i="2"/>
  <c r="P18" i="2"/>
  <c r="P17" i="2"/>
  <c r="P16" i="2"/>
  <c r="P15" i="2"/>
  <c r="P14" i="2"/>
  <c r="P13" i="2"/>
  <c r="P12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C29" i="2"/>
  <c r="C30" i="2" s="1"/>
  <c r="C31" i="2" s="1"/>
  <c r="C32" i="2" s="1"/>
  <c r="C33" i="2" s="1"/>
  <c r="J36" i="1" l="1"/>
  <c r="D36" i="1" s="1"/>
  <c r="J29" i="1"/>
  <c r="D29" i="1" s="1"/>
  <c r="J30" i="1"/>
  <c r="D30" i="1" s="1"/>
  <c r="J31" i="1"/>
  <c r="J22" i="1"/>
  <c r="D22" i="1" s="1"/>
  <c r="J15" i="1"/>
  <c r="J16" i="1"/>
  <c r="A40" i="1" l="1"/>
  <c r="J10" i="1" l="1"/>
  <c r="D10" i="1" s="1"/>
  <c r="AA13" i="2" l="1"/>
  <c r="AA14" i="2" s="1"/>
  <c r="AA15" i="2" s="1"/>
  <c r="AA17" i="2" s="1"/>
  <c r="AA18" i="2" s="1"/>
  <c r="J32" i="1" l="1"/>
  <c r="D32" i="1" s="1"/>
  <c r="D31" i="1"/>
  <c r="J25" i="1"/>
  <c r="D25" i="1" s="1"/>
  <c r="J24" i="1"/>
  <c r="J23" i="1"/>
  <c r="D23" i="1" s="1"/>
  <c r="J18" i="1"/>
  <c r="D18" i="1" s="1"/>
  <c r="J17" i="1"/>
  <c r="D17" i="1" s="1"/>
  <c r="D16" i="1"/>
  <c r="A12" i="1"/>
  <c r="J34" i="1" l="1"/>
  <c r="D34" i="1" s="1"/>
  <c r="J35" i="1"/>
  <c r="D35" i="1" s="1"/>
  <c r="J37" i="1"/>
  <c r="D37" i="1" s="1"/>
  <c r="J38" i="1"/>
  <c r="D38" i="1" s="1"/>
  <c r="J39" i="1"/>
  <c r="D39" i="1" s="1"/>
  <c r="J20" i="1"/>
  <c r="D20" i="1" s="1"/>
  <c r="J21" i="1"/>
  <c r="D21" i="1" s="1"/>
  <c r="J13" i="1"/>
  <c r="D13" i="1" s="1"/>
  <c r="J14" i="1"/>
  <c r="D14" i="1" s="1"/>
  <c r="J27" i="1" l="1"/>
  <c r="D27" i="1" s="1"/>
  <c r="AD55" i="2" l="1"/>
  <c r="R55" i="2"/>
  <c r="F55" i="2"/>
  <c r="J28" i="1" l="1"/>
  <c r="D28" i="1" s="1"/>
  <c r="J11" i="1"/>
  <c r="D11" i="1" s="1"/>
  <c r="J42" i="1" l="1"/>
  <c r="A11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E15" i="2" l="1"/>
  <c r="AI15" i="2" s="1"/>
  <c r="AE19" i="2"/>
  <c r="AI19" i="2" s="1"/>
  <c r="AE18" i="2"/>
  <c r="AI18" i="2" s="1"/>
  <c r="AE16" i="2"/>
  <c r="AI16" i="2" s="1"/>
  <c r="AE13" i="2"/>
  <c r="AI13" i="2" s="1"/>
  <c r="AE12" i="2"/>
  <c r="AH55" i="2"/>
  <c r="AC55" i="2"/>
  <c r="AI53" i="2"/>
  <c r="AE52" i="2"/>
  <c r="AI52" i="2" s="1"/>
  <c r="AI51" i="2"/>
  <c r="AE50" i="2"/>
  <c r="AI50" i="2" s="1"/>
  <c r="AE49" i="2"/>
  <c r="AI49" i="2" s="1"/>
  <c r="AE48" i="2"/>
  <c r="AI48" i="2" s="1"/>
  <c r="AE47" i="2"/>
  <c r="AI47" i="2" s="1"/>
  <c r="AE46" i="2"/>
  <c r="AI46" i="2" s="1"/>
  <c r="AE45" i="2"/>
  <c r="AI45" i="2" s="1"/>
  <c r="AE44" i="2"/>
  <c r="AI44" i="2" s="1"/>
  <c r="AE43" i="2"/>
  <c r="AI43" i="2" s="1"/>
  <c r="AE42" i="2"/>
  <c r="AI42" i="2" s="1"/>
  <c r="AE41" i="2"/>
  <c r="AI41" i="2" s="1"/>
  <c r="AE40" i="2"/>
  <c r="AI40" i="2" s="1"/>
  <c r="AE39" i="2"/>
  <c r="AI39" i="2" s="1"/>
  <c r="AE38" i="2"/>
  <c r="AI38" i="2" s="1"/>
  <c r="AE37" i="2"/>
  <c r="AI37" i="2" s="1"/>
  <c r="AE36" i="2"/>
  <c r="AI36" i="2" s="1"/>
  <c r="AE35" i="2"/>
  <c r="AI35" i="2" s="1"/>
  <c r="AE34" i="2"/>
  <c r="AI34" i="2" s="1"/>
  <c r="AE33" i="2"/>
  <c r="AI33" i="2" s="1"/>
  <c r="AE32" i="2"/>
  <c r="AI32" i="2" s="1"/>
  <c r="AE31" i="2"/>
  <c r="AI31" i="2" s="1"/>
  <c r="AE30" i="2"/>
  <c r="AI30" i="2" s="1"/>
  <c r="AE29" i="2"/>
  <c r="AI29" i="2" s="1"/>
  <c r="AE28" i="2"/>
  <c r="AI28" i="2" s="1"/>
  <c r="AE27" i="2"/>
  <c r="AI27" i="2" s="1"/>
  <c r="AE26" i="2"/>
  <c r="AI26" i="2" s="1"/>
  <c r="AE25" i="2"/>
  <c r="AI25" i="2" s="1"/>
  <c r="AE24" i="2"/>
  <c r="AI24" i="2" s="1"/>
  <c r="AE23" i="2"/>
  <c r="AI23" i="2" s="1"/>
  <c r="AE22" i="2"/>
  <c r="AI22" i="2" s="1"/>
  <c r="AE21" i="2"/>
  <c r="AI21" i="2" s="1"/>
  <c r="AE20" i="2"/>
  <c r="AI20" i="2" s="1"/>
  <c r="AE17" i="2"/>
  <c r="AI17" i="2" s="1"/>
  <c r="AE14" i="2"/>
  <c r="V55" i="2"/>
  <c r="S17" i="2"/>
  <c r="W17" i="2" s="1"/>
  <c r="S16" i="2"/>
  <c r="W16" i="2" s="1"/>
  <c r="S14" i="2"/>
  <c r="W14" i="2" s="1"/>
  <c r="S12" i="2"/>
  <c r="W12" i="2" s="1"/>
  <c r="O13" i="2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S13" i="2"/>
  <c r="W13" i="2" s="1"/>
  <c r="S18" i="2"/>
  <c r="W18" i="2" s="1"/>
  <c r="S19" i="2"/>
  <c r="W19" i="2" s="1"/>
  <c r="S20" i="2"/>
  <c r="W20" i="2" s="1"/>
  <c r="S21" i="2"/>
  <c r="W21" i="2" s="1"/>
  <c r="S22" i="2"/>
  <c r="W22" i="2" s="1"/>
  <c r="S23" i="2"/>
  <c r="W23" i="2" s="1"/>
  <c r="S24" i="2"/>
  <c r="W24" i="2" s="1"/>
  <c r="S25" i="2"/>
  <c r="W25" i="2" s="1"/>
  <c r="S26" i="2"/>
  <c r="W26" i="2" s="1"/>
  <c r="S27" i="2"/>
  <c r="W27" i="2" s="1"/>
  <c r="S28" i="2"/>
  <c r="W28" i="2" s="1"/>
  <c r="S29" i="2"/>
  <c r="W29" i="2" s="1"/>
  <c r="S30" i="2"/>
  <c r="W30" i="2" s="1"/>
  <c r="S31" i="2"/>
  <c r="W31" i="2" s="1"/>
  <c r="S32" i="2"/>
  <c r="W32" i="2" s="1"/>
  <c r="S33" i="2"/>
  <c r="W33" i="2" s="1"/>
  <c r="S34" i="2"/>
  <c r="W34" i="2" s="1"/>
  <c r="S35" i="2"/>
  <c r="W35" i="2" s="1"/>
  <c r="S36" i="2"/>
  <c r="W36" i="2" s="1"/>
  <c r="S37" i="2"/>
  <c r="W37" i="2"/>
  <c r="S38" i="2"/>
  <c r="W38" i="2" s="1"/>
  <c r="S39" i="2"/>
  <c r="W39" i="2" s="1"/>
  <c r="S40" i="2"/>
  <c r="W40" i="2" s="1"/>
  <c r="S41" i="2"/>
  <c r="W41" i="2"/>
  <c r="S42" i="2"/>
  <c r="W42" i="2" s="1"/>
  <c r="S43" i="2"/>
  <c r="W43" i="2" s="1"/>
  <c r="S44" i="2"/>
  <c r="W44" i="2" s="1"/>
  <c r="S45" i="2"/>
  <c r="W45" i="2" s="1"/>
  <c r="S46" i="2"/>
  <c r="W46" i="2" s="1"/>
  <c r="S47" i="2"/>
  <c r="W47" i="2" s="1"/>
  <c r="S48" i="2"/>
  <c r="W48" i="2" s="1"/>
  <c r="S49" i="2"/>
  <c r="W49" i="2" s="1"/>
  <c r="S50" i="2"/>
  <c r="W50" i="2" s="1"/>
  <c r="W51" i="2"/>
  <c r="S52" i="2"/>
  <c r="W52" i="2"/>
  <c r="W53" i="2"/>
  <c r="Q55" i="2"/>
  <c r="U55" i="2"/>
  <c r="G35" i="2"/>
  <c r="K35" i="2" s="1"/>
  <c r="G34" i="2"/>
  <c r="K34" i="2" s="1"/>
  <c r="G33" i="2"/>
  <c r="K33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4" i="2"/>
  <c r="K14" i="2" s="1"/>
  <c r="C13" i="2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G12" i="2"/>
  <c r="K12" i="2" s="1"/>
  <c r="G13" i="2"/>
  <c r="K13" i="2" s="1"/>
  <c r="G15" i="2"/>
  <c r="K15" i="2" s="1"/>
  <c r="G16" i="2"/>
  <c r="K16" i="2" s="1"/>
  <c r="G29" i="2"/>
  <c r="K29" i="2" s="1"/>
  <c r="G30" i="2"/>
  <c r="K30" i="2" s="1"/>
  <c r="G31" i="2"/>
  <c r="K31" i="2" s="1"/>
  <c r="G32" i="2"/>
  <c r="K32" i="2" s="1"/>
  <c r="G36" i="2"/>
  <c r="K36" i="2" s="1"/>
  <c r="G37" i="2"/>
  <c r="K37" i="2" s="1"/>
  <c r="G38" i="2"/>
  <c r="K38" i="2" s="1"/>
  <c r="G39" i="2"/>
  <c r="K39" i="2" s="1"/>
  <c r="G40" i="2"/>
  <c r="K40" i="2" s="1"/>
  <c r="G41" i="2"/>
  <c r="K41" i="2" s="1"/>
  <c r="G42" i="2"/>
  <c r="K42" i="2" s="1"/>
  <c r="G43" i="2"/>
  <c r="K43" i="2" s="1"/>
  <c r="G44" i="2"/>
  <c r="K44" i="2" s="1"/>
  <c r="G45" i="2"/>
  <c r="K45" i="2" s="1"/>
  <c r="G52" i="2"/>
  <c r="K52" i="2" s="1"/>
  <c r="E55" i="2"/>
  <c r="I55" i="2"/>
  <c r="J55" i="2"/>
  <c r="P55" i="2" l="1"/>
  <c r="S15" i="2"/>
  <c r="W15" i="2" s="1"/>
  <c r="W55" i="2" s="1"/>
  <c r="AI14" i="2"/>
  <c r="AB55" i="2"/>
  <c r="AG55" i="2"/>
  <c r="AE55" i="2"/>
  <c r="AI12" i="2"/>
  <c r="D55" i="2"/>
  <c r="G55" i="2"/>
  <c r="K55" i="2"/>
  <c r="AI55" i="2" l="1"/>
  <c r="S55" i="2"/>
  <c r="D42" i="1" l="1"/>
</calcChain>
</file>

<file path=xl/sharedStrings.xml><?xml version="1.0" encoding="utf-8"?>
<sst xmlns="http://schemas.openxmlformats.org/spreadsheetml/2006/main" count="995" uniqueCount="77">
  <si>
    <t>GUILLERMO BEVERAGE DISTRIBUTION SERVICES</t>
  </si>
  <si>
    <t>MONTHLY SALES INVOICES SUMMARY</t>
  </si>
  <si>
    <t>SALES INVOICE NO.</t>
  </si>
  <si>
    <t>AMOUNT SOLD</t>
  </si>
  <si>
    <t>FRI</t>
  </si>
  <si>
    <t>SAT</t>
  </si>
  <si>
    <t>SUN</t>
  </si>
  <si>
    <t>MON</t>
  </si>
  <si>
    <t>TUE</t>
  </si>
  <si>
    <t>WED</t>
  </si>
  <si>
    <t>TOTAL MONTHLY SALES:</t>
  </si>
  <si>
    <t>R1</t>
  </si>
  <si>
    <t>R2</t>
  </si>
  <si>
    <t>R3</t>
  </si>
  <si>
    <t>TOTAL</t>
  </si>
  <si>
    <t>DAILY SALES INVOICES SUMMARY</t>
  </si>
  <si>
    <t>ROUTE NO. :</t>
  </si>
  <si>
    <t>DSP                  :</t>
  </si>
  <si>
    <t>CONTENTS  DELIVERED</t>
  </si>
  <si>
    <t>EXTRA  CONTAINERS</t>
  </si>
  <si>
    <t>TOTAL AMOUNT</t>
  </si>
  <si>
    <t>DATE</t>
  </si>
  <si>
    <t>S.I. NO.</t>
  </si>
  <si>
    <t>AMOUNT</t>
  </si>
  <si>
    <t xml:space="preserve"> -DISCOUNT</t>
  </si>
  <si>
    <t>AMOUNT DUE</t>
  </si>
  <si>
    <t xml:space="preserve">  +        DELIVERED </t>
  </si>
  <si>
    <t xml:space="preserve">  -       RETURNED</t>
  </si>
  <si>
    <t>*****Nothing Follows*****</t>
  </si>
  <si>
    <t>TIN 166-562-025-00005</t>
  </si>
  <si>
    <t>SUNDAY</t>
  </si>
  <si>
    <t>THUR</t>
  </si>
  <si>
    <t>R4</t>
  </si>
  <si>
    <t>BACULIO, JERRIX</t>
  </si>
  <si>
    <t>TOPEZ, FERMIN</t>
  </si>
  <si>
    <t>DANDAYO, RONNEL</t>
  </si>
  <si>
    <t>PROMO</t>
  </si>
  <si>
    <t>FRIDAY</t>
  </si>
  <si>
    <t>AUGUST 2025</t>
  </si>
  <si>
    <t>AUGUST 01. 2025</t>
  </si>
  <si>
    <t>SATURDAY</t>
  </si>
  <si>
    <t>AUGUST 02. 2025</t>
  </si>
  <si>
    <t>4722-4743/4801-4821/4547-4662</t>
  </si>
  <si>
    <t>4746-4781/4822-4828,4645/4663-4676</t>
  </si>
  <si>
    <t>AUGUST 04. 2025</t>
  </si>
  <si>
    <t>4744-4745,3991-3994/4831-4846/4677-4696</t>
  </si>
  <si>
    <t>MONDAY</t>
  </si>
  <si>
    <t>TUESDAY</t>
  </si>
  <si>
    <t>AUGUST 05. 2025</t>
  </si>
  <si>
    <t>4951-4970/4646-4650,4901-4902/4851-4861</t>
  </si>
  <si>
    <t>THURSDAY</t>
  </si>
  <si>
    <t>AUGUST 07. 2025</t>
  </si>
  <si>
    <t>NO TRIP</t>
  </si>
  <si>
    <t>4971-4988/4903-4919/4862-4871</t>
  </si>
  <si>
    <t>AUGUST 08. 2025</t>
  </si>
  <si>
    <t>4989-5000/4920-4941/4872-4875</t>
  </si>
  <si>
    <t>AUGUST 09. 2025</t>
  </si>
  <si>
    <t>5001-5022/4942-4950,4847-4850/4876-4882</t>
  </si>
  <si>
    <t>AUGUST 11. 2025</t>
  </si>
  <si>
    <t>5024-5046/5101-5110/4883-4891</t>
  </si>
  <si>
    <t>AUGUST 12. 2025</t>
  </si>
  <si>
    <t>5043-5065/5111-5119/4892-4897</t>
  </si>
  <si>
    <t>08/13/2025</t>
  </si>
  <si>
    <t>WEDNESDAY</t>
  </si>
  <si>
    <t>AUGUST 13. 2025</t>
  </si>
  <si>
    <t>AUGUST 14. 2025</t>
  </si>
  <si>
    <t>08/14/2025</t>
  </si>
  <si>
    <t>5066-5093/5120-5135/4898-4899,5100</t>
  </si>
  <si>
    <t>5136-5139/5151-5162,4698</t>
  </si>
  <si>
    <t>AUGUST 16. 2025</t>
  </si>
  <si>
    <t>08/16/2025</t>
  </si>
  <si>
    <t>5201-5226/5140-5143/5163-5166</t>
  </si>
  <si>
    <t>AUGUST 18. 2025</t>
  </si>
  <si>
    <t>08/18/2025</t>
  </si>
  <si>
    <t>5227-5246/5144-5148/5167-5170</t>
  </si>
  <si>
    <t>AUGUST 19. 2025</t>
  </si>
  <si>
    <t>08/19/2025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</si>
</sst>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9" borderId="0" applyNumberFormat="0" applyBorder="0" applyAlignment="0" applyProtection="0"/>
  </cellStyleXfs>
  <cellXfs count="12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0" fontId="2" fillId="0" borderId="1" xfId="0" applyFont="1" applyBorder="1" applyAlignment="1">
      <alignment horizontal="left"/>
    </xf>
    <xf numFmtId="4" fontId="0" fillId="0" borderId="0" xfId="0" applyNumberFormat="1"/>
    <xf numFmtId="4" fontId="5" fillId="0" borderId="0" xfId="1" applyNumberFormat="1" applyFont="1" applyBorder="1"/>
    <xf numFmtId="4" fontId="0" fillId="0" borderId="1" xfId="0" applyNumberFormat="1" applyFont="1" applyBorder="1" applyAlignment="1"/>
    <xf numFmtId="4" fontId="0" fillId="3" borderId="0" xfId="0" applyNumberFormat="1" applyFill="1"/>
    <xf numFmtId="0" fontId="0" fillId="6" borderId="0" xfId="0" applyFill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5" xfId="0" applyNumberFormat="1" applyFont="1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0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3" fillId="5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3" fillId="7" borderId="0" xfId="0" applyNumberFormat="1" applyFont="1" applyFill="1"/>
    <xf numFmtId="0" fontId="0" fillId="0" borderId="1" xfId="0" applyFont="1" applyBorder="1" applyAlignment="1"/>
    <xf numFmtId="43" fontId="2" fillId="0" borderId="1" xfId="1" applyFon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4" fontId="0" fillId="0" borderId="1" xfId="0" applyNumberFormat="1" applyBorder="1" applyAlignment="1"/>
    <xf numFmtId="43" fontId="3" fillId="5" borderId="1" xfId="1" applyFont="1" applyFill="1" applyBorder="1"/>
    <xf numFmtId="4" fontId="8" fillId="5" borderId="0" xfId="0" applyNumberFormat="1" applyFont="1" applyFill="1"/>
    <xf numFmtId="0" fontId="6" fillId="0" borderId="0" xfId="0" applyFont="1" applyFill="1"/>
    <xf numFmtId="4" fontId="0" fillId="0" borderId="0" xfId="0" applyNumberForma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43" fontId="0" fillId="0" borderId="10" xfId="1" applyFont="1" applyFill="1" applyBorder="1"/>
    <xf numFmtId="4" fontId="0" fillId="8" borderId="0" xfId="0" applyNumberFormat="1" applyFill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49" fontId="3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4" fontId="0" fillId="0" borderId="0" xfId="0" applyNumberForma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3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3" fontId="2" fillId="0" borderId="0" xfId="1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9" fontId="4" fillId="0" borderId="0" xfId="0" applyNumberFormat="1" applyFont="1" applyAlignment="1">
      <alignment horizontal="left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C5A-C2AE-40FC-B67D-96CF2C50A498}">
  <dimension ref="A1:J42"/>
  <sheetViews>
    <sheetView zoomScaleNormal="100" workbookViewId="0">
      <selection activeCell="F28" sqref="F28"/>
    </sheetView>
  </sheetViews>
  <sheetFormatPr defaultRowHeight="15" x14ac:dyDescent="0.25"/>
  <cols>
    <col min="2" max="2" width="15.7109375" customWidth="1"/>
    <col min="3" max="3" width="52.85546875" bestFit="1" customWidth="1"/>
    <col min="4" max="4" width="26.42578125" customWidth="1"/>
    <col min="5" max="5" width="2.7109375" customWidth="1"/>
    <col min="6" max="6" width="12.7109375" bestFit="1" customWidth="1"/>
    <col min="7" max="7" width="11.5703125" bestFit="1" customWidth="1"/>
    <col min="8" max="8" width="12.28515625" bestFit="1" customWidth="1"/>
    <col min="9" max="9" width="12.28515625" customWidth="1"/>
    <col min="10" max="10" width="12.7109375" bestFit="1" customWidth="1"/>
  </cols>
  <sheetData>
    <row r="1" spans="1:10" x14ac:dyDescent="0.25">
      <c r="A1" s="1" t="s">
        <v>0</v>
      </c>
      <c r="B1" s="1"/>
      <c r="C1" s="2"/>
    </row>
    <row r="2" spans="1:10" x14ac:dyDescent="0.25">
      <c r="A2" t="s">
        <v>29</v>
      </c>
      <c r="C2" s="3"/>
    </row>
    <row r="3" spans="1:10" x14ac:dyDescent="0.25">
      <c r="C3" s="3"/>
    </row>
    <row r="4" spans="1:10" x14ac:dyDescent="0.25">
      <c r="A4" s="4" t="s">
        <v>1</v>
      </c>
      <c r="B4" s="4"/>
      <c r="C4" s="3"/>
    </row>
    <row r="5" spans="1:10" x14ac:dyDescent="0.25">
      <c r="C5" s="3"/>
    </row>
    <row r="6" spans="1:10" x14ac:dyDescent="0.25">
      <c r="A6" s="111" t="s">
        <v>38</v>
      </c>
      <c r="B6" s="111"/>
      <c r="C6" s="3"/>
    </row>
    <row r="7" spans="1:10" x14ac:dyDescent="0.25">
      <c r="A7" s="5"/>
      <c r="B7" s="5"/>
      <c r="C7" s="3"/>
    </row>
    <row r="8" spans="1:10" ht="15.75" x14ac:dyDescent="0.25">
      <c r="C8" s="6"/>
      <c r="D8" s="7"/>
      <c r="F8" s="52" t="s">
        <v>11</v>
      </c>
      <c r="G8" s="52" t="s">
        <v>12</v>
      </c>
      <c r="H8" s="52" t="s">
        <v>13</v>
      </c>
      <c r="I8" s="52" t="s">
        <v>32</v>
      </c>
      <c r="J8" s="53" t="s">
        <v>14</v>
      </c>
    </row>
    <row r="9" spans="1:10" x14ac:dyDescent="0.25">
      <c r="C9" s="8" t="s">
        <v>2</v>
      </c>
      <c r="D9" s="9" t="s">
        <v>3</v>
      </c>
      <c r="J9" s="50"/>
    </row>
    <row r="10" spans="1:10" x14ac:dyDescent="0.25">
      <c r="A10" s="10">
        <v>1</v>
      </c>
      <c r="B10" s="43" t="s">
        <v>4</v>
      </c>
      <c r="C10" s="12" t="s">
        <v>42</v>
      </c>
      <c r="D10" s="16">
        <f t="shared" ref="D10:D37" si="0">J10</f>
        <v>235830</v>
      </c>
      <c r="F10" s="14">
        <v>89154</v>
      </c>
      <c r="G10" s="14">
        <v>85118</v>
      </c>
      <c r="H10" s="14">
        <v>61558</v>
      </c>
      <c r="I10" s="14"/>
      <c r="J10" s="17">
        <f t="shared" ref="J10:J39" si="1">F10+G10+H10</f>
        <v>235830</v>
      </c>
    </row>
    <row r="11" spans="1:10" x14ac:dyDescent="0.25">
      <c r="A11" s="10">
        <f>A10+1</f>
        <v>2</v>
      </c>
      <c r="B11" s="56" t="s">
        <v>5</v>
      </c>
      <c r="C11" s="12" t="s">
        <v>43</v>
      </c>
      <c r="D11" s="16">
        <f t="shared" si="0"/>
        <v>513991.5</v>
      </c>
      <c r="F11" s="14">
        <v>288367</v>
      </c>
      <c r="G11" s="14">
        <v>81487</v>
      </c>
      <c r="H11" s="14">
        <v>144137.5</v>
      </c>
      <c r="I11" s="14"/>
      <c r="J11" s="17">
        <f t="shared" si="1"/>
        <v>513991.5</v>
      </c>
    </row>
    <row r="12" spans="1:10" x14ac:dyDescent="0.25">
      <c r="A12" s="10">
        <f t="shared" ref="A12:A40" si="2">A11+1</f>
        <v>3</v>
      </c>
      <c r="B12" s="13" t="s">
        <v>6</v>
      </c>
      <c r="C12" s="44" t="s">
        <v>30</v>
      </c>
      <c r="D12" s="55" t="s">
        <v>30</v>
      </c>
      <c r="F12" s="14"/>
      <c r="G12" s="14"/>
      <c r="H12" s="14"/>
      <c r="I12" s="14"/>
      <c r="J12" s="59"/>
    </row>
    <row r="13" spans="1:10" x14ac:dyDescent="0.25">
      <c r="A13" s="10">
        <f t="shared" si="2"/>
        <v>4</v>
      </c>
      <c r="B13" s="11" t="s">
        <v>7</v>
      </c>
      <c r="C13" s="12" t="s">
        <v>45</v>
      </c>
      <c r="D13" s="16">
        <f t="shared" si="0"/>
        <v>310909.5</v>
      </c>
      <c r="F13" s="14">
        <v>32982</v>
      </c>
      <c r="G13" s="14">
        <v>154859.5</v>
      </c>
      <c r="H13" s="14">
        <v>123068</v>
      </c>
      <c r="I13" s="14"/>
      <c r="J13" s="17">
        <f t="shared" si="1"/>
        <v>310909.5</v>
      </c>
    </row>
    <row r="14" spans="1:10" x14ac:dyDescent="0.25">
      <c r="A14" s="10">
        <f t="shared" si="2"/>
        <v>5</v>
      </c>
      <c r="B14" s="43" t="s">
        <v>8</v>
      </c>
      <c r="C14" s="12" t="s">
        <v>49</v>
      </c>
      <c r="D14" s="16">
        <f t="shared" si="0"/>
        <v>710740</v>
      </c>
      <c r="F14" s="14">
        <v>228612</v>
      </c>
      <c r="G14" s="14">
        <v>212950.5</v>
      </c>
      <c r="H14" s="14">
        <v>269177.5</v>
      </c>
      <c r="I14" s="14"/>
      <c r="J14" s="17">
        <f t="shared" si="1"/>
        <v>710740</v>
      </c>
    </row>
    <row r="15" spans="1:10" x14ac:dyDescent="0.25">
      <c r="A15" s="10">
        <f t="shared" si="2"/>
        <v>6</v>
      </c>
      <c r="B15" s="56" t="s">
        <v>9</v>
      </c>
      <c r="C15" s="44" t="s">
        <v>52</v>
      </c>
      <c r="D15" s="55" t="s">
        <v>52</v>
      </c>
      <c r="F15" s="14"/>
      <c r="G15" s="14"/>
      <c r="H15" s="14"/>
      <c r="I15" s="14"/>
      <c r="J15" s="17">
        <f t="shared" si="1"/>
        <v>0</v>
      </c>
    </row>
    <row r="16" spans="1:10" x14ac:dyDescent="0.25">
      <c r="A16" s="10">
        <f t="shared" si="2"/>
        <v>7</v>
      </c>
      <c r="B16" s="11" t="s">
        <v>31</v>
      </c>
      <c r="C16" s="12" t="s">
        <v>53</v>
      </c>
      <c r="D16" s="16">
        <f t="shared" si="0"/>
        <v>259843.5</v>
      </c>
      <c r="F16" s="14">
        <v>60591</v>
      </c>
      <c r="G16" s="14">
        <v>117232.5</v>
      </c>
      <c r="H16" s="14">
        <v>82020</v>
      </c>
      <c r="I16" s="14"/>
      <c r="J16" s="17">
        <f t="shared" si="1"/>
        <v>259843.5</v>
      </c>
    </row>
    <row r="17" spans="1:10" x14ac:dyDescent="0.25">
      <c r="A17" s="10">
        <f t="shared" si="2"/>
        <v>8</v>
      </c>
      <c r="B17" s="43" t="s">
        <v>4</v>
      </c>
      <c r="C17" s="12" t="s">
        <v>55</v>
      </c>
      <c r="D17" s="16">
        <f t="shared" si="0"/>
        <v>209173</v>
      </c>
      <c r="F17" s="14">
        <v>44309</v>
      </c>
      <c r="G17" s="14">
        <v>101744</v>
      </c>
      <c r="H17" s="14">
        <v>63120</v>
      </c>
      <c r="I17" s="14"/>
      <c r="J17" s="17">
        <f t="shared" si="1"/>
        <v>209173</v>
      </c>
    </row>
    <row r="18" spans="1:10" x14ac:dyDescent="0.25">
      <c r="A18" s="10">
        <f t="shared" si="2"/>
        <v>9</v>
      </c>
      <c r="B18" s="56" t="s">
        <v>5</v>
      </c>
      <c r="C18" s="12" t="s">
        <v>57</v>
      </c>
      <c r="D18" s="16">
        <f t="shared" si="0"/>
        <v>473808.5</v>
      </c>
      <c r="F18" s="14">
        <v>162829</v>
      </c>
      <c r="G18" s="14">
        <v>177757.5</v>
      </c>
      <c r="H18" s="14">
        <v>133222</v>
      </c>
      <c r="I18" s="14"/>
      <c r="J18" s="17">
        <f t="shared" si="1"/>
        <v>473808.5</v>
      </c>
    </row>
    <row r="19" spans="1:10" x14ac:dyDescent="0.25">
      <c r="A19" s="10">
        <f t="shared" si="2"/>
        <v>10</v>
      </c>
      <c r="B19" s="13" t="s">
        <v>6</v>
      </c>
      <c r="C19" s="44" t="s">
        <v>30</v>
      </c>
      <c r="D19" s="55" t="s">
        <v>30</v>
      </c>
      <c r="F19" s="14"/>
      <c r="G19" s="14"/>
      <c r="H19" s="14"/>
      <c r="I19" s="14"/>
      <c r="J19" s="59"/>
    </row>
    <row r="20" spans="1:10" x14ac:dyDescent="0.25">
      <c r="A20" s="10">
        <f t="shared" si="2"/>
        <v>11</v>
      </c>
      <c r="B20" s="11" t="s">
        <v>7</v>
      </c>
      <c r="C20" s="12" t="s">
        <v>59</v>
      </c>
      <c r="D20" s="16">
        <f t="shared" si="0"/>
        <v>520718.5</v>
      </c>
      <c r="F20" s="14">
        <v>67271</v>
      </c>
      <c r="G20" s="14">
        <v>161451.5</v>
      </c>
      <c r="H20" s="14">
        <v>291996</v>
      </c>
      <c r="I20" s="14"/>
      <c r="J20" s="17">
        <f t="shared" si="1"/>
        <v>520718.5</v>
      </c>
    </row>
    <row r="21" spans="1:10" x14ac:dyDescent="0.25">
      <c r="A21" s="10">
        <f t="shared" si="2"/>
        <v>12</v>
      </c>
      <c r="B21" s="43" t="s">
        <v>8</v>
      </c>
      <c r="C21" s="12" t="s">
        <v>61</v>
      </c>
      <c r="D21" s="16">
        <f t="shared" si="0"/>
        <v>893414.5</v>
      </c>
      <c r="F21" s="14">
        <v>315850</v>
      </c>
      <c r="G21" s="14">
        <v>109917.5</v>
      </c>
      <c r="H21" s="14">
        <v>467647</v>
      </c>
      <c r="I21" s="14"/>
      <c r="J21" s="17">
        <f t="shared" si="1"/>
        <v>893414.5</v>
      </c>
    </row>
    <row r="22" spans="1:10" x14ac:dyDescent="0.25">
      <c r="A22" s="10">
        <f t="shared" si="2"/>
        <v>13</v>
      </c>
      <c r="B22" s="56" t="s">
        <v>9</v>
      </c>
      <c r="C22" s="12" t="s">
        <v>67</v>
      </c>
      <c r="D22" s="16">
        <f t="shared" si="0"/>
        <v>378158.5</v>
      </c>
      <c r="F22" s="14">
        <v>164577</v>
      </c>
      <c r="G22" s="14">
        <v>65299.5</v>
      </c>
      <c r="H22" s="14">
        <v>148282</v>
      </c>
      <c r="I22" s="14"/>
      <c r="J22" s="17">
        <f t="shared" si="1"/>
        <v>378158.5</v>
      </c>
    </row>
    <row r="23" spans="1:10" x14ac:dyDescent="0.25">
      <c r="A23" s="10">
        <f t="shared" si="2"/>
        <v>14</v>
      </c>
      <c r="B23" s="11" t="s">
        <v>31</v>
      </c>
      <c r="C23" s="12" t="s">
        <v>68</v>
      </c>
      <c r="D23" s="16">
        <f t="shared" si="0"/>
        <v>271187</v>
      </c>
      <c r="F23" s="14"/>
      <c r="G23" s="14">
        <v>134040</v>
      </c>
      <c r="H23" s="14">
        <v>137147</v>
      </c>
      <c r="I23" s="14"/>
      <c r="J23" s="17">
        <f t="shared" si="1"/>
        <v>271187</v>
      </c>
    </row>
    <row r="24" spans="1:10" x14ac:dyDescent="0.25">
      <c r="A24" s="10">
        <f t="shared" si="2"/>
        <v>15</v>
      </c>
      <c r="B24" s="43" t="s">
        <v>4</v>
      </c>
      <c r="C24" s="44" t="s">
        <v>52</v>
      </c>
      <c r="D24" s="55" t="s">
        <v>52</v>
      </c>
      <c r="F24" s="14"/>
      <c r="G24" s="14"/>
      <c r="H24" s="14"/>
      <c r="I24" s="14"/>
      <c r="J24" s="17">
        <f t="shared" si="1"/>
        <v>0</v>
      </c>
    </row>
    <row r="25" spans="1:10" x14ac:dyDescent="0.25">
      <c r="A25" s="10">
        <f t="shared" si="2"/>
        <v>16</v>
      </c>
      <c r="B25" s="56" t="s">
        <v>5</v>
      </c>
      <c r="C25" s="12" t="s">
        <v>71</v>
      </c>
      <c r="D25" s="16">
        <f t="shared" si="0"/>
        <v>883329</v>
      </c>
      <c r="F25" s="14">
        <v>199250.5</v>
      </c>
      <c r="G25" s="14">
        <v>267669.5</v>
      </c>
      <c r="H25" s="14">
        <v>416409</v>
      </c>
      <c r="I25" s="14"/>
      <c r="J25" s="17">
        <f t="shared" si="1"/>
        <v>883329</v>
      </c>
    </row>
    <row r="26" spans="1:10" x14ac:dyDescent="0.25">
      <c r="A26" s="10">
        <f t="shared" si="2"/>
        <v>17</v>
      </c>
      <c r="B26" s="13" t="s">
        <v>6</v>
      </c>
      <c r="C26" s="44" t="s">
        <v>30</v>
      </c>
      <c r="D26" s="55" t="s">
        <v>30</v>
      </c>
      <c r="F26" s="14"/>
      <c r="G26" s="14"/>
      <c r="H26" s="14"/>
      <c r="I26" s="14"/>
      <c r="J26" s="59"/>
    </row>
    <row r="27" spans="1:10" x14ac:dyDescent="0.25">
      <c r="A27" s="10">
        <f t="shared" si="2"/>
        <v>18</v>
      </c>
      <c r="B27" s="11" t="s">
        <v>7</v>
      </c>
      <c r="C27" s="12" t="s">
        <v>74</v>
      </c>
      <c r="D27" s="16">
        <f t="shared" si="0"/>
        <v>521757.5</v>
      </c>
      <c r="F27" s="14">
        <v>159865</v>
      </c>
      <c r="G27" s="14">
        <v>204362.5</v>
      </c>
      <c r="H27" s="14">
        <v>157530</v>
      </c>
      <c r="I27" s="14"/>
      <c r="J27" s="17">
        <f>F27+G27+H27</f>
        <v>521757.5</v>
      </c>
    </row>
    <row r="28" spans="1:10" x14ac:dyDescent="0.25">
      <c r="A28" s="10">
        <f t="shared" si="2"/>
        <v>19</v>
      </c>
      <c r="B28" s="43" t="s">
        <v>8</v>
      </c>
      <c r="C28" s="12"/>
      <c r="D28" s="16">
        <f t="shared" si="0"/>
        <v>0</v>
      </c>
      <c r="F28" s="14"/>
      <c r="G28" s="14"/>
      <c r="H28" s="14"/>
      <c r="I28" s="14"/>
      <c r="J28" s="17">
        <f t="shared" si="1"/>
        <v>0</v>
      </c>
    </row>
    <row r="29" spans="1:10" x14ac:dyDescent="0.25">
      <c r="A29" s="10">
        <f t="shared" si="2"/>
        <v>20</v>
      </c>
      <c r="B29" s="56" t="s">
        <v>9</v>
      </c>
      <c r="C29" s="12"/>
      <c r="D29" s="16">
        <f t="shared" si="0"/>
        <v>0</v>
      </c>
      <c r="F29" s="14"/>
      <c r="G29" s="14"/>
      <c r="H29" s="14"/>
      <c r="I29" s="14"/>
      <c r="J29" s="17">
        <f t="shared" si="1"/>
        <v>0</v>
      </c>
    </row>
    <row r="30" spans="1:10" x14ac:dyDescent="0.25">
      <c r="A30" s="10">
        <f t="shared" si="2"/>
        <v>21</v>
      </c>
      <c r="B30" s="11" t="s">
        <v>31</v>
      </c>
      <c r="C30" s="12"/>
      <c r="D30" s="16">
        <f t="shared" si="0"/>
        <v>0</v>
      </c>
      <c r="F30" s="14"/>
      <c r="G30" s="14"/>
      <c r="H30" s="14"/>
      <c r="I30" s="14"/>
      <c r="J30" s="17">
        <f t="shared" si="1"/>
        <v>0</v>
      </c>
    </row>
    <row r="31" spans="1:10" x14ac:dyDescent="0.25">
      <c r="A31" s="10">
        <f t="shared" si="2"/>
        <v>22</v>
      </c>
      <c r="B31" s="43" t="s">
        <v>4</v>
      </c>
      <c r="C31" s="12"/>
      <c r="D31" s="16">
        <f t="shared" si="0"/>
        <v>0</v>
      </c>
      <c r="E31" s="14"/>
      <c r="F31" s="14"/>
      <c r="G31" s="14"/>
      <c r="H31" s="14"/>
      <c r="I31" s="14"/>
      <c r="J31" s="17">
        <f t="shared" si="1"/>
        <v>0</v>
      </c>
    </row>
    <row r="32" spans="1:10" x14ac:dyDescent="0.25">
      <c r="A32" s="10">
        <f t="shared" si="2"/>
        <v>23</v>
      </c>
      <c r="B32" s="56" t="s">
        <v>5</v>
      </c>
      <c r="C32" s="12"/>
      <c r="D32" s="16">
        <f t="shared" si="0"/>
        <v>0</v>
      </c>
      <c r="E32" s="15"/>
      <c r="F32" s="15"/>
      <c r="G32" s="14"/>
      <c r="H32" s="54"/>
      <c r="I32" s="54"/>
      <c r="J32" s="17">
        <f t="shared" si="1"/>
        <v>0</v>
      </c>
    </row>
    <row r="33" spans="1:10" x14ac:dyDescent="0.25">
      <c r="A33" s="10">
        <f t="shared" si="2"/>
        <v>24</v>
      </c>
      <c r="B33" s="13" t="s">
        <v>6</v>
      </c>
      <c r="C33" s="44" t="s">
        <v>30</v>
      </c>
      <c r="D33" s="55" t="s">
        <v>30</v>
      </c>
      <c r="E33" s="15"/>
      <c r="F33" s="15"/>
      <c r="G33" s="14"/>
      <c r="H33" s="14"/>
      <c r="I33" s="14"/>
      <c r="J33" s="59"/>
    </row>
    <row r="34" spans="1:10" x14ac:dyDescent="0.25">
      <c r="A34" s="10">
        <f>A33+1</f>
        <v>25</v>
      </c>
      <c r="B34" s="11" t="s">
        <v>7</v>
      </c>
      <c r="C34" s="12"/>
      <c r="D34" s="16">
        <f t="shared" si="0"/>
        <v>0</v>
      </c>
      <c r="E34" s="14"/>
      <c r="F34" s="15"/>
      <c r="G34" s="14"/>
      <c r="H34" s="14"/>
      <c r="I34" s="14"/>
      <c r="J34" s="17">
        <f t="shared" si="1"/>
        <v>0</v>
      </c>
    </row>
    <row r="35" spans="1:10" x14ac:dyDescent="0.25">
      <c r="A35" s="10">
        <f t="shared" si="2"/>
        <v>26</v>
      </c>
      <c r="B35" s="43" t="s">
        <v>8</v>
      </c>
      <c r="C35" s="12"/>
      <c r="D35" s="16">
        <f t="shared" si="0"/>
        <v>0</v>
      </c>
      <c r="E35" s="14"/>
      <c r="F35" s="14"/>
      <c r="G35" s="14"/>
      <c r="H35" s="14"/>
      <c r="I35" s="14"/>
      <c r="J35" s="17">
        <f t="shared" si="1"/>
        <v>0</v>
      </c>
    </row>
    <row r="36" spans="1:10" x14ac:dyDescent="0.25">
      <c r="A36" s="10">
        <f t="shared" si="2"/>
        <v>27</v>
      </c>
      <c r="B36" s="56" t="s">
        <v>9</v>
      </c>
      <c r="C36" s="12"/>
      <c r="D36" s="16">
        <f t="shared" si="0"/>
        <v>0</v>
      </c>
      <c r="E36" s="14"/>
      <c r="F36" s="14"/>
      <c r="G36" s="14"/>
      <c r="H36" s="14"/>
      <c r="I36" s="14"/>
      <c r="J36" s="17">
        <f t="shared" si="1"/>
        <v>0</v>
      </c>
    </row>
    <row r="37" spans="1:10" x14ac:dyDescent="0.25">
      <c r="A37" s="10">
        <f t="shared" si="2"/>
        <v>28</v>
      </c>
      <c r="B37" s="11" t="s">
        <v>31</v>
      </c>
      <c r="C37" s="12"/>
      <c r="D37" s="16">
        <f t="shared" si="0"/>
        <v>0</v>
      </c>
      <c r="E37" s="14"/>
      <c r="F37" s="14"/>
      <c r="G37" s="14"/>
      <c r="H37" s="14"/>
      <c r="I37" s="14"/>
      <c r="J37" s="17">
        <f t="shared" si="1"/>
        <v>0</v>
      </c>
    </row>
    <row r="38" spans="1:10" x14ac:dyDescent="0.25">
      <c r="A38" s="10">
        <f t="shared" si="2"/>
        <v>29</v>
      </c>
      <c r="B38" s="43" t="s">
        <v>4</v>
      </c>
      <c r="C38" s="12"/>
      <c r="D38" s="16">
        <f t="shared" ref="D38:D39" si="3">J38</f>
        <v>0</v>
      </c>
      <c r="E38" s="14"/>
      <c r="F38" s="14"/>
      <c r="G38" s="14"/>
      <c r="H38" s="14"/>
      <c r="I38" s="14"/>
      <c r="J38" s="17">
        <f t="shared" si="1"/>
        <v>0</v>
      </c>
    </row>
    <row r="39" spans="1:10" x14ac:dyDescent="0.25">
      <c r="A39" s="10">
        <f t="shared" si="2"/>
        <v>30</v>
      </c>
      <c r="B39" s="56" t="s">
        <v>5</v>
      </c>
      <c r="C39" s="12"/>
      <c r="D39" s="16">
        <f t="shared" si="3"/>
        <v>0</v>
      </c>
      <c r="E39" s="14"/>
      <c r="F39" s="14"/>
      <c r="G39" s="14"/>
      <c r="H39" s="14"/>
      <c r="I39" s="14"/>
      <c r="J39" s="17">
        <f t="shared" si="1"/>
        <v>0</v>
      </c>
    </row>
    <row r="40" spans="1:10" x14ac:dyDescent="0.25">
      <c r="A40" s="10">
        <f t="shared" si="2"/>
        <v>31</v>
      </c>
      <c r="B40" s="13" t="s">
        <v>6</v>
      </c>
      <c r="C40" s="44" t="s">
        <v>30</v>
      </c>
      <c r="D40" s="55" t="s">
        <v>30</v>
      </c>
      <c r="E40" s="14"/>
      <c r="F40" s="14"/>
      <c r="G40" s="14"/>
      <c r="H40" s="14"/>
      <c r="I40" s="14"/>
      <c r="J40" s="59"/>
    </row>
    <row r="41" spans="1:10" x14ac:dyDescent="0.25">
      <c r="A41" s="10"/>
      <c r="B41" s="13"/>
      <c r="C41" s="12"/>
      <c r="D41" s="12"/>
      <c r="E41" s="14"/>
      <c r="F41" s="14"/>
      <c r="G41" s="14"/>
      <c r="H41" s="14"/>
      <c r="I41" s="14"/>
      <c r="J41" s="51"/>
    </row>
    <row r="42" spans="1:10" x14ac:dyDescent="0.25">
      <c r="A42" s="112" t="s">
        <v>10</v>
      </c>
      <c r="B42" s="113"/>
      <c r="C42" s="114"/>
      <c r="D42" s="48">
        <f>SUM(D2:D39)</f>
        <v>6182861</v>
      </c>
      <c r="J42" s="49">
        <f>SUM(J10:J41)</f>
        <v>6182861</v>
      </c>
    </row>
  </sheetData>
  <mergeCells count="2">
    <mergeCell ref="A6:B6"/>
    <mergeCell ref="A42:C42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6C7A-3258-4EBB-AC49-90A5F4A303C4}">
  <dimension ref="A1:AZ1329"/>
  <sheetViews>
    <sheetView tabSelected="1" topLeftCell="A719" zoomScale="85" zoomScaleNormal="85" workbookViewId="0">
      <selection activeCell="O744" sqref="O744"/>
    </sheetView>
  </sheetViews>
  <sheetFormatPr defaultRowHeight="15" x14ac:dyDescent="0.25"/>
  <cols>
    <col min="1" max="1" width="5.28515625" customWidth="1"/>
    <col min="2" max="3" width="13.28515625" style="3" customWidth="1"/>
    <col min="4" max="4" width="16" style="3" bestFit="1" customWidth="1"/>
    <col min="5" max="5" width="11.7109375" style="3" customWidth="1"/>
    <col min="6" max="6" width="11.85546875" style="57" customWidth="1"/>
    <col min="7" max="7" width="15.7109375" style="3" bestFit="1" customWidth="1"/>
    <col min="8" max="8" width="2.5703125" customWidth="1"/>
    <col min="9" max="11" width="13.28515625" customWidth="1"/>
    <col min="12" max="12" width="5.85546875" style="18" customWidth="1"/>
    <col min="13" max="13" width="5.140625" customWidth="1"/>
    <col min="14" max="16" width="13.28515625" customWidth="1"/>
    <col min="17" max="18" width="11.85546875" customWidth="1"/>
    <col min="19" max="19" width="13.28515625" customWidth="1"/>
    <col min="20" max="20" width="2.5703125" customWidth="1"/>
    <col min="21" max="22" width="13" customWidth="1"/>
    <col min="23" max="23" width="13.28515625" customWidth="1"/>
    <col min="24" max="24" width="5.5703125" style="18" customWidth="1"/>
    <col min="25" max="25" width="5.140625" customWidth="1"/>
    <col min="26" max="28" width="13.28515625" customWidth="1"/>
    <col min="29" max="30" width="12.28515625" customWidth="1"/>
    <col min="31" max="31" width="13.28515625" customWidth="1"/>
    <col min="32" max="32" width="2.5703125" customWidth="1"/>
    <col min="33" max="34" width="13.140625" customWidth="1"/>
    <col min="35" max="35" width="13.28515625" customWidth="1"/>
    <col min="36" max="36" width="5.42578125" style="18" customWidth="1"/>
    <col min="37" max="37" width="5" customWidth="1"/>
    <col min="38" max="38" width="12" bestFit="1" customWidth="1"/>
    <col min="39" max="40" width="13.28515625" customWidth="1"/>
    <col min="41" max="41" width="12.140625" customWidth="1"/>
    <col min="42" max="42" width="13.28515625" customWidth="1"/>
    <col min="43" max="43" width="2.5703125" customWidth="1"/>
    <col min="44" max="45" width="13" customWidth="1"/>
    <col min="46" max="46" width="13.28515625" customWidth="1"/>
  </cols>
  <sheetData>
    <row r="1" spans="1:3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t="s">
        <v>0</v>
      </c>
      <c r="B2" s="57"/>
      <c r="C2" s="57"/>
      <c r="D2" s="57"/>
      <c r="E2" s="57"/>
      <c r="G2" s="57"/>
      <c r="M2" t="s">
        <v>0</v>
      </c>
      <c r="N2" s="57"/>
      <c r="O2" s="57"/>
      <c r="P2" s="57"/>
      <c r="Q2" s="57"/>
      <c r="R2" s="57"/>
      <c r="S2" s="57"/>
      <c r="Y2" t="s">
        <v>0</v>
      </c>
      <c r="Z2" s="57"/>
      <c r="AA2" s="57"/>
      <c r="AB2" s="57"/>
      <c r="AC2" s="57"/>
      <c r="AD2" s="57"/>
      <c r="AE2" s="57"/>
    </row>
    <row r="3" spans="1:35" x14ac:dyDescent="0.25">
      <c r="A3" t="s">
        <v>29</v>
      </c>
      <c r="B3" s="57"/>
      <c r="C3" s="57"/>
      <c r="D3" s="57"/>
      <c r="E3" s="57"/>
      <c r="G3" s="57"/>
      <c r="M3" t="s">
        <v>29</v>
      </c>
      <c r="N3" s="57"/>
      <c r="O3" s="57"/>
      <c r="P3" s="57"/>
      <c r="Q3" s="57"/>
      <c r="R3" s="57"/>
      <c r="S3" s="57"/>
      <c r="Y3" t="s">
        <v>29</v>
      </c>
      <c r="Z3" s="57"/>
      <c r="AA3" s="57"/>
      <c r="AB3" s="57"/>
      <c r="AC3" s="57"/>
      <c r="AD3" s="57"/>
      <c r="AE3" s="57"/>
    </row>
    <row r="4" spans="1:35" x14ac:dyDescent="0.25">
      <c r="B4" s="57"/>
      <c r="C4" s="57"/>
      <c r="D4" s="57"/>
      <c r="E4" s="57"/>
      <c r="G4" s="57"/>
      <c r="N4" s="57"/>
      <c r="O4" s="57"/>
      <c r="P4" s="57"/>
      <c r="Q4" s="57"/>
      <c r="R4" s="57"/>
      <c r="S4" s="57"/>
      <c r="Z4" s="57"/>
      <c r="AA4" s="57"/>
      <c r="AB4" s="57"/>
      <c r="AC4" s="57"/>
      <c r="AD4" s="57"/>
      <c r="AE4" s="57"/>
    </row>
    <row r="5" spans="1:35" x14ac:dyDescent="0.25">
      <c r="A5" s="4" t="s">
        <v>15</v>
      </c>
      <c r="B5" s="57"/>
      <c r="C5" s="57"/>
      <c r="D5" s="57"/>
      <c r="E5" s="57"/>
      <c r="G5" s="57"/>
      <c r="M5" s="4" t="s">
        <v>15</v>
      </c>
      <c r="N5" s="57"/>
      <c r="O5" s="57"/>
      <c r="P5" s="57"/>
      <c r="Q5" s="57"/>
      <c r="R5" s="57"/>
      <c r="S5" s="57"/>
      <c r="Y5" s="4" t="s">
        <v>15</v>
      </c>
      <c r="Z5" s="57"/>
      <c r="AA5" s="57"/>
      <c r="AB5" s="57"/>
      <c r="AC5" s="57"/>
      <c r="AD5" s="57"/>
      <c r="AE5" s="57"/>
    </row>
    <row r="6" spans="1:35" x14ac:dyDescent="0.25">
      <c r="B6" s="57"/>
      <c r="C6" s="57"/>
      <c r="D6" s="57"/>
      <c r="E6" s="57"/>
      <c r="G6" s="57"/>
      <c r="N6" s="57"/>
      <c r="O6" s="57"/>
      <c r="P6" s="57"/>
      <c r="Q6" s="57"/>
      <c r="R6" s="57"/>
      <c r="S6" s="57"/>
      <c r="Z6" s="57"/>
      <c r="AA6" s="57"/>
      <c r="AB6" s="57"/>
      <c r="AC6" s="57"/>
      <c r="AD6" s="57"/>
      <c r="AE6" s="57"/>
    </row>
    <row r="7" spans="1:35" ht="15.75" x14ac:dyDescent="0.25">
      <c r="A7" t="s">
        <v>37</v>
      </c>
      <c r="B7" s="57"/>
      <c r="C7" s="57"/>
      <c r="D7" s="57"/>
      <c r="E7" s="57"/>
      <c r="G7" s="57"/>
      <c r="I7" s="57" t="s">
        <v>16</v>
      </c>
      <c r="J7" s="19">
        <v>1</v>
      </c>
      <c r="M7" t="s">
        <v>37</v>
      </c>
      <c r="N7" s="57"/>
      <c r="O7" s="57"/>
      <c r="P7" s="57"/>
      <c r="Q7" s="57"/>
      <c r="R7" s="57"/>
      <c r="S7" s="57"/>
      <c r="U7" s="57" t="s">
        <v>16</v>
      </c>
      <c r="V7" s="19">
        <v>2</v>
      </c>
      <c r="Y7" t="s">
        <v>37</v>
      </c>
      <c r="Z7" s="57"/>
      <c r="AA7" s="57"/>
      <c r="AB7" s="57"/>
      <c r="AC7" s="57"/>
      <c r="AD7" s="57"/>
      <c r="AE7" s="57"/>
      <c r="AG7" s="57" t="s">
        <v>16</v>
      </c>
      <c r="AH7" s="20">
        <v>3</v>
      </c>
    </row>
    <row r="8" spans="1:35" x14ac:dyDescent="0.25">
      <c r="A8" s="21" t="s">
        <v>39</v>
      </c>
      <c r="B8" s="20"/>
      <c r="C8" s="57"/>
      <c r="D8" s="57"/>
      <c r="E8" s="57"/>
      <c r="G8" s="57"/>
      <c r="I8" s="22" t="s">
        <v>17</v>
      </c>
      <c r="J8" s="23" t="s">
        <v>33</v>
      </c>
      <c r="K8" s="24"/>
      <c r="M8" s="21" t="s">
        <v>39</v>
      </c>
      <c r="N8" s="20"/>
      <c r="O8" s="57"/>
      <c r="P8" s="57"/>
      <c r="Q8" s="57"/>
      <c r="R8" s="57"/>
      <c r="S8" s="57"/>
      <c r="U8" s="22" t="s">
        <v>17</v>
      </c>
      <c r="V8" s="23" t="s">
        <v>34</v>
      </c>
      <c r="W8" s="24"/>
      <c r="Y8" s="21" t="s">
        <v>39</v>
      </c>
      <c r="Z8" s="20"/>
      <c r="AA8" s="57"/>
      <c r="AB8" s="57"/>
      <c r="AC8" s="57"/>
      <c r="AD8" s="57"/>
      <c r="AE8" s="57"/>
      <c r="AG8" s="22" t="s">
        <v>17</v>
      </c>
      <c r="AH8" s="23" t="s">
        <v>35</v>
      </c>
      <c r="AI8" s="24"/>
    </row>
    <row r="9" spans="1:35" x14ac:dyDescent="0.25">
      <c r="B9" s="57"/>
      <c r="C9" s="57"/>
      <c r="D9" s="57"/>
      <c r="E9" s="57"/>
      <c r="G9" s="57"/>
      <c r="N9" s="57"/>
      <c r="O9" s="57"/>
      <c r="P9" s="57"/>
      <c r="Q9" s="57"/>
      <c r="R9" s="57"/>
      <c r="S9" s="57"/>
      <c r="Z9" s="57"/>
      <c r="AA9" s="57"/>
      <c r="AB9" s="57"/>
      <c r="AC9" s="57"/>
      <c r="AD9" s="57"/>
      <c r="AE9" s="57"/>
    </row>
    <row r="10" spans="1:35" x14ac:dyDescent="0.25">
      <c r="B10" s="25"/>
      <c r="C10" s="26"/>
      <c r="D10" s="121" t="s">
        <v>18</v>
      </c>
      <c r="E10" s="121"/>
      <c r="F10" s="81"/>
      <c r="G10" s="27"/>
      <c r="I10" s="119" t="s">
        <v>19</v>
      </c>
      <c r="J10" s="120"/>
      <c r="K10" s="117" t="s">
        <v>20</v>
      </c>
      <c r="N10" s="25"/>
      <c r="O10" s="26"/>
      <c r="P10" s="121" t="s">
        <v>18</v>
      </c>
      <c r="Q10" s="121"/>
      <c r="R10" s="81"/>
      <c r="S10" s="27"/>
      <c r="U10" s="119" t="s">
        <v>19</v>
      </c>
      <c r="V10" s="120"/>
      <c r="W10" s="117" t="s">
        <v>20</v>
      </c>
      <c r="Z10" s="25"/>
      <c r="AA10" s="26"/>
      <c r="AB10" s="121" t="s">
        <v>18</v>
      </c>
      <c r="AC10" s="121"/>
      <c r="AD10" s="81"/>
      <c r="AE10" s="27"/>
      <c r="AG10" s="119" t="s">
        <v>19</v>
      </c>
      <c r="AH10" s="120"/>
      <c r="AI10" s="117" t="s">
        <v>20</v>
      </c>
    </row>
    <row r="11" spans="1:35" ht="30" x14ac:dyDescent="0.25">
      <c r="B11" s="28" t="s">
        <v>21</v>
      </c>
      <c r="C11" s="28" t="s">
        <v>22</v>
      </c>
      <c r="D11" s="83" t="s">
        <v>23</v>
      </c>
      <c r="E11" s="82" t="s">
        <v>24</v>
      </c>
      <c r="F11" s="84" t="s">
        <v>36</v>
      </c>
      <c r="G11" s="84" t="s">
        <v>25</v>
      </c>
      <c r="I11" s="29" t="s">
        <v>26</v>
      </c>
      <c r="J11" s="29" t="s">
        <v>27</v>
      </c>
      <c r="K11" s="118"/>
      <c r="N11" s="28" t="s">
        <v>21</v>
      </c>
      <c r="O11" s="28" t="s">
        <v>22</v>
      </c>
      <c r="P11" s="83" t="s">
        <v>23</v>
      </c>
      <c r="Q11" s="84" t="s">
        <v>24</v>
      </c>
      <c r="R11" s="84" t="s">
        <v>36</v>
      </c>
      <c r="S11" s="84" t="s">
        <v>25</v>
      </c>
      <c r="U11" s="29" t="s">
        <v>26</v>
      </c>
      <c r="V11" s="29" t="s">
        <v>27</v>
      </c>
      <c r="W11" s="118"/>
      <c r="Z11" s="28" t="s">
        <v>21</v>
      </c>
      <c r="AA11" s="28" t="s">
        <v>22</v>
      </c>
      <c r="AB11" s="83" t="s">
        <v>23</v>
      </c>
      <c r="AC11" s="84" t="s">
        <v>24</v>
      </c>
      <c r="AD11" s="84" t="s">
        <v>36</v>
      </c>
      <c r="AE11" s="84" t="s">
        <v>25</v>
      </c>
      <c r="AG11" s="29" t="s">
        <v>26</v>
      </c>
      <c r="AH11" s="29" t="s">
        <v>27</v>
      </c>
      <c r="AI11" s="118"/>
    </row>
    <row r="12" spans="1:35" x14ac:dyDescent="0.25">
      <c r="A12" s="10">
        <v>1</v>
      </c>
      <c r="B12" s="30">
        <v>45665</v>
      </c>
      <c r="C12" s="31">
        <v>4722</v>
      </c>
      <c r="D12" s="32">
        <f>9130+852+1664</f>
        <v>11646</v>
      </c>
      <c r="E12" s="32"/>
      <c r="F12" s="32"/>
      <c r="G12" s="32">
        <f t="shared" ref="G12:G45" si="0">SUM(D12:E12)</f>
        <v>11646</v>
      </c>
      <c r="H12" s="12"/>
      <c r="I12" s="12"/>
      <c r="J12" s="12"/>
      <c r="K12" s="12">
        <f t="shared" ref="K12:K45" si="1">SUM(G12:J12)</f>
        <v>11646</v>
      </c>
      <c r="M12" s="10">
        <v>1</v>
      </c>
      <c r="N12" s="30">
        <v>45665</v>
      </c>
      <c r="O12" s="31">
        <v>4801</v>
      </c>
      <c r="P12" s="32">
        <f>1878+596+38</f>
        <v>2512</v>
      </c>
      <c r="Q12" s="32"/>
      <c r="R12" s="32"/>
      <c r="S12" s="32">
        <f>SUM(P12:Q12)</f>
        <v>2512</v>
      </c>
      <c r="T12" s="12"/>
      <c r="U12" s="12"/>
      <c r="V12" s="12"/>
      <c r="W12" s="12">
        <f>SUM(S12:V12)</f>
        <v>2512</v>
      </c>
      <c r="Y12" s="10">
        <v>1</v>
      </c>
      <c r="Z12" s="30">
        <v>45665</v>
      </c>
      <c r="AA12" s="31">
        <v>4547</v>
      </c>
      <c r="AB12" s="32">
        <f>11894+614</f>
        <v>12508</v>
      </c>
      <c r="AC12" s="32"/>
      <c r="AD12" s="32"/>
      <c r="AE12" s="32">
        <f>SUM(AB12:AC12)</f>
        <v>12508</v>
      </c>
      <c r="AF12" s="12"/>
      <c r="AG12" s="12">
        <v>36</v>
      </c>
      <c r="AH12" s="12"/>
      <c r="AI12" s="12">
        <f>SUM(AE12:AH12)</f>
        <v>12544</v>
      </c>
    </row>
    <row r="13" spans="1:35" x14ac:dyDescent="0.25">
      <c r="A13" s="10">
        <v>2</v>
      </c>
      <c r="B13" s="30">
        <v>45665</v>
      </c>
      <c r="C13" s="31">
        <f>C12+1</f>
        <v>4723</v>
      </c>
      <c r="D13" s="32">
        <f>2504+1228+38</f>
        <v>3770</v>
      </c>
      <c r="E13" s="32"/>
      <c r="F13" s="32"/>
      <c r="G13" s="32">
        <f t="shared" si="0"/>
        <v>3770</v>
      </c>
      <c r="H13" s="12"/>
      <c r="I13" s="12"/>
      <c r="J13" s="12"/>
      <c r="K13" s="12">
        <f t="shared" si="1"/>
        <v>3770</v>
      </c>
      <c r="M13" s="10">
        <v>2</v>
      </c>
      <c r="N13" s="30">
        <v>45665</v>
      </c>
      <c r="O13" s="31">
        <f>O12+1</f>
        <v>4802</v>
      </c>
      <c r="P13" s="32">
        <f>626+9.5</f>
        <v>635.5</v>
      </c>
      <c r="Q13" s="32"/>
      <c r="R13" s="32"/>
      <c r="S13" s="32">
        <f t="shared" ref="S13:S44" si="2">SUM(P13:Q13)</f>
        <v>635.5</v>
      </c>
      <c r="T13" s="12"/>
      <c r="U13" s="12"/>
      <c r="V13" s="12"/>
      <c r="W13" s="12">
        <f t="shared" ref="W13:W44" si="3">SUM(S13:V13)</f>
        <v>635.5</v>
      </c>
      <c r="Y13" s="10">
        <v>2</v>
      </c>
      <c r="Z13" s="30">
        <v>45665</v>
      </c>
      <c r="AA13" s="31">
        <f>AA12+1</f>
        <v>4548</v>
      </c>
      <c r="AB13" s="32">
        <f>6886+1228+104</f>
        <v>8218</v>
      </c>
      <c r="AC13" s="32"/>
      <c r="AD13" s="32"/>
      <c r="AE13" s="32">
        <f t="shared" ref="AE13:AE44" si="4">SUM(AB13:AC13)</f>
        <v>8218</v>
      </c>
      <c r="AF13" s="12"/>
      <c r="AG13" s="12"/>
      <c r="AH13" s="12"/>
      <c r="AI13" s="12">
        <f t="shared" ref="AI13:AI44" si="5">SUM(AE13:AH13)</f>
        <v>8218</v>
      </c>
    </row>
    <row r="14" spans="1:35" x14ac:dyDescent="0.25">
      <c r="A14" s="10">
        <v>3</v>
      </c>
      <c r="B14" s="30">
        <v>45665</v>
      </c>
      <c r="C14" s="31">
        <f t="shared" ref="C14:C33" si="6">C13+1</f>
        <v>4724</v>
      </c>
      <c r="D14" s="33">
        <f>1252+19</f>
        <v>1271</v>
      </c>
      <c r="E14" s="33"/>
      <c r="F14" s="33"/>
      <c r="G14" s="33">
        <f t="shared" si="0"/>
        <v>1271</v>
      </c>
      <c r="H14" s="34"/>
      <c r="I14" s="34"/>
      <c r="J14" s="34"/>
      <c r="K14" s="34">
        <f t="shared" si="1"/>
        <v>1271</v>
      </c>
      <c r="M14" s="10">
        <v>3</v>
      </c>
      <c r="N14" s="30">
        <v>45665</v>
      </c>
      <c r="O14" s="31">
        <f t="shared" ref="O14:O32" si="7">O13+1</f>
        <v>4803</v>
      </c>
      <c r="P14" s="32">
        <f>626+9.5</f>
        <v>635.5</v>
      </c>
      <c r="Q14" s="32"/>
      <c r="R14" s="32"/>
      <c r="S14" s="32">
        <f t="shared" si="2"/>
        <v>635.5</v>
      </c>
      <c r="T14" s="12"/>
      <c r="U14" s="12"/>
      <c r="V14" s="12"/>
      <c r="W14" s="12">
        <f t="shared" si="3"/>
        <v>635.5</v>
      </c>
      <c r="Y14" s="10">
        <v>3</v>
      </c>
      <c r="Z14" s="30">
        <v>45665</v>
      </c>
      <c r="AA14" s="31">
        <f t="shared" ref="AA14:AA18" si="8">AA13+1</f>
        <v>4549</v>
      </c>
      <c r="AB14" s="33">
        <f>2504+614+38</f>
        <v>3156</v>
      </c>
      <c r="AC14" s="33"/>
      <c r="AD14" s="32"/>
      <c r="AE14" s="32">
        <f t="shared" si="4"/>
        <v>3156</v>
      </c>
      <c r="AF14" s="12"/>
      <c r="AG14" s="12"/>
      <c r="AH14" s="12"/>
      <c r="AI14" s="12">
        <f t="shared" si="5"/>
        <v>3156</v>
      </c>
    </row>
    <row r="15" spans="1:35" x14ac:dyDescent="0.25">
      <c r="A15" s="10">
        <v>4</v>
      </c>
      <c r="B15" s="30">
        <v>45665</v>
      </c>
      <c r="C15" s="31">
        <f t="shared" si="6"/>
        <v>4725</v>
      </c>
      <c r="D15" s="32">
        <f>626+596+19</f>
        <v>1241</v>
      </c>
      <c r="E15" s="32"/>
      <c r="F15" s="32"/>
      <c r="G15" s="32">
        <f t="shared" si="0"/>
        <v>1241</v>
      </c>
      <c r="H15" s="12"/>
      <c r="I15" s="12"/>
      <c r="J15" s="12"/>
      <c r="K15" s="12">
        <f t="shared" si="1"/>
        <v>1241</v>
      </c>
      <c r="M15" s="10">
        <v>4</v>
      </c>
      <c r="N15" s="30">
        <v>45665</v>
      </c>
      <c r="O15" s="31">
        <f t="shared" si="7"/>
        <v>4804</v>
      </c>
      <c r="P15" s="32">
        <f>1192+19</f>
        <v>1211</v>
      </c>
      <c r="Q15" s="32"/>
      <c r="R15" s="32"/>
      <c r="S15" s="32">
        <f t="shared" si="2"/>
        <v>1211</v>
      </c>
      <c r="T15" s="12"/>
      <c r="U15" s="12"/>
      <c r="V15" s="12"/>
      <c r="W15" s="12">
        <f t="shared" si="3"/>
        <v>1211</v>
      </c>
      <c r="Y15" s="10">
        <v>4</v>
      </c>
      <c r="Z15" s="30">
        <v>45665</v>
      </c>
      <c r="AA15" s="31">
        <f t="shared" si="8"/>
        <v>4550</v>
      </c>
      <c r="AB15" s="32">
        <f>626+9</f>
        <v>635</v>
      </c>
      <c r="AC15" s="32"/>
      <c r="AD15" s="32"/>
      <c r="AE15" s="32">
        <f t="shared" si="4"/>
        <v>635</v>
      </c>
      <c r="AF15" s="12"/>
      <c r="AH15" s="12"/>
      <c r="AI15" s="12">
        <f t="shared" si="5"/>
        <v>635</v>
      </c>
    </row>
    <row r="16" spans="1:35" x14ac:dyDescent="0.25">
      <c r="A16" s="10">
        <v>5</v>
      </c>
      <c r="B16" s="30">
        <v>45665</v>
      </c>
      <c r="C16" s="31">
        <f t="shared" si="6"/>
        <v>4726</v>
      </c>
      <c r="D16" s="32">
        <f>2504+1228+38</f>
        <v>3770</v>
      </c>
      <c r="E16" s="32"/>
      <c r="F16" s="32"/>
      <c r="G16" s="32">
        <f t="shared" si="0"/>
        <v>3770</v>
      </c>
      <c r="H16" s="12"/>
      <c r="I16" s="12">
        <v>28</v>
      </c>
      <c r="J16" s="12"/>
      <c r="K16" s="12">
        <f t="shared" si="1"/>
        <v>3798</v>
      </c>
      <c r="M16" s="10">
        <v>5</v>
      </c>
      <c r="N16" s="30">
        <v>45665</v>
      </c>
      <c r="O16" s="31">
        <f t="shared" si="7"/>
        <v>4805</v>
      </c>
      <c r="P16" s="32">
        <f>3130+47.5</f>
        <v>3177.5</v>
      </c>
      <c r="Q16" s="32"/>
      <c r="R16" s="32"/>
      <c r="S16" s="32">
        <f t="shared" si="2"/>
        <v>3177.5</v>
      </c>
      <c r="T16" s="12"/>
      <c r="U16" s="12"/>
      <c r="V16" s="12"/>
      <c r="W16" s="12">
        <f t="shared" si="3"/>
        <v>3177.5</v>
      </c>
      <c r="Y16" s="10">
        <v>5</v>
      </c>
      <c r="Z16" s="30">
        <v>45665</v>
      </c>
      <c r="AA16" s="31">
        <v>4660</v>
      </c>
      <c r="AB16" s="32">
        <f>5008+1228+76</f>
        <v>6312</v>
      </c>
      <c r="AC16" s="32"/>
      <c r="AD16" s="32"/>
      <c r="AE16" s="32">
        <f t="shared" ref="AE16:AE21" si="9">SUM(AB16:AC16)</f>
        <v>6312</v>
      </c>
      <c r="AF16" s="12"/>
      <c r="AG16" s="12">
        <v>31</v>
      </c>
      <c r="AH16" s="12"/>
      <c r="AI16" s="12">
        <f t="shared" si="5"/>
        <v>6343</v>
      </c>
    </row>
    <row r="17" spans="1:35" x14ac:dyDescent="0.25">
      <c r="A17" s="10">
        <v>6</v>
      </c>
      <c r="B17" s="30">
        <v>45665</v>
      </c>
      <c r="C17" s="31">
        <f t="shared" si="6"/>
        <v>4727</v>
      </c>
      <c r="D17" s="32">
        <f>9390+1582+1175+143</f>
        <v>12290</v>
      </c>
      <c r="E17" s="32"/>
      <c r="F17" s="32"/>
      <c r="G17" s="32">
        <f t="shared" si="0"/>
        <v>12290</v>
      </c>
      <c r="H17" s="12"/>
      <c r="I17" s="12"/>
      <c r="J17" s="12"/>
      <c r="K17" s="12">
        <f t="shared" si="1"/>
        <v>12290</v>
      </c>
      <c r="M17" s="10">
        <v>6</v>
      </c>
      <c r="N17" s="30">
        <v>45665</v>
      </c>
      <c r="O17" s="31">
        <f t="shared" si="7"/>
        <v>4806</v>
      </c>
      <c r="P17" s="32">
        <f>1878+596+38</f>
        <v>2512</v>
      </c>
      <c r="Q17" s="32"/>
      <c r="R17" s="32"/>
      <c r="S17" s="32">
        <f t="shared" si="2"/>
        <v>2512</v>
      </c>
      <c r="T17" s="12"/>
      <c r="U17" s="12"/>
      <c r="V17" s="10"/>
      <c r="W17" s="12">
        <f t="shared" si="3"/>
        <v>2512</v>
      </c>
      <c r="Y17" s="10">
        <v>6</v>
      </c>
      <c r="Z17" s="30">
        <v>45665</v>
      </c>
      <c r="AA17" s="31">
        <f t="shared" si="8"/>
        <v>4661</v>
      </c>
      <c r="AB17" s="32">
        <f>18780+7748+1005+832+458</f>
        <v>28823</v>
      </c>
      <c r="AC17" s="32"/>
      <c r="AD17" s="32"/>
      <c r="AE17" s="32">
        <f t="shared" si="9"/>
        <v>28823</v>
      </c>
      <c r="AF17" s="12"/>
      <c r="AG17" s="12">
        <f>84+67</f>
        <v>151</v>
      </c>
      <c r="AH17" s="10"/>
      <c r="AI17" s="12">
        <f t="shared" si="5"/>
        <v>28974</v>
      </c>
    </row>
    <row r="18" spans="1:35" x14ac:dyDescent="0.25">
      <c r="A18" s="10">
        <v>7</v>
      </c>
      <c r="B18" s="30">
        <v>45665</v>
      </c>
      <c r="C18" s="31">
        <f t="shared" si="6"/>
        <v>4728</v>
      </c>
      <c r="D18" s="32">
        <f>1252+614+19</f>
        <v>1885</v>
      </c>
      <c r="E18" s="32"/>
      <c r="F18" s="32"/>
      <c r="G18" s="32">
        <f t="shared" si="0"/>
        <v>1885</v>
      </c>
      <c r="H18" s="12"/>
      <c r="I18" s="12"/>
      <c r="J18" s="12"/>
      <c r="K18" s="12">
        <f t="shared" si="1"/>
        <v>1885</v>
      </c>
      <c r="M18" s="10">
        <v>7</v>
      </c>
      <c r="N18" s="30">
        <v>45665</v>
      </c>
      <c r="O18" s="31">
        <f t="shared" si="7"/>
        <v>4807</v>
      </c>
      <c r="P18" s="32">
        <f>3130+1192+66.5</f>
        <v>4388.5</v>
      </c>
      <c r="Q18" s="32"/>
      <c r="R18" s="32"/>
      <c r="S18" s="32">
        <f t="shared" si="2"/>
        <v>4388.5</v>
      </c>
      <c r="T18" s="12"/>
      <c r="U18" s="12"/>
      <c r="V18" s="12"/>
      <c r="W18" s="12">
        <f t="shared" si="3"/>
        <v>4388.5</v>
      </c>
      <c r="Y18" s="10">
        <v>7</v>
      </c>
      <c r="Z18" s="30">
        <v>45665</v>
      </c>
      <c r="AA18" s="31">
        <f t="shared" si="8"/>
        <v>4662</v>
      </c>
      <c r="AB18" s="32">
        <f>1878+28</f>
        <v>1906</v>
      </c>
      <c r="AC18" s="32"/>
      <c r="AD18" s="32">
        <f>626*3</f>
        <v>1878</v>
      </c>
      <c r="AE18" s="32">
        <f t="shared" si="9"/>
        <v>1906</v>
      </c>
      <c r="AF18" s="12"/>
      <c r="AG18" s="58"/>
      <c r="AH18" s="12"/>
      <c r="AI18" s="12">
        <f t="shared" si="5"/>
        <v>1906</v>
      </c>
    </row>
    <row r="19" spans="1:35" x14ac:dyDescent="0.25">
      <c r="A19" s="10">
        <v>8</v>
      </c>
      <c r="B19" s="30">
        <v>45665</v>
      </c>
      <c r="C19" s="31">
        <f t="shared" si="6"/>
        <v>4729</v>
      </c>
      <c r="D19" s="32">
        <f>626+10</f>
        <v>636</v>
      </c>
      <c r="E19" s="32"/>
      <c r="F19" s="32"/>
      <c r="G19" s="32">
        <f t="shared" si="0"/>
        <v>636</v>
      </c>
      <c r="H19" s="12"/>
      <c r="I19" s="12"/>
      <c r="J19" s="12"/>
      <c r="K19" s="12">
        <f t="shared" si="1"/>
        <v>636</v>
      </c>
      <c r="M19" s="10">
        <v>8</v>
      </c>
      <c r="N19" s="30">
        <v>45665</v>
      </c>
      <c r="O19" s="31">
        <f t="shared" si="7"/>
        <v>4808</v>
      </c>
      <c r="P19" s="32">
        <f>626+9.5</f>
        <v>635.5</v>
      </c>
      <c r="Q19" s="32"/>
      <c r="R19" s="32"/>
      <c r="S19" s="32">
        <f t="shared" si="2"/>
        <v>635.5</v>
      </c>
      <c r="T19" s="12"/>
      <c r="U19" s="12"/>
      <c r="V19" s="12"/>
      <c r="W19" s="12">
        <f t="shared" si="3"/>
        <v>635.5</v>
      </c>
      <c r="Y19" s="10">
        <v>8</v>
      </c>
      <c r="Z19" s="30"/>
      <c r="AA19" s="11" t="s">
        <v>28</v>
      </c>
      <c r="AB19" s="32"/>
      <c r="AC19" s="32"/>
      <c r="AE19" s="32">
        <f t="shared" si="9"/>
        <v>0</v>
      </c>
      <c r="AF19" s="12"/>
      <c r="AG19" s="12"/>
      <c r="AH19" s="12"/>
      <c r="AI19" s="12">
        <f t="shared" si="5"/>
        <v>0</v>
      </c>
    </row>
    <row r="20" spans="1:35" x14ac:dyDescent="0.25">
      <c r="A20" s="10">
        <v>9</v>
      </c>
      <c r="B20" s="30">
        <v>45665</v>
      </c>
      <c r="C20" s="31">
        <f t="shared" si="6"/>
        <v>4730</v>
      </c>
      <c r="D20" s="32">
        <f>5008+76</f>
        <v>5084</v>
      </c>
      <c r="E20" s="32"/>
      <c r="F20" s="32"/>
      <c r="G20" s="32">
        <f t="shared" si="0"/>
        <v>5084</v>
      </c>
      <c r="H20" s="12"/>
      <c r="I20" s="12"/>
      <c r="J20" s="12"/>
      <c r="K20" s="12">
        <f t="shared" si="1"/>
        <v>5084</v>
      </c>
      <c r="M20" s="10">
        <v>9</v>
      </c>
      <c r="N20" s="30">
        <v>45665</v>
      </c>
      <c r="O20" s="31">
        <f t="shared" si="7"/>
        <v>4809</v>
      </c>
      <c r="P20" s="32">
        <f>3130+47.5</f>
        <v>3177.5</v>
      </c>
      <c r="Q20" s="32"/>
      <c r="R20" s="32"/>
      <c r="S20" s="32">
        <f t="shared" si="2"/>
        <v>3177.5</v>
      </c>
      <c r="T20" s="12"/>
      <c r="U20" s="12"/>
      <c r="V20" s="12"/>
      <c r="W20" s="12">
        <f t="shared" si="3"/>
        <v>3177.5</v>
      </c>
      <c r="Y20" s="10">
        <v>9</v>
      </c>
      <c r="Z20" s="30"/>
      <c r="AA20" s="31"/>
      <c r="AC20" s="32"/>
      <c r="AD20" s="32"/>
      <c r="AE20" s="32">
        <f t="shared" si="9"/>
        <v>0</v>
      </c>
      <c r="AF20" s="12"/>
      <c r="AH20" s="12"/>
      <c r="AI20" s="12">
        <f t="shared" si="5"/>
        <v>0</v>
      </c>
    </row>
    <row r="21" spans="1:35" x14ac:dyDescent="0.25">
      <c r="A21" s="10">
        <v>10</v>
      </c>
      <c r="B21" s="30">
        <v>45665</v>
      </c>
      <c r="C21" s="31">
        <f t="shared" si="6"/>
        <v>4731</v>
      </c>
      <c r="D21" s="32">
        <f>1878+614+29</f>
        <v>2521</v>
      </c>
      <c r="E21" s="32"/>
      <c r="F21" s="32"/>
      <c r="G21" s="32">
        <f t="shared" si="0"/>
        <v>2521</v>
      </c>
      <c r="H21" s="12"/>
      <c r="I21" s="12"/>
      <c r="J21" s="12"/>
      <c r="K21" s="12">
        <f t="shared" si="1"/>
        <v>2521</v>
      </c>
      <c r="M21" s="10">
        <v>10</v>
      </c>
      <c r="N21" s="30">
        <v>45665</v>
      </c>
      <c r="O21" s="31">
        <f t="shared" si="7"/>
        <v>4810</v>
      </c>
      <c r="P21" s="32">
        <f>1878+596+38</f>
        <v>2512</v>
      </c>
      <c r="Q21" s="32"/>
      <c r="R21" s="32"/>
      <c r="S21" s="32">
        <f t="shared" si="2"/>
        <v>2512</v>
      </c>
      <c r="T21" s="12"/>
      <c r="U21" s="12"/>
      <c r="V21" s="12"/>
      <c r="W21" s="12">
        <f t="shared" si="3"/>
        <v>2512</v>
      </c>
      <c r="Y21" s="10">
        <v>10</v>
      </c>
      <c r="Z21" s="30"/>
      <c r="AA21" s="31"/>
      <c r="AB21" s="32"/>
      <c r="AC21" s="32"/>
      <c r="AD21" s="32"/>
      <c r="AE21" s="32">
        <f t="shared" si="9"/>
        <v>0</v>
      </c>
      <c r="AF21" s="12"/>
      <c r="AG21" s="12"/>
      <c r="AH21" s="12"/>
      <c r="AI21" s="12">
        <f t="shared" si="5"/>
        <v>0</v>
      </c>
    </row>
    <row r="22" spans="1:35" x14ac:dyDescent="0.25">
      <c r="A22" s="10">
        <v>11</v>
      </c>
      <c r="B22" s="30">
        <v>45665</v>
      </c>
      <c r="C22" s="31">
        <f t="shared" si="6"/>
        <v>4732</v>
      </c>
      <c r="D22" s="32">
        <f>1878+674</f>
        <v>2552</v>
      </c>
      <c r="E22" s="32"/>
      <c r="F22" s="32"/>
      <c r="G22" s="32">
        <f t="shared" si="0"/>
        <v>2552</v>
      </c>
      <c r="H22" s="12"/>
      <c r="I22" s="12"/>
      <c r="J22" s="12"/>
      <c r="K22" s="12">
        <f t="shared" si="1"/>
        <v>2552</v>
      </c>
      <c r="M22" s="10">
        <v>11</v>
      </c>
      <c r="N22" s="30">
        <v>45665</v>
      </c>
      <c r="O22" s="31">
        <f t="shared" si="7"/>
        <v>4811</v>
      </c>
      <c r="P22" s="32">
        <f>17528+458</f>
        <v>17986</v>
      </c>
      <c r="Q22" s="32"/>
      <c r="R22" s="32"/>
      <c r="S22" s="32">
        <f t="shared" si="2"/>
        <v>17986</v>
      </c>
      <c r="T22" s="12"/>
      <c r="U22" s="12">
        <v>72</v>
      </c>
      <c r="V22" s="12"/>
      <c r="W22" s="12">
        <f t="shared" si="3"/>
        <v>18058</v>
      </c>
      <c r="Y22" s="10">
        <v>11</v>
      </c>
      <c r="Z22" s="30"/>
      <c r="AA22" s="31"/>
      <c r="AB22" s="32"/>
      <c r="AC22" s="32"/>
      <c r="AD22" s="32"/>
      <c r="AE22" s="32">
        <f t="shared" si="4"/>
        <v>0</v>
      </c>
      <c r="AF22" s="12"/>
      <c r="AG22" s="12"/>
      <c r="AH22" s="12"/>
      <c r="AI22" s="12">
        <f t="shared" si="5"/>
        <v>0</v>
      </c>
    </row>
    <row r="23" spans="1:35" x14ac:dyDescent="0.25">
      <c r="A23" s="10">
        <v>12</v>
      </c>
      <c r="B23" s="30">
        <v>45665</v>
      </c>
      <c r="C23" s="31">
        <f t="shared" si="6"/>
        <v>4733</v>
      </c>
      <c r="D23" s="32">
        <f>1252+19</f>
        <v>1271</v>
      </c>
      <c r="E23" s="32"/>
      <c r="F23" s="32"/>
      <c r="G23" s="32">
        <f t="shared" si="0"/>
        <v>1271</v>
      </c>
      <c r="H23" s="12"/>
      <c r="I23" s="12"/>
      <c r="J23" s="10"/>
      <c r="K23" s="12">
        <f t="shared" si="1"/>
        <v>1271</v>
      </c>
      <c r="M23" s="10">
        <v>12</v>
      </c>
      <c r="N23" s="30">
        <v>45665</v>
      </c>
      <c r="O23" s="31">
        <f t="shared" si="7"/>
        <v>4812</v>
      </c>
      <c r="P23" s="32">
        <f>4382+1228+66.5</f>
        <v>5676.5</v>
      </c>
      <c r="Q23" s="32"/>
      <c r="R23" s="32"/>
      <c r="S23" s="32">
        <f t="shared" si="2"/>
        <v>5676.5</v>
      </c>
      <c r="T23" s="12"/>
      <c r="U23" s="12">
        <f>58.5+13.5</f>
        <v>72</v>
      </c>
      <c r="V23" s="12"/>
      <c r="W23" s="12">
        <f t="shared" si="3"/>
        <v>5748.5</v>
      </c>
      <c r="Y23" s="10">
        <v>12</v>
      </c>
      <c r="Z23" s="30"/>
      <c r="AA23" s="31"/>
      <c r="AB23" s="32"/>
      <c r="AC23" s="32"/>
      <c r="AD23" s="32"/>
      <c r="AE23" s="32">
        <f t="shared" si="4"/>
        <v>0</v>
      </c>
      <c r="AF23" s="12"/>
      <c r="AG23" s="12"/>
      <c r="AH23" s="12"/>
      <c r="AI23" s="12">
        <f t="shared" si="5"/>
        <v>0</v>
      </c>
    </row>
    <row r="24" spans="1:35" x14ac:dyDescent="0.25">
      <c r="A24" s="10">
        <v>13</v>
      </c>
      <c r="B24" s="30">
        <v>45665</v>
      </c>
      <c r="C24" s="31">
        <f t="shared" si="6"/>
        <v>4734</v>
      </c>
      <c r="D24" s="32">
        <f>626+596+19</f>
        <v>1241</v>
      </c>
      <c r="E24" s="32"/>
      <c r="F24" s="32"/>
      <c r="G24" s="32">
        <f t="shared" si="0"/>
        <v>1241</v>
      </c>
      <c r="H24" s="12"/>
      <c r="I24" s="12"/>
      <c r="J24" s="12"/>
      <c r="K24" s="12">
        <f t="shared" si="1"/>
        <v>1241</v>
      </c>
      <c r="M24" s="10">
        <v>13</v>
      </c>
      <c r="N24" s="30">
        <v>45665</v>
      </c>
      <c r="O24" s="31">
        <f t="shared" si="7"/>
        <v>4813</v>
      </c>
      <c r="P24" s="32">
        <f>18780+229</f>
        <v>19009</v>
      </c>
      <c r="Q24" s="32"/>
      <c r="R24" s="32"/>
      <c r="S24" s="32">
        <f t="shared" si="2"/>
        <v>19009</v>
      </c>
      <c r="T24" s="12"/>
      <c r="U24" s="12"/>
      <c r="V24" s="12"/>
      <c r="W24" s="12">
        <f t="shared" si="3"/>
        <v>19009</v>
      </c>
      <c r="Y24" s="10">
        <v>13</v>
      </c>
      <c r="Z24" s="30"/>
      <c r="AA24" s="31"/>
      <c r="AB24" s="32"/>
      <c r="AC24" s="32"/>
      <c r="AD24" s="32"/>
      <c r="AE24" s="32">
        <f t="shared" si="4"/>
        <v>0</v>
      </c>
      <c r="AF24" s="12"/>
      <c r="AG24" s="12"/>
      <c r="AH24" s="12"/>
      <c r="AI24" s="12">
        <f t="shared" si="5"/>
        <v>0</v>
      </c>
    </row>
    <row r="25" spans="1:35" x14ac:dyDescent="0.25">
      <c r="A25" s="10">
        <v>14</v>
      </c>
      <c r="B25" s="30">
        <v>45665</v>
      </c>
      <c r="C25" s="31">
        <f t="shared" si="6"/>
        <v>4735</v>
      </c>
      <c r="D25" s="32">
        <f>5634+596+674</f>
        <v>6904</v>
      </c>
      <c r="E25" s="32"/>
      <c r="F25" s="32"/>
      <c r="G25" s="32">
        <f t="shared" si="0"/>
        <v>6904</v>
      </c>
      <c r="H25" s="12"/>
      <c r="I25" s="12"/>
      <c r="J25" s="12"/>
      <c r="K25" s="12">
        <f t="shared" si="1"/>
        <v>6904</v>
      </c>
      <c r="M25" s="10">
        <v>14</v>
      </c>
      <c r="N25" s="30">
        <v>45665</v>
      </c>
      <c r="O25" s="31">
        <f t="shared" si="7"/>
        <v>4814</v>
      </c>
      <c r="P25" s="32">
        <f>3130+614+47.5</f>
        <v>3791.5</v>
      </c>
      <c r="Q25" s="32"/>
      <c r="R25" s="32"/>
      <c r="S25" s="32">
        <f t="shared" si="2"/>
        <v>3791.5</v>
      </c>
      <c r="T25" s="12"/>
      <c r="U25" s="12"/>
      <c r="V25" s="12"/>
      <c r="W25" s="12">
        <f t="shared" si="3"/>
        <v>3791.5</v>
      </c>
      <c r="Y25" s="10">
        <v>14</v>
      </c>
      <c r="Z25" s="30"/>
      <c r="AA25" s="31"/>
      <c r="AB25" s="32"/>
      <c r="AC25" s="32"/>
      <c r="AD25" s="32"/>
      <c r="AE25" s="32">
        <f t="shared" si="4"/>
        <v>0</v>
      </c>
      <c r="AF25" s="12"/>
      <c r="AG25" s="12"/>
      <c r="AH25" s="12"/>
      <c r="AI25" s="12">
        <f t="shared" si="5"/>
        <v>0</v>
      </c>
    </row>
    <row r="26" spans="1:35" x14ac:dyDescent="0.25">
      <c r="A26" s="10">
        <v>15</v>
      </c>
      <c r="B26" s="30">
        <v>45665</v>
      </c>
      <c r="C26" s="31">
        <f t="shared" si="6"/>
        <v>4736</v>
      </c>
      <c r="D26" s="32">
        <f>626+596+19</f>
        <v>1241</v>
      </c>
      <c r="E26" s="32"/>
      <c r="F26" s="32"/>
      <c r="G26" s="32">
        <f t="shared" si="0"/>
        <v>1241</v>
      </c>
      <c r="H26" s="12"/>
      <c r="I26" s="12"/>
      <c r="J26" s="12"/>
      <c r="K26" s="12">
        <f t="shared" si="1"/>
        <v>1241</v>
      </c>
      <c r="M26" s="10">
        <v>15</v>
      </c>
      <c r="N26" s="30">
        <v>45665</v>
      </c>
      <c r="O26" s="31">
        <f t="shared" si="7"/>
        <v>4815</v>
      </c>
      <c r="P26" s="32">
        <f>626+596+19</f>
        <v>1241</v>
      </c>
      <c r="Q26" s="32"/>
      <c r="R26" s="32"/>
      <c r="S26" s="32">
        <f t="shared" si="2"/>
        <v>1241</v>
      </c>
      <c r="T26" s="12"/>
      <c r="U26" s="12"/>
      <c r="V26" s="12"/>
      <c r="W26" s="12">
        <f t="shared" si="3"/>
        <v>1241</v>
      </c>
      <c r="Y26" s="10">
        <v>15</v>
      </c>
      <c r="Z26" s="30"/>
      <c r="AA26" s="31"/>
      <c r="AB26" s="32"/>
      <c r="AC26" s="32"/>
      <c r="AD26" s="32"/>
      <c r="AE26" s="32">
        <f t="shared" si="4"/>
        <v>0</v>
      </c>
      <c r="AF26" s="12"/>
      <c r="AG26" s="12"/>
      <c r="AH26" s="12"/>
      <c r="AI26" s="12">
        <f t="shared" si="5"/>
        <v>0</v>
      </c>
    </row>
    <row r="27" spans="1:35" x14ac:dyDescent="0.25">
      <c r="A27" s="10">
        <v>16</v>
      </c>
      <c r="B27" s="30">
        <v>45665</v>
      </c>
      <c r="C27" s="31">
        <f t="shared" si="6"/>
        <v>4737</v>
      </c>
      <c r="D27" s="32">
        <f>2504+38</f>
        <v>2542</v>
      </c>
      <c r="E27" s="32"/>
      <c r="F27" s="32"/>
      <c r="G27" s="32">
        <f t="shared" si="0"/>
        <v>2542</v>
      </c>
      <c r="H27" s="12"/>
      <c r="I27" s="12"/>
      <c r="J27" s="12"/>
      <c r="K27" s="12">
        <f t="shared" si="1"/>
        <v>2542</v>
      </c>
      <c r="M27" s="10">
        <v>16</v>
      </c>
      <c r="N27" s="30">
        <v>45665</v>
      </c>
      <c r="O27" s="31">
        <f t="shared" si="7"/>
        <v>4816</v>
      </c>
      <c r="P27" s="32">
        <f>1878+596+38</f>
        <v>2512</v>
      </c>
      <c r="Q27" s="32"/>
      <c r="R27" s="32"/>
      <c r="S27" s="32">
        <f t="shared" si="2"/>
        <v>2512</v>
      </c>
      <c r="T27" s="12"/>
      <c r="U27" s="12"/>
      <c r="V27" s="12">
        <v>-222</v>
      </c>
      <c r="W27" s="12">
        <f t="shared" si="3"/>
        <v>2290</v>
      </c>
      <c r="Y27" s="10">
        <v>16</v>
      </c>
      <c r="Z27" s="30"/>
      <c r="AA27" s="31"/>
      <c r="AB27" s="32"/>
      <c r="AC27" s="32"/>
      <c r="AD27" s="32"/>
      <c r="AE27" s="32">
        <f t="shared" si="4"/>
        <v>0</v>
      </c>
      <c r="AF27" s="12"/>
      <c r="AG27" s="12"/>
      <c r="AH27" s="12"/>
      <c r="AI27" s="12">
        <f t="shared" si="5"/>
        <v>0</v>
      </c>
    </row>
    <row r="28" spans="1:35" x14ac:dyDescent="0.25">
      <c r="A28" s="10">
        <v>17</v>
      </c>
      <c r="B28" s="30">
        <v>45665</v>
      </c>
      <c r="C28" s="31">
        <f t="shared" si="6"/>
        <v>4738</v>
      </c>
      <c r="D28" s="32">
        <f>4382+596+76</f>
        <v>5054</v>
      </c>
      <c r="E28" s="32"/>
      <c r="F28" s="32"/>
      <c r="G28" s="32">
        <f t="shared" si="0"/>
        <v>5054</v>
      </c>
      <c r="H28" s="12"/>
      <c r="I28" s="12"/>
      <c r="J28" s="12"/>
      <c r="K28" s="12">
        <f t="shared" si="1"/>
        <v>5054</v>
      </c>
      <c r="M28" s="10">
        <v>17</v>
      </c>
      <c r="N28" s="30">
        <v>45665</v>
      </c>
      <c r="O28" s="31">
        <f t="shared" si="7"/>
        <v>4817</v>
      </c>
      <c r="P28" s="35">
        <f>2504+38</f>
        <v>2542</v>
      </c>
      <c r="Q28" s="32"/>
      <c r="R28" s="32"/>
      <c r="S28" s="32">
        <f t="shared" si="2"/>
        <v>2542</v>
      </c>
      <c r="T28" s="12"/>
      <c r="U28" s="12"/>
      <c r="V28" s="12"/>
      <c r="W28" s="12">
        <f t="shared" si="3"/>
        <v>2542</v>
      </c>
      <c r="Y28" s="10">
        <v>17</v>
      </c>
      <c r="Z28" s="30"/>
      <c r="AA28" s="31"/>
      <c r="AB28" s="35"/>
      <c r="AC28" s="32"/>
      <c r="AD28" s="32"/>
      <c r="AE28" s="32">
        <f t="shared" si="4"/>
        <v>0</v>
      </c>
      <c r="AF28" s="12"/>
      <c r="AG28" s="12"/>
      <c r="AH28" s="12"/>
      <c r="AI28" s="12">
        <f t="shared" si="5"/>
        <v>0</v>
      </c>
    </row>
    <row r="29" spans="1:35" x14ac:dyDescent="0.25">
      <c r="A29" s="10">
        <v>18</v>
      </c>
      <c r="B29" s="30">
        <v>45665</v>
      </c>
      <c r="C29" s="31">
        <f t="shared" si="6"/>
        <v>4739</v>
      </c>
      <c r="D29" s="32">
        <f>1228+2980</f>
        <v>4208</v>
      </c>
      <c r="E29" s="32"/>
      <c r="F29" s="32"/>
      <c r="G29" s="32">
        <f t="shared" si="0"/>
        <v>4208</v>
      </c>
      <c r="H29" s="12"/>
      <c r="I29" s="12">
        <v>81</v>
      </c>
      <c r="J29" s="12"/>
      <c r="K29" s="12">
        <f t="shared" si="1"/>
        <v>4289</v>
      </c>
      <c r="M29" s="10">
        <v>18</v>
      </c>
      <c r="N29" s="30">
        <v>45665</v>
      </c>
      <c r="O29" s="31">
        <f t="shared" si="7"/>
        <v>4818</v>
      </c>
      <c r="P29" s="32">
        <f>626+9.5</f>
        <v>635.5</v>
      </c>
      <c r="Q29" s="32"/>
      <c r="R29" s="32"/>
      <c r="S29" s="32">
        <f t="shared" si="2"/>
        <v>635.5</v>
      </c>
      <c r="T29" s="12"/>
      <c r="U29" s="12"/>
      <c r="V29" s="12"/>
      <c r="W29" s="12">
        <f t="shared" si="3"/>
        <v>635.5</v>
      </c>
      <c r="Y29" s="10">
        <v>18</v>
      </c>
      <c r="Z29" s="30"/>
      <c r="AA29" s="31"/>
      <c r="AB29" s="32"/>
      <c r="AC29" s="32"/>
      <c r="AD29" s="32"/>
      <c r="AE29" s="32">
        <f t="shared" si="4"/>
        <v>0</v>
      </c>
      <c r="AF29" s="12"/>
      <c r="AG29" s="12"/>
      <c r="AH29" s="12"/>
      <c r="AI29" s="12">
        <f t="shared" si="5"/>
        <v>0</v>
      </c>
    </row>
    <row r="30" spans="1:35" x14ac:dyDescent="0.25">
      <c r="A30" s="10">
        <v>19</v>
      </c>
      <c r="B30" s="30">
        <v>45665</v>
      </c>
      <c r="C30" s="31">
        <f t="shared" si="6"/>
        <v>4740</v>
      </c>
      <c r="D30" s="32">
        <f>1252+19</f>
        <v>1271</v>
      </c>
      <c r="E30" s="32"/>
      <c r="F30" s="32"/>
      <c r="G30" s="32">
        <f t="shared" si="0"/>
        <v>1271</v>
      </c>
      <c r="H30" s="12"/>
      <c r="I30" s="12"/>
      <c r="J30" s="12"/>
      <c r="K30" s="12">
        <f t="shared" si="1"/>
        <v>1271</v>
      </c>
      <c r="M30" s="10">
        <v>19</v>
      </c>
      <c r="N30" s="30">
        <v>45665</v>
      </c>
      <c r="O30" s="31">
        <f t="shared" si="7"/>
        <v>4819</v>
      </c>
      <c r="P30" s="32">
        <f>1192+19</f>
        <v>1211</v>
      </c>
      <c r="Q30" s="32"/>
      <c r="R30" s="32"/>
      <c r="S30" s="32">
        <f t="shared" si="2"/>
        <v>1211</v>
      </c>
      <c r="T30" s="12"/>
      <c r="U30" s="12"/>
      <c r="V30" s="12"/>
      <c r="W30" s="12">
        <f t="shared" si="3"/>
        <v>1211</v>
      </c>
      <c r="Y30" s="10">
        <v>19</v>
      </c>
      <c r="Z30" s="30"/>
      <c r="AA30" s="31"/>
      <c r="AB30" s="32"/>
      <c r="AC30" s="32"/>
      <c r="AD30" s="32"/>
      <c r="AE30" s="32">
        <f t="shared" si="4"/>
        <v>0</v>
      </c>
      <c r="AF30" s="12"/>
      <c r="AG30" s="12"/>
      <c r="AH30" s="12"/>
      <c r="AI30" s="12">
        <f t="shared" si="5"/>
        <v>0</v>
      </c>
    </row>
    <row r="31" spans="1:35" x14ac:dyDescent="0.25">
      <c r="A31" s="10">
        <v>20</v>
      </c>
      <c r="B31" s="30">
        <v>45665</v>
      </c>
      <c r="C31" s="31">
        <f t="shared" si="6"/>
        <v>4741</v>
      </c>
      <c r="D31" s="32">
        <f>10642+614+852+162+650</f>
        <v>12920</v>
      </c>
      <c r="E31" s="32"/>
      <c r="F31" s="32"/>
      <c r="G31" s="32">
        <f t="shared" si="0"/>
        <v>12920</v>
      </c>
      <c r="H31" s="12"/>
      <c r="I31" s="12"/>
      <c r="J31" s="12"/>
      <c r="K31" s="12">
        <f t="shared" si="1"/>
        <v>12920</v>
      </c>
      <c r="M31" s="10">
        <v>20</v>
      </c>
      <c r="N31" s="30">
        <v>45665</v>
      </c>
      <c r="O31" s="31">
        <f t="shared" si="7"/>
        <v>4820</v>
      </c>
      <c r="P31" s="32">
        <f>626+229</f>
        <v>855</v>
      </c>
      <c r="Q31" s="32"/>
      <c r="R31" s="32"/>
      <c r="S31" s="32">
        <f t="shared" si="2"/>
        <v>855</v>
      </c>
      <c r="T31" s="12"/>
      <c r="U31" s="12">
        <v>78</v>
      </c>
      <c r="V31" s="12"/>
      <c r="W31" s="12">
        <f t="shared" si="3"/>
        <v>933</v>
      </c>
      <c r="Y31" s="10">
        <v>20</v>
      </c>
      <c r="Z31" s="30"/>
      <c r="AA31" s="31"/>
      <c r="AB31" s="32"/>
      <c r="AC31" s="32"/>
      <c r="AD31" s="32"/>
      <c r="AE31" s="32">
        <f t="shared" si="4"/>
        <v>0</v>
      </c>
      <c r="AF31" s="12"/>
      <c r="AG31" s="12"/>
      <c r="AH31" s="12"/>
      <c r="AI31" s="12">
        <f t="shared" si="5"/>
        <v>0</v>
      </c>
    </row>
    <row r="32" spans="1:35" x14ac:dyDescent="0.25">
      <c r="A32" s="10">
        <v>21</v>
      </c>
      <c r="B32" s="30">
        <v>45665</v>
      </c>
      <c r="C32" s="31">
        <f t="shared" si="6"/>
        <v>4742</v>
      </c>
      <c r="D32" s="32">
        <f>1252+19</f>
        <v>1271</v>
      </c>
      <c r="E32" s="32"/>
      <c r="F32" s="32"/>
      <c r="G32" s="32">
        <f t="shared" si="0"/>
        <v>1271</v>
      </c>
      <c r="H32" s="10"/>
      <c r="I32" s="10"/>
      <c r="J32" s="10"/>
      <c r="K32" s="12">
        <f t="shared" si="1"/>
        <v>1271</v>
      </c>
      <c r="M32" s="10">
        <v>21</v>
      </c>
      <c r="N32" s="30">
        <v>45665</v>
      </c>
      <c r="O32" s="31">
        <f t="shared" si="7"/>
        <v>4821</v>
      </c>
      <c r="P32" s="46">
        <f>8138+123.5</f>
        <v>8261.5</v>
      </c>
      <c r="Q32" s="31"/>
      <c r="R32" s="31"/>
      <c r="S32" s="32">
        <f t="shared" si="2"/>
        <v>8261.5</v>
      </c>
      <c r="T32" s="10"/>
      <c r="U32" s="10"/>
      <c r="V32" s="10"/>
      <c r="W32" s="12">
        <f t="shared" si="3"/>
        <v>8261.5</v>
      </c>
      <c r="Y32" s="10">
        <v>21</v>
      </c>
      <c r="Z32" s="30"/>
      <c r="AA32" s="31"/>
      <c r="AB32" s="46"/>
      <c r="AC32" s="31"/>
      <c r="AD32" s="31"/>
      <c r="AE32" s="32">
        <f t="shared" si="4"/>
        <v>0</v>
      </c>
      <c r="AF32" s="10"/>
      <c r="AG32" s="10"/>
      <c r="AH32" s="10"/>
      <c r="AI32" s="12">
        <f t="shared" si="5"/>
        <v>0</v>
      </c>
    </row>
    <row r="33" spans="1:35" x14ac:dyDescent="0.25">
      <c r="A33" s="10">
        <v>22</v>
      </c>
      <c r="B33" s="30">
        <v>45665</v>
      </c>
      <c r="C33" s="31">
        <f t="shared" si="6"/>
        <v>4743</v>
      </c>
      <c r="D33" s="32">
        <f>4565</f>
        <v>4565</v>
      </c>
      <c r="E33" s="32"/>
      <c r="F33" s="32"/>
      <c r="G33" s="32">
        <f t="shared" si="0"/>
        <v>4565</v>
      </c>
      <c r="H33" s="10"/>
      <c r="I33" s="10"/>
      <c r="J33" s="10"/>
      <c r="K33" s="12">
        <f t="shared" si="1"/>
        <v>4565</v>
      </c>
      <c r="M33" s="10">
        <v>22</v>
      </c>
      <c r="N33" s="30"/>
      <c r="O33" s="11" t="s">
        <v>28</v>
      </c>
      <c r="P33" s="45"/>
      <c r="Q33" s="31"/>
      <c r="R33" s="31"/>
      <c r="S33" s="32">
        <f t="shared" si="2"/>
        <v>0</v>
      </c>
      <c r="T33" s="10"/>
      <c r="U33" s="10"/>
      <c r="V33" s="10"/>
      <c r="W33" s="12">
        <f t="shared" si="3"/>
        <v>0</v>
      </c>
      <c r="Y33" s="10">
        <v>22</v>
      </c>
      <c r="Z33" s="30"/>
      <c r="AA33" s="31"/>
      <c r="AB33" s="45"/>
      <c r="AC33" s="31"/>
      <c r="AD33" s="31"/>
      <c r="AE33" s="32">
        <f t="shared" si="4"/>
        <v>0</v>
      </c>
      <c r="AF33" s="10"/>
      <c r="AG33" s="10"/>
      <c r="AH33" s="10"/>
      <c r="AI33" s="12">
        <f t="shared" si="5"/>
        <v>0</v>
      </c>
    </row>
    <row r="34" spans="1:35" x14ac:dyDescent="0.25">
      <c r="A34" s="10">
        <v>23</v>
      </c>
      <c r="B34" s="30"/>
      <c r="C34" s="11" t="s">
        <v>28</v>
      </c>
      <c r="D34" s="32"/>
      <c r="E34" s="32"/>
      <c r="F34" s="32"/>
      <c r="G34" s="32">
        <f t="shared" si="0"/>
        <v>0</v>
      </c>
      <c r="H34" s="10"/>
      <c r="I34" s="10"/>
      <c r="J34" s="12"/>
      <c r="K34" s="12">
        <f t="shared" si="1"/>
        <v>0</v>
      </c>
      <c r="M34" s="10">
        <v>23</v>
      </c>
      <c r="N34" s="30"/>
      <c r="O34" s="31"/>
      <c r="P34" s="47"/>
      <c r="S34" s="32">
        <f t="shared" si="2"/>
        <v>0</v>
      </c>
      <c r="T34" s="10"/>
      <c r="U34" s="10"/>
      <c r="V34" s="10"/>
      <c r="W34" s="12">
        <f t="shared" si="3"/>
        <v>0</v>
      </c>
      <c r="Y34" s="10">
        <v>23</v>
      </c>
      <c r="Z34" s="30"/>
      <c r="AA34" s="31"/>
      <c r="AB34" s="47"/>
      <c r="AE34" s="32">
        <f t="shared" si="4"/>
        <v>0</v>
      </c>
      <c r="AF34" s="10"/>
      <c r="AG34" s="10"/>
      <c r="AH34" s="10"/>
      <c r="AI34" s="12">
        <f t="shared" si="5"/>
        <v>0</v>
      </c>
    </row>
    <row r="35" spans="1:35" x14ac:dyDescent="0.25">
      <c r="A35" s="10">
        <v>24</v>
      </c>
      <c r="B35" s="30"/>
      <c r="C35" s="31"/>
      <c r="D35" s="32"/>
      <c r="E35" s="32"/>
      <c r="F35" s="32"/>
      <c r="G35" s="32">
        <f t="shared" si="0"/>
        <v>0</v>
      </c>
      <c r="H35" s="10"/>
      <c r="I35" s="10"/>
      <c r="J35" s="10"/>
      <c r="K35" s="12">
        <f t="shared" si="1"/>
        <v>0</v>
      </c>
      <c r="M35" s="10">
        <v>24</v>
      </c>
      <c r="N35" s="30"/>
      <c r="O35" s="11"/>
      <c r="P35" s="47"/>
      <c r="Q35" s="31"/>
      <c r="R35" s="31"/>
      <c r="S35" s="32">
        <f t="shared" si="2"/>
        <v>0</v>
      </c>
      <c r="T35" s="10"/>
      <c r="U35" s="10"/>
      <c r="V35" s="10"/>
      <c r="W35" s="12">
        <f t="shared" si="3"/>
        <v>0</v>
      </c>
      <c r="Y35" s="10">
        <v>24</v>
      </c>
      <c r="Z35" s="30"/>
      <c r="AA35" s="31"/>
      <c r="AB35" s="47"/>
      <c r="AC35" s="31"/>
      <c r="AD35" s="31"/>
      <c r="AE35" s="32">
        <f t="shared" si="4"/>
        <v>0</v>
      </c>
      <c r="AF35" s="10"/>
      <c r="AG35" s="10"/>
      <c r="AH35" s="10"/>
      <c r="AI35" s="12">
        <f t="shared" si="5"/>
        <v>0</v>
      </c>
    </row>
    <row r="36" spans="1:35" x14ac:dyDescent="0.25">
      <c r="A36" s="10">
        <v>25</v>
      </c>
      <c r="B36" s="30"/>
      <c r="C36" s="31"/>
      <c r="D36" s="32"/>
      <c r="E36" s="32"/>
      <c r="F36" s="32"/>
      <c r="G36" s="32">
        <f t="shared" si="0"/>
        <v>0</v>
      </c>
      <c r="H36" s="10"/>
      <c r="I36" s="10"/>
      <c r="J36" s="10"/>
      <c r="K36" s="12">
        <f t="shared" si="1"/>
        <v>0</v>
      </c>
      <c r="M36" s="10">
        <v>25</v>
      </c>
      <c r="N36" s="30"/>
      <c r="O36" s="31"/>
      <c r="P36" s="47"/>
      <c r="Q36" s="31"/>
      <c r="R36" s="31"/>
      <c r="S36" s="32">
        <f t="shared" si="2"/>
        <v>0</v>
      </c>
      <c r="T36" s="10"/>
      <c r="U36" s="10"/>
      <c r="V36" s="10"/>
      <c r="W36" s="12">
        <f t="shared" si="3"/>
        <v>0</v>
      </c>
      <c r="Y36" s="10">
        <v>25</v>
      </c>
      <c r="Z36" s="30"/>
      <c r="AA36" s="11"/>
      <c r="AB36" s="47"/>
      <c r="AC36" s="31"/>
      <c r="AD36" s="31"/>
      <c r="AE36" s="32">
        <f t="shared" si="4"/>
        <v>0</v>
      </c>
      <c r="AF36" s="10"/>
      <c r="AG36" s="10"/>
      <c r="AH36" s="10"/>
      <c r="AI36" s="12">
        <f t="shared" si="5"/>
        <v>0</v>
      </c>
    </row>
    <row r="37" spans="1:35" x14ac:dyDescent="0.25">
      <c r="A37" s="10">
        <v>26</v>
      </c>
      <c r="B37" s="30"/>
      <c r="C37" s="11"/>
      <c r="D37" s="32"/>
      <c r="E37" s="32"/>
      <c r="F37" s="32"/>
      <c r="G37" s="32">
        <f t="shared" si="0"/>
        <v>0</v>
      </c>
      <c r="H37" s="10"/>
      <c r="I37" s="10"/>
      <c r="J37" s="10"/>
      <c r="K37" s="12">
        <f t="shared" si="1"/>
        <v>0</v>
      </c>
      <c r="M37" s="10">
        <v>26</v>
      </c>
      <c r="N37" s="30"/>
      <c r="O37" s="31"/>
      <c r="P37" s="47"/>
      <c r="Q37" s="31"/>
      <c r="R37" s="31"/>
      <c r="S37" s="32">
        <f t="shared" si="2"/>
        <v>0</v>
      </c>
      <c r="T37" s="10"/>
      <c r="U37" s="10"/>
      <c r="V37" s="10"/>
      <c r="W37" s="12">
        <f t="shared" si="3"/>
        <v>0</v>
      </c>
      <c r="Y37" s="10">
        <v>26</v>
      </c>
      <c r="Z37" s="30"/>
      <c r="AB37" s="47"/>
      <c r="AC37" s="31"/>
      <c r="AD37" s="31"/>
      <c r="AE37" s="32">
        <f t="shared" si="4"/>
        <v>0</v>
      </c>
      <c r="AF37" s="10"/>
      <c r="AG37" s="10"/>
      <c r="AH37" s="10"/>
      <c r="AI37" s="12">
        <f t="shared" si="5"/>
        <v>0</v>
      </c>
    </row>
    <row r="38" spans="1:35" x14ac:dyDescent="0.25">
      <c r="A38" s="10">
        <v>27</v>
      </c>
      <c r="B38" s="30"/>
      <c r="D38" s="32"/>
      <c r="E38" s="32"/>
      <c r="F38" s="32"/>
      <c r="G38" s="32">
        <f t="shared" si="0"/>
        <v>0</v>
      </c>
      <c r="H38" s="10"/>
      <c r="I38" s="10"/>
      <c r="J38" s="10"/>
      <c r="K38" s="12">
        <f t="shared" si="1"/>
        <v>0</v>
      </c>
      <c r="M38" s="10">
        <v>27</v>
      </c>
      <c r="N38" s="30"/>
      <c r="O38" s="31"/>
      <c r="P38" s="47"/>
      <c r="Q38" s="31"/>
      <c r="R38" s="31"/>
      <c r="S38" s="32">
        <f t="shared" si="2"/>
        <v>0</v>
      </c>
      <c r="T38" s="10"/>
      <c r="U38" s="10"/>
      <c r="V38" s="10"/>
      <c r="W38" s="12">
        <f t="shared" si="3"/>
        <v>0</v>
      </c>
      <c r="Y38" s="10">
        <v>27</v>
      </c>
      <c r="Z38" s="30"/>
      <c r="AA38" s="31"/>
      <c r="AB38" s="47"/>
      <c r="AC38" s="31"/>
      <c r="AD38" s="31"/>
      <c r="AE38" s="32">
        <f t="shared" si="4"/>
        <v>0</v>
      </c>
      <c r="AF38" s="10"/>
      <c r="AG38" s="10"/>
      <c r="AH38" s="10"/>
      <c r="AI38" s="12">
        <f t="shared" si="5"/>
        <v>0</v>
      </c>
    </row>
    <row r="39" spans="1:35" x14ac:dyDescent="0.25">
      <c r="A39" s="10">
        <v>28</v>
      </c>
      <c r="B39" s="30"/>
      <c r="C39" s="31"/>
      <c r="D39" s="32"/>
      <c r="E39" s="32"/>
      <c r="F39" s="32"/>
      <c r="G39" s="32">
        <f t="shared" si="0"/>
        <v>0</v>
      </c>
      <c r="H39" s="10"/>
      <c r="I39" s="10"/>
      <c r="J39" s="10"/>
      <c r="K39" s="12">
        <f t="shared" si="1"/>
        <v>0</v>
      </c>
      <c r="M39" s="10">
        <v>28</v>
      </c>
      <c r="N39" s="30"/>
      <c r="O39" s="31"/>
      <c r="P39" s="47"/>
      <c r="Q39" s="31"/>
      <c r="R39" s="31"/>
      <c r="S39" s="32">
        <f t="shared" si="2"/>
        <v>0</v>
      </c>
      <c r="T39" s="10"/>
      <c r="U39" s="10"/>
      <c r="V39" s="10"/>
      <c r="W39" s="12">
        <f t="shared" si="3"/>
        <v>0</v>
      </c>
      <c r="Y39" s="10">
        <v>28</v>
      </c>
      <c r="Z39" s="30"/>
      <c r="AA39" s="31"/>
      <c r="AB39" s="47"/>
      <c r="AC39" s="31"/>
      <c r="AD39" s="31"/>
      <c r="AE39" s="32">
        <f t="shared" si="4"/>
        <v>0</v>
      </c>
      <c r="AF39" s="10"/>
      <c r="AG39" s="10"/>
      <c r="AH39" s="10"/>
      <c r="AI39" s="12">
        <f t="shared" si="5"/>
        <v>0</v>
      </c>
    </row>
    <row r="40" spans="1:35" x14ac:dyDescent="0.25">
      <c r="A40" s="10">
        <v>29</v>
      </c>
      <c r="B40" s="30"/>
      <c r="C40" s="31"/>
      <c r="D40" s="32"/>
      <c r="E40" s="32"/>
      <c r="F40" s="32"/>
      <c r="G40" s="32">
        <f t="shared" si="0"/>
        <v>0</v>
      </c>
      <c r="H40" s="10"/>
      <c r="I40" s="10"/>
      <c r="J40" s="10"/>
      <c r="K40" s="12">
        <f t="shared" si="1"/>
        <v>0</v>
      </c>
      <c r="M40" s="10">
        <v>29</v>
      </c>
      <c r="N40" s="30"/>
      <c r="P40" s="47"/>
      <c r="Q40" s="31"/>
      <c r="R40" s="31"/>
      <c r="S40" s="32">
        <f t="shared" si="2"/>
        <v>0</v>
      </c>
      <c r="T40" s="10"/>
      <c r="U40" s="10"/>
      <c r="V40" s="10"/>
      <c r="W40" s="12">
        <f t="shared" si="3"/>
        <v>0</v>
      </c>
      <c r="Y40" s="10">
        <v>29</v>
      </c>
      <c r="Z40" s="30"/>
      <c r="AA40" s="31"/>
      <c r="AB40" s="47"/>
      <c r="AC40" s="31"/>
      <c r="AD40" s="31"/>
      <c r="AE40" s="32">
        <f t="shared" si="4"/>
        <v>0</v>
      </c>
      <c r="AF40" s="10"/>
      <c r="AG40" s="10"/>
      <c r="AH40" s="10"/>
      <c r="AI40" s="12">
        <f t="shared" si="5"/>
        <v>0</v>
      </c>
    </row>
    <row r="41" spans="1:35" x14ac:dyDescent="0.25">
      <c r="A41" s="10">
        <v>30</v>
      </c>
      <c r="B41" s="30"/>
      <c r="D41" s="32"/>
      <c r="E41" s="32"/>
      <c r="F41" s="32"/>
      <c r="G41" s="32">
        <f t="shared" si="0"/>
        <v>0</v>
      </c>
      <c r="H41" s="10"/>
      <c r="I41" s="10"/>
      <c r="J41" s="10"/>
      <c r="K41" s="12">
        <f t="shared" si="1"/>
        <v>0</v>
      </c>
      <c r="M41" s="10">
        <v>30</v>
      </c>
      <c r="N41" s="30"/>
      <c r="P41" s="47"/>
      <c r="Q41" s="31"/>
      <c r="R41" s="31"/>
      <c r="S41" s="32">
        <f t="shared" si="2"/>
        <v>0</v>
      </c>
      <c r="T41" s="10"/>
      <c r="U41" s="10"/>
      <c r="V41" s="10"/>
      <c r="W41" s="12">
        <f t="shared" si="3"/>
        <v>0</v>
      </c>
      <c r="Y41" s="10">
        <v>30</v>
      </c>
      <c r="Z41" s="30"/>
      <c r="AB41" s="47"/>
      <c r="AC41" s="31"/>
      <c r="AD41" s="31"/>
      <c r="AE41" s="32">
        <f t="shared" si="4"/>
        <v>0</v>
      </c>
      <c r="AF41" s="10"/>
      <c r="AG41" s="10"/>
      <c r="AH41" s="10"/>
      <c r="AI41" s="12">
        <f t="shared" si="5"/>
        <v>0</v>
      </c>
    </row>
    <row r="42" spans="1:35" x14ac:dyDescent="0.25">
      <c r="A42" s="10">
        <v>31</v>
      </c>
      <c r="B42" s="30"/>
      <c r="D42" s="32"/>
      <c r="E42" s="32"/>
      <c r="F42" s="32"/>
      <c r="G42" s="32">
        <f t="shared" si="0"/>
        <v>0</v>
      </c>
      <c r="H42" s="10"/>
      <c r="I42" s="10"/>
      <c r="J42" s="10"/>
      <c r="K42" s="12">
        <f t="shared" si="1"/>
        <v>0</v>
      </c>
      <c r="M42" s="10">
        <v>31</v>
      </c>
      <c r="N42" s="30"/>
      <c r="O42" s="31"/>
      <c r="P42" s="47"/>
      <c r="Q42" s="31"/>
      <c r="R42" s="31"/>
      <c r="S42" s="32">
        <f t="shared" si="2"/>
        <v>0</v>
      </c>
      <c r="T42" s="10"/>
      <c r="U42" s="10"/>
      <c r="V42" s="10"/>
      <c r="W42" s="12">
        <f t="shared" si="3"/>
        <v>0</v>
      </c>
      <c r="Y42" s="10">
        <v>31</v>
      </c>
      <c r="Z42" s="30"/>
      <c r="AB42" s="47"/>
      <c r="AC42" s="31"/>
      <c r="AD42" s="31"/>
      <c r="AE42" s="32">
        <f t="shared" si="4"/>
        <v>0</v>
      </c>
      <c r="AF42" s="10"/>
      <c r="AG42" s="10"/>
      <c r="AH42" s="10"/>
      <c r="AI42" s="12">
        <f t="shared" si="5"/>
        <v>0</v>
      </c>
    </row>
    <row r="43" spans="1:35" x14ac:dyDescent="0.25">
      <c r="A43" s="10">
        <v>32</v>
      </c>
      <c r="B43" s="30"/>
      <c r="C43" s="31"/>
      <c r="D43" s="32"/>
      <c r="E43" s="32"/>
      <c r="F43" s="32"/>
      <c r="G43" s="32">
        <f t="shared" si="0"/>
        <v>0</v>
      </c>
      <c r="H43" s="10"/>
      <c r="I43" s="10"/>
      <c r="J43" s="10"/>
      <c r="K43" s="12">
        <f t="shared" si="1"/>
        <v>0</v>
      </c>
      <c r="M43" s="10">
        <v>32</v>
      </c>
      <c r="N43" s="30"/>
      <c r="P43" s="47"/>
      <c r="Q43" s="31"/>
      <c r="R43" s="31"/>
      <c r="S43" s="32">
        <f t="shared" si="2"/>
        <v>0</v>
      </c>
      <c r="T43" s="10"/>
      <c r="U43" s="10"/>
      <c r="V43" s="10"/>
      <c r="W43" s="12">
        <f t="shared" si="3"/>
        <v>0</v>
      </c>
      <c r="Y43" s="10">
        <v>32</v>
      </c>
      <c r="Z43" s="30"/>
      <c r="AA43" s="31"/>
      <c r="AB43" s="47"/>
      <c r="AC43" s="31"/>
      <c r="AD43" s="31"/>
      <c r="AE43" s="32">
        <f t="shared" si="4"/>
        <v>0</v>
      </c>
      <c r="AF43" s="10"/>
      <c r="AG43" s="10"/>
      <c r="AH43" s="10"/>
      <c r="AI43" s="12">
        <f t="shared" si="5"/>
        <v>0</v>
      </c>
    </row>
    <row r="44" spans="1:35" x14ac:dyDescent="0.25">
      <c r="A44" s="10">
        <v>33</v>
      </c>
      <c r="B44" s="30"/>
      <c r="D44" s="32"/>
      <c r="E44" s="32"/>
      <c r="F44" s="32"/>
      <c r="G44" s="32">
        <f t="shared" si="0"/>
        <v>0</v>
      </c>
      <c r="H44" s="10"/>
      <c r="I44" s="10"/>
      <c r="J44" s="10"/>
      <c r="K44" s="12">
        <f t="shared" si="1"/>
        <v>0</v>
      </c>
      <c r="M44" s="10">
        <v>33</v>
      </c>
      <c r="N44" s="30"/>
      <c r="O44" s="31"/>
      <c r="P44" s="47"/>
      <c r="Q44" s="31"/>
      <c r="R44" s="31"/>
      <c r="S44" s="32">
        <f t="shared" si="2"/>
        <v>0</v>
      </c>
      <c r="T44" s="10"/>
      <c r="U44" s="10"/>
      <c r="V44" s="10"/>
      <c r="W44" s="12">
        <f t="shared" si="3"/>
        <v>0</v>
      </c>
      <c r="Y44" s="10">
        <v>33</v>
      </c>
      <c r="Z44" s="30"/>
      <c r="AA44" s="31"/>
      <c r="AB44" s="47"/>
      <c r="AC44" s="31"/>
      <c r="AD44" s="31"/>
      <c r="AE44" s="32">
        <f t="shared" si="4"/>
        <v>0</v>
      </c>
      <c r="AF44" s="10"/>
      <c r="AG44" s="10"/>
      <c r="AH44" s="10"/>
      <c r="AI44" s="12">
        <f t="shared" si="5"/>
        <v>0</v>
      </c>
    </row>
    <row r="45" spans="1:35" x14ac:dyDescent="0.25">
      <c r="A45" s="10"/>
      <c r="B45" s="30"/>
      <c r="D45" s="32"/>
      <c r="E45" s="32"/>
      <c r="F45" s="32"/>
      <c r="G45" s="32">
        <f t="shared" si="0"/>
        <v>0</v>
      </c>
      <c r="H45" s="10"/>
      <c r="I45" s="10"/>
      <c r="J45" s="10"/>
      <c r="K45" s="12">
        <f t="shared" si="1"/>
        <v>0</v>
      </c>
      <c r="M45" s="10">
        <v>34</v>
      </c>
      <c r="N45" s="30"/>
      <c r="O45" s="31"/>
      <c r="P45" s="47"/>
      <c r="Q45" s="31"/>
      <c r="R45" s="31"/>
      <c r="S45" s="32">
        <f t="shared" ref="S45:S50" si="10">SUM(P45:Q45)</f>
        <v>0</v>
      </c>
      <c r="T45" s="10"/>
      <c r="U45" s="10"/>
      <c r="V45" s="10"/>
      <c r="W45" s="12">
        <f t="shared" ref="W45:W53" si="11">SUM(S45:V45)</f>
        <v>0</v>
      </c>
      <c r="Y45" s="10">
        <v>34</v>
      </c>
      <c r="Z45" s="30"/>
      <c r="AB45" s="47"/>
      <c r="AC45" s="31"/>
      <c r="AD45" s="31"/>
      <c r="AE45" s="32">
        <f t="shared" ref="AE45:AE50" si="12">SUM(AB45:AC45)</f>
        <v>0</v>
      </c>
      <c r="AF45" s="10"/>
      <c r="AG45" s="10"/>
      <c r="AH45" s="10"/>
      <c r="AI45" s="12">
        <f t="shared" ref="AI45:AI53" si="13">SUM(AE45:AH45)</f>
        <v>0</v>
      </c>
    </row>
    <row r="46" spans="1:35" x14ac:dyDescent="0.25">
      <c r="A46" s="10"/>
      <c r="B46" s="30"/>
      <c r="C46" s="31"/>
      <c r="D46" s="32"/>
      <c r="E46" s="32"/>
      <c r="F46" s="32"/>
      <c r="G46" s="32"/>
      <c r="H46" s="10"/>
      <c r="I46" s="10"/>
      <c r="J46" s="10"/>
      <c r="K46" s="12"/>
      <c r="M46" s="10">
        <v>35</v>
      </c>
      <c r="N46" s="30"/>
      <c r="O46" s="31"/>
      <c r="P46" s="47"/>
      <c r="Q46" s="31"/>
      <c r="R46" s="31"/>
      <c r="S46" s="32">
        <f t="shared" si="10"/>
        <v>0</v>
      </c>
      <c r="T46" s="10"/>
      <c r="U46" s="10"/>
      <c r="V46" s="10"/>
      <c r="W46" s="12">
        <f t="shared" si="11"/>
        <v>0</v>
      </c>
      <c r="Y46" s="10">
        <v>35</v>
      </c>
      <c r="Z46" s="30"/>
      <c r="AA46" s="31"/>
      <c r="AB46" s="47"/>
      <c r="AC46" s="31"/>
      <c r="AD46" s="31"/>
      <c r="AE46" s="32">
        <f t="shared" si="12"/>
        <v>0</v>
      </c>
      <c r="AF46" s="10"/>
      <c r="AG46" s="10"/>
      <c r="AH46" s="10"/>
      <c r="AI46" s="12">
        <f t="shared" si="13"/>
        <v>0</v>
      </c>
    </row>
    <row r="47" spans="1:35" x14ac:dyDescent="0.25">
      <c r="A47" s="10"/>
      <c r="B47" s="30"/>
      <c r="C47" s="31"/>
      <c r="D47" s="32"/>
      <c r="E47" s="32"/>
      <c r="F47" s="32"/>
      <c r="G47" s="32"/>
      <c r="H47" s="10"/>
      <c r="I47" s="10"/>
      <c r="J47" s="10"/>
      <c r="K47" s="12"/>
      <c r="M47" s="10">
        <v>36</v>
      </c>
      <c r="N47" s="30"/>
      <c r="O47" s="31"/>
      <c r="P47" s="47"/>
      <c r="Q47" s="31"/>
      <c r="R47" s="31"/>
      <c r="S47" s="32">
        <f t="shared" si="10"/>
        <v>0</v>
      </c>
      <c r="T47" s="10"/>
      <c r="U47" s="10"/>
      <c r="V47" s="10"/>
      <c r="W47" s="12">
        <f t="shared" si="11"/>
        <v>0</v>
      </c>
      <c r="Y47" s="10">
        <v>36</v>
      </c>
      <c r="Z47" s="30"/>
      <c r="AA47" s="31"/>
      <c r="AB47" s="47"/>
      <c r="AC47" s="31"/>
      <c r="AD47" s="31"/>
      <c r="AE47" s="32">
        <f t="shared" si="12"/>
        <v>0</v>
      </c>
      <c r="AF47" s="10"/>
      <c r="AG47" s="10"/>
      <c r="AH47" s="10"/>
      <c r="AI47" s="12">
        <f t="shared" si="13"/>
        <v>0</v>
      </c>
    </row>
    <row r="48" spans="1:35" x14ac:dyDescent="0.25">
      <c r="A48" s="10"/>
      <c r="B48" s="30"/>
      <c r="C48" s="31"/>
      <c r="D48" s="32"/>
      <c r="E48" s="32"/>
      <c r="F48" s="32"/>
      <c r="G48" s="32"/>
      <c r="H48" s="10"/>
      <c r="I48" s="10"/>
      <c r="J48" s="10"/>
      <c r="K48" s="12"/>
      <c r="M48" s="10">
        <v>37</v>
      </c>
      <c r="N48" s="30"/>
      <c r="P48" s="47"/>
      <c r="Q48" s="31"/>
      <c r="R48" s="31"/>
      <c r="S48" s="32">
        <f t="shared" si="10"/>
        <v>0</v>
      </c>
      <c r="T48" s="10"/>
      <c r="U48" s="10"/>
      <c r="V48" s="10"/>
      <c r="W48" s="12">
        <f t="shared" si="11"/>
        <v>0</v>
      </c>
      <c r="Y48" s="10">
        <v>37</v>
      </c>
      <c r="Z48" s="30"/>
      <c r="AA48" s="31"/>
      <c r="AB48" s="47"/>
      <c r="AC48" s="31"/>
      <c r="AD48" s="31"/>
      <c r="AE48" s="32">
        <f t="shared" si="12"/>
        <v>0</v>
      </c>
      <c r="AF48" s="10"/>
      <c r="AG48" s="10"/>
      <c r="AH48" s="10"/>
      <c r="AI48" s="12">
        <f t="shared" si="13"/>
        <v>0</v>
      </c>
    </row>
    <row r="49" spans="1:52" x14ac:dyDescent="0.25">
      <c r="A49" s="10"/>
      <c r="B49" s="30"/>
      <c r="C49" s="31"/>
      <c r="D49" s="32"/>
      <c r="E49" s="32"/>
      <c r="F49" s="32"/>
      <c r="G49" s="32"/>
      <c r="H49" s="10"/>
      <c r="I49" s="10"/>
      <c r="J49" s="10"/>
      <c r="K49" s="12"/>
      <c r="M49" s="10">
        <v>38</v>
      </c>
      <c r="N49" s="30"/>
      <c r="O49" s="31"/>
      <c r="P49" s="47"/>
      <c r="Q49" s="31"/>
      <c r="R49" s="31"/>
      <c r="S49" s="32">
        <f t="shared" si="10"/>
        <v>0</v>
      </c>
      <c r="T49" s="10"/>
      <c r="U49" s="10"/>
      <c r="V49" s="10"/>
      <c r="W49" s="12">
        <f t="shared" si="11"/>
        <v>0</v>
      </c>
      <c r="Y49" s="10">
        <v>38</v>
      </c>
      <c r="Z49" s="30"/>
      <c r="AA49" s="31"/>
      <c r="AB49" s="47"/>
      <c r="AC49" s="31"/>
      <c r="AD49" s="31"/>
      <c r="AE49" s="32">
        <f t="shared" si="12"/>
        <v>0</v>
      </c>
      <c r="AF49" s="10"/>
      <c r="AG49" s="10"/>
      <c r="AH49" s="10"/>
      <c r="AI49" s="12">
        <f t="shared" si="13"/>
        <v>0</v>
      </c>
    </row>
    <row r="50" spans="1:52" x14ac:dyDescent="0.25">
      <c r="A50" s="10"/>
      <c r="B50" s="30"/>
      <c r="C50" s="31"/>
      <c r="D50" s="32"/>
      <c r="E50" s="32"/>
      <c r="F50" s="32"/>
      <c r="G50" s="32"/>
      <c r="H50" s="10"/>
      <c r="I50" s="10"/>
      <c r="J50" s="10"/>
      <c r="K50" s="12"/>
      <c r="M50" s="10">
        <v>39</v>
      </c>
      <c r="N50" s="30"/>
      <c r="O50" s="31"/>
      <c r="P50" s="47"/>
      <c r="Q50" s="31"/>
      <c r="R50" s="31"/>
      <c r="S50" s="32">
        <f t="shared" si="10"/>
        <v>0</v>
      </c>
      <c r="T50" s="10"/>
      <c r="U50" s="10"/>
      <c r="V50" s="10"/>
      <c r="W50" s="12">
        <f t="shared" si="11"/>
        <v>0</v>
      </c>
      <c r="Y50" s="10">
        <v>39</v>
      </c>
      <c r="Z50" s="30"/>
      <c r="AA50" s="31"/>
      <c r="AB50" s="47"/>
      <c r="AC50" s="31"/>
      <c r="AD50" s="31"/>
      <c r="AE50" s="32">
        <f t="shared" si="12"/>
        <v>0</v>
      </c>
      <c r="AF50" s="10"/>
      <c r="AG50" s="10"/>
      <c r="AH50" s="10"/>
      <c r="AI50" s="12">
        <f t="shared" si="13"/>
        <v>0</v>
      </c>
    </row>
    <row r="51" spans="1:52" x14ac:dyDescent="0.25">
      <c r="A51" s="10"/>
      <c r="B51" s="30"/>
      <c r="C51" s="31"/>
      <c r="D51" s="32"/>
      <c r="E51" s="32"/>
      <c r="F51" s="32"/>
      <c r="G51" s="32"/>
      <c r="H51" s="10"/>
      <c r="I51" s="10"/>
      <c r="J51" s="10"/>
      <c r="K51" s="12"/>
      <c r="M51" s="10"/>
      <c r="N51" s="30"/>
      <c r="P51" s="47"/>
      <c r="Q51" s="31"/>
      <c r="R51" s="31"/>
      <c r="S51" s="32"/>
      <c r="T51" s="10"/>
      <c r="U51" s="10"/>
      <c r="V51" s="10"/>
      <c r="W51" s="12">
        <f t="shared" si="11"/>
        <v>0</v>
      </c>
      <c r="Y51" s="10"/>
      <c r="Z51" s="30"/>
      <c r="AB51" s="47"/>
      <c r="AC51" s="31"/>
      <c r="AD51" s="31"/>
      <c r="AE51" s="32"/>
      <c r="AF51" s="10"/>
      <c r="AG51" s="10"/>
      <c r="AH51" s="10"/>
      <c r="AI51" s="12">
        <f t="shared" si="13"/>
        <v>0</v>
      </c>
    </row>
    <row r="52" spans="1:52" x14ac:dyDescent="0.25">
      <c r="A52" s="10"/>
      <c r="B52" s="30"/>
      <c r="C52" s="31"/>
      <c r="D52" s="32"/>
      <c r="E52" s="32"/>
      <c r="F52" s="32"/>
      <c r="G52" s="32">
        <f t="shared" ref="G52" si="14">SUM(D52:E52)</f>
        <v>0</v>
      </c>
      <c r="H52" s="10"/>
      <c r="I52" s="10"/>
      <c r="J52" s="10"/>
      <c r="K52" s="12">
        <f t="shared" ref="K52" si="15">SUM(G52:J52)</f>
        <v>0</v>
      </c>
      <c r="M52" s="10"/>
      <c r="N52" s="30"/>
      <c r="O52" s="31"/>
      <c r="P52" s="47"/>
      <c r="Q52" s="31"/>
      <c r="R52" s="31"/>
      <c r="S52" s="32">
        <f t="shared" ref="S52" si="16">SUM(P52:Q52)</f>
        <v>0</v>
      </c>
      <c r="T52" s="10"/>
      <c r="U52" s="10"/>
      <c r="V52" s="10"/>
      <c r="W52" s="12">
        <f t="shared" si="11"/>
        <v>0</v>
      </c>
      <c r="Y52" s="10"/>
      <c r="Z52" s="30"/>
      <c r="AA52" s="31"/>
      <c r="AB52" s="47"/>
      <c r="AC52" s="31"/>
      <c r="AD52" s="31"/>
      <c r="AE52" s="32">
        <f t="shared" ref="AE52" si="17">SUM(AB52:AC52)</f>
        <v>0</v>
      </c>
      <c r="AF52" s="10"/>
      <c r="AG52" s="10"/>
      <c r="AH52" s="10"/>
      <c r="AI52" s="12">
        <f t="shared" si="13"/>
        <v>0</v>
      </c>
    </row>
    <row r="53" spans="1:52" x14ac:dyDescent="0.25">
      <c r="A53" s="10"/>
      <c r="B53" s="30"/>
      <c r="C53" s="30"/>
      <c r="D53" s="32"/>
      <c r="E53" s="32"/>
      <c r="F53" s="32"/>
      <c r="G53" s="32"/>
      <c r="H53" s="10"/>
      <c r="I53" s="10"/>
      <c r="J53" s="10"/>
      <c r="K53" s="12"/>
      <c r="M53" s="10"/>
      <c r="N53" s="31"/>
      <c r="O53" s="31"/>
      <c r="P53" s="31"/>
      <c r="Q53" s="31"/>
      <c r="R53" s="31"/>
      <c r="S53" s="31"/>
      <c r="T53" s="10"/>
      <c r="U53" s="10"/>
      <c r="V53" s="10"/>
      <c r="W53" s="12">
        <f t="shared" si="11"/>
        <v>0</v>
      </c>
      <c r="Y53" s="10"/>
      <c r="Z53" s="31"/>
      <c r="AA53" s="31"/>
      <c r="AB53" s="31"/>
      <c r="AC53" s="31"/>
      <c r="AD53" s="31"/>
      <c r="AE53" s="31"/>
      <c r="AF53" s="10"/>
      <c r="AG53" s="10"/>
      <c r="AH53" s="10"/>
      <c r="AI53" s="12">
        <f t="shared" si="13"/>
        <v>0</v>
      </c>
    </row>
    <row r="54" spans="1:52" x14ac:dyDescent="0.25">
      <c r="B54" s="57"/>
      <c r="C54" s="57"/>
      <c r="D54" s="36"/>
      <c r="E54" s="36"/>
      <c r="F54" s="36"/>
      <c r="G54" s="36"/>
      <c r="H54" s="37"/>
      <c r="I54" s="37"/>
      <c r="J54" s="37"/>
      <c r="K54" s="37"/>
      <c r="N54" s="57"/>
      <c r="O54" s="57"/>
      <c r="P54" s="36"/>
      <c r="Q54" s="36"/>
      <c r="R54" s="36"/>
      <c r="S54" s="36"/>
      <c r="T54" s="37"/>
      <c r="U54" s="37"/>
      <c r="V54" s="37"/>
      <c r="W54" s="37"/>
      <c r="Z54" s="57"/>
      <c r="AA54" s="57"/>
      <c r="AB54" s="36"/>
      <c r="AC54" s="36"/>
      <c r="AD54" s="36"/>
      <c r="AE54" s="36"/>
      <c r="AF54" s="37"/>
      <c r="AG54" s="37"/>
      <c r="AH54" s="37"/>
      <c r="AI54" s="37"/>
    </row>
    <row r="55" spans="1:52" x14ac:dyDescent="0.25">
      <c r="B55" s="57"/>
      <c r="C55" s="57"/>
      <c r="D55" s="38">
        <f>SUM(D12:D54)</f>
        <v>89154</v>
      </c>
      <c r="E55" s="38">
        <f t="shared" ref="E55:F55" si="18">SUM(E12:E52)</f>
        <v>0</v>
      </c>
      <c r="F55" s="38">
        <f t="shared" si="18"/>
        <v>0</v>
      </c>
      <c r="G55" s="38">
        <f>SUM(G12:G54)</f>
        <v>89154</v>
      </c>
      <c r="H55" s="4"/>
      <c r="I55" s="39">
        <f>SUM(I12:I54)</f>
        <v>109</v>
      </c>
      <c r="J55" s="39">
        <f>SUM(J12:J54)</f>
        <v>0</v>
      </c>
      <c r="K55" s="40">
        <f>SUM(K12:K54)</f>
        <v>89263</v>
      </c>
      <c r="N55" s="57"/>
      <c r="O55" s="57"/>
      <c r="P55" s="38">
        <f>SUM(P12:P54)</f>
        <v>85118</v>
      </c>
      <c r="Q55" s="38">
        <f>SUM(Q12:Q36)</f>
        <v>0</v>
      </c>
      <c r="R55" s="38">
        <f>SUM(R12:R36)</f>
        <v>0</v>
      </c>
      <c r="S55" s="38">
        <f>SUM(S12:S54)</f>
        <v>85118</v>
      </c>
      <c r="T55" s="4"/>
      <c r="U55" s="41">
        <f>SUM(U12:U54)</f>
        <v>222</v>
      </c>
      <c r="V55" s="41">
        <f>SUM(V12:V36)</f>
        <v>-222</v>
      </c>
      <c r="W55" s="42">
        <f>SUM(W12:W54)</f>
        <v>85118</v>
      </c>
      <c r="Z55" s="57"/>
      <c r="AA55" s="57"/>
      <c r="AB55" s="38">
        <f>SUM(AB12:AB54)</f>
        <v>61558</v>
      </c>
      <c r="AC55" s="38">
        <f>SUM(AC12:AC36)</f>
        <v>0</v>
      </c>
      <c r="AD55" s="38">
        <f>SUM(AD12:AD36)</f>
        <v>1878</v>
      </c>
      <c r="AE55" s="38">
        <f>SUM(AE12:AE54)</f>
        <v>61558</v>
      </c>
      <c r="AF55" s="4"/>
      <c r="AG55" s="41">
        <f>SUM(AG12:AG54)</f>
        <v>218</v>
      </c>
      <c r="AH55" s="41">
        <f>SUM(AH12:AH36)</f>
        <v>0</v>
      </c>
      <c r="AI55" s="42">
        <f>SUM(AI12:AI54)</f>
        <v>61776</v>
      </c>
    </row>
    <row r="56" spans="1:5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52" x14ac:dyDescent="0.25">
      <c r="A57" t="s">
        <v>0</v>
      </c>
      <c r="B57" s="57"/>
      <c r="C57" s="57"/>
      <c r="D57" s="57"/>
      <c r="E57" s="57"/>
      <c r="G57" s="57"/>
      <c r="M57" t="s">
        <v>0</v>
      </c>
      <c r="N57" s="57"/>
      <c r="O57" s="57"/>
      <c r="P57" s="57"/>
      <c r="Q57" s="57"/>
      <c r="R57" s="57"/>
      <c r="S57" s="57"/>
      <c r="Y57" t="s">
        <v>0</v>
      </c>
      <c r="Z57" s="57"/>
      <c r="AA57" s="57"/>
      <c r="AB57" s="57"/>
      <c r="AC57" s="57"/>
      <c r="AD57" s="57"/>
      <c r="AE57" s="57"/>
    </row>
    <row r="58" spans="1:52" x14ac:dyDescent="0.25">
      <c r="A58" t="s">
        <v>29</v>
      </c>
      <c r="B58" s="57"/>
      <c r="C58" s="57"/>
      <c r="D58" s="57"/>
      <c r="E58" s="57"/>
      <c r="G58" s="57"/>
      <c r="M58" t="s">
        <v>29</v>
      </c>
      <c r="N58" s="57"/>
      <c r="O58" s="57"/>
      <c r="P58" s="57"/>
      <c r="Q58" s="57"/>
      <c r="R58" s="57"/>
      <c r="S58" s="57"/>
      <c r="Y58" t="s">
        <v>29</v>
      </c>
      <c r="Z58" s="57"/>
      <c r="AA58" s="57"/>
      <c r="AB58" s="57"/>
      <c r="AC58" s="57"/>
      <c r="AD58" s="57"/>
      <c r="AE58" s="57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</row>
    <row r="59" spans="1:52" x14ac:dyDescent="0.25">
      <c r="B59" s="57"/>
      <c r="C59" s="57"/>
      <c r="D59" s="57"/>
      <c r="E59" s="57"/>
      <c r="G59" s="57"/>
      <c r="N59" s="57"/>
      <c r="O59" s="57"/>
      <c r="P59" s="57"/>
      <c r="Q59" s="57"/>
      <c r="R59" s="57"/>
      <c r="S59" s="57"/>
      <c r="Z59" s="57"/>
      <c r="AA59" s="57"/>
      <c r="AB59" s="57"/>
      <c r="AC59" s="57"/>
      <c r="AD59" s="57"/>
      <c r="AE59" s="57"/>
      <c r="AK59" s="62"/>
      <c r="AL59" s="63"/>
      <c r="AM59" s="63"/>
      <c r="AN59" s="63"/>
      <c r="AO59" s="63"/>
      <c r="AP59" s="63"/>
      <c r="AQ59" s="62"/>
      <c r="AR59" s="62"/>
      <c r="AS59" s="62"/>
      <c r="AT59" s="62"/>
      <c r="AU59" s="62"/>
      <c r="AV59" s="62"/>
      <c r="AW59" s="62"/>
      <c r="AX59" s="62"/>
      <c r="AY59" s="62"/>
      <c r="AZ59" s="62"/>
    </row>
    <row r="60" spans="1:52" x14ac:dyDescent="0.25">
      <c r="A60" s="4" t="s">
        <v>15</v>
      </c>
      <c r="B60" s="57"/>
      <c r="C60" s="57"/>
      <c r="D60" s="57"/>
      <c r="E60" s="57"/>
      <c r="G60" s="57"/>
      <c r="M60" s="4" t="s">
        <v>15</v>
      </c>
      <c r="N60" s="57"/>
      <c r="O60" s="57"/>
      <c r="P60" s="57"/>
      <c r="Q60" s="57"/>
      <c r="R60" s="57"/>
      <c r="S60" s="57"/>
      <c r="Y60" s="4" t="s">
        <v>15</v>
      </c>
      <c r="Z60" s="57"/>
      <c r="AA60" s="57"/>
      <c r="AB60" s="57"/>
      <c r="AC60" s="57"/>
      <c r="AD60" s="57"/>
      <c r="AE60" s="57"/>
      <c r="AK60" s="62"/>
      <c r="AL60" s="63"/>
      <c r="AM60" s="63"/>
      <c r="AN60" s="63"/>
      <c r="AO60" s="63"/>
      <c r="AP60" s="63"/>
      <c r="AQ60" s="62"/>
      <c r="AR60" s="62"/>
      <c r="AS60" s="62"/>
      <c r="AT60" s="62"/>
      <c r="AU60" s="62"/>
      <c r="AV60" s="62"/>
      <c r="AW60" s="62"/>
      <c r="AX60" s="62"/>
      <c r="AY60" s="62"/>
      <c r="AZ60" s="62"/>
    </row>
    <row r="61" spans="1:52" x14ac:dyDescent="0.25">
      <c r="B61" s="57"/>
      <c r="C61" s="57"/>
      <c r="D61" s="57"/>
      <c r="E61" s="57"/>
      <c r="G61" s="57"/>
      <c r="N61" s="57"/>
      <c r="O61" s="57"/>
      <c r="P61" s="57"/>
      <c r="Q61" s="57"/>
      <c r="R61" s="57"/>
      <c r="S61" s="57"/>
      <c r="Z61" s="57"/>
      <c r="AA61" s="57"/>
      <c r="AB61" s="57"/>
      <c r="AC61" s="57"/>
      <c r="AD61" s="57"/>
      <c r="AE61" s="57"/>
      <c r="AK61" s="62"/>
      <c r="AL61" s="63"/>
      <c r="AM61" s="63"/>
      <c r="AN61" s="63"/>
      <c r="AO61" s="63"/>
      <c r="AP61" s="63"/>
      <c r="AQ61" s="62"/>
      <c r="AR61" s="62"/>
      <c r="AS61" s="62"/>
      <c r="AT61" s="62"/>
      <c r="AU61" s="62"/>
      <c r="AV61" s="62"/>
      <c r="AW61" s="62"/>
      <c r="AX61" s="62"/>
      <c r="AY61" s="62"/>
      <c r="AZ61" s="62"/>
    </row>
    <row r="62" spans="1:52" ht="15.75" x14ac:dyDescent="0.25">
      <c r="A62" t="s">
        <v>40</v>
      </c>
      <c r="B62" s="57"/>
      <c r="C62" s="57"/>
      <c r="D62" s="57"/>
      <c r="E62" s="57"/>
      <c r="G62" s="57"/>
      <c r="I62" s="57" t="s">
        <v>16</v>
      </c>
      <c r="J62" s="19">
        <v>1</v>
      </c>
      <c r="M62" t="s">
        <v>40</v>
      </c>
      <c r="N62" s="57"/>
      <c r="O62" s="57"/>
      <c r="P62" s="57"/>
      <c r="Q62" s="57"/>
      <c r="R62" s="57"/>
      <c r="S62" s="57"/>
      <c r="U62" s="57" t="s">
        <v>16</v>
      </c>
      <c r="V62" s="19">
        <v>2</v>
      </c>
      <c r="Y62" t="s">
        <v>40</v>
      </c>
      <c r="Z62" s="57"/>
      <c r="AA62" s="57"/>
      <c r="AB62" s="57"/>
      <c r="AC62" s="57"/>
      <c r="AD62" s="57"/>
      <c r="AE62" s="57"/>
      <c r="AG62" s="57" t="s">
        <v>16</v>
      </c>
      <c r="AH62" s="20">
        <v>3</v>
      </c>
      <c r="AK62" s="64"/>
      <c r="AL62" s="63"/>
      <c r="AM62" s="63"/>
      <c r="AN62" s="63"/>
      <c r="AO62" s="63"/>
      <c r="AP62" s="63"/>
      <c r="AQ62" s="62"/>
      <c r="AR62" s="62"/>
      <c r="AS62" s="62"/>
      <c r="AT62" s="62"/>
      <c r="AU62" s="62"/>
      <c r="AV62" s="62"/>
      <c r="AW62" s="62"/>
      <c r="AX62" s="62"/>
      <c r="AY62" s="62"/>
      <c r="AZ62" s="62"/>
    </row>
    <row r="63" spans="1:52" x14ac:dyDescent="0.25">
      <c r="A63" s="21" t="s">
        <v>41</v>
      </c>
      <c r="B63" s="20"/>
      <c r="C63" s="57"/>
      <c r="D63" s="57"/>
      <c r="E63" s="57"/>
      <c r="G63" s="57"/>
      <c r="I63" s="22" t="s">
        <v>17</v>
      </c>
      <c r="J63" s="23" t="s">
        <v>33</v>
      </c>
      <c r="K63" s="24"/>
      <c r="M63" s="21" t="s">
        <v>41</v>
      </c>
      <c r="N63" s="20"/>
      <c r="O63" s="57"/>
      <c r="P63" s="57"/>
      <c r="Q63" s="57"/>
      <c r="R63" s="57"/>
      <c r="S63" s="57"/>
      <c r="U63" s="22" t="s">
        <v>17</v>
      </c>
      <c r="V63" s="23" t="s">
        <v>34</v>
      </c>
      <c r="W63" s="24"/>
      <c r="Y63" s="21" t="s">
        <v>41</v>
      </c>
      <c r="Z63" s="20"/>
      <c r="AA63" s="57"/>
      <c r="AB63" s="57"/>
      <c r="AC63" s="57"/>
      <c r="AD63" s="57"/>
      <c r="AE63" s="57"/>
      <c r="AG63" s="22" t="s">
        <v>17</v>
      </c>
      <c r="AH63" s="23" t="s">
        <v>35</v>
      </c>
      <c r="AI63" s="24"/>
      <c r="AK63" s="62"/>
      <c r="AL63" s="63"/>
      <c r="AM63" s="63"/>
      <c r="AN63" s="63"/>
      <c r="AO63" s="63"/>
      <c r="AP63" s="63"/>
      <c r="AQ63" s="62"/>
      <c r="AR63" s="62"/>
      <c r="AS63" s="62"/>
      <c r="AT63" s="62"/>
      <c r="AU63" s="62"/>
      <c r="AV63" s="62"/>
      <c r="AW63" s="62"/>
      <c r="AX63" s="62"/>
      <c r="AY63" s="62"/>
      <c r="AZ63" s="62"/>
    </row>
    <row r="64" spans="1:52" x14ac:dyDescent="0.25">
      <c r="B64" s="57"/>
      <c r="C64" s="57"/>
      <c r="D64" s="57"/>
      <c r="E64" s="57"/>
      <c r="G64" s="57"/>
      <c r="N64" s="57"/>
      <c r="O64" s="57"/>
      <c r="P64" s="57"/>
      <c r="Q64" s="57"/>
      <c r="R64" s="57"/>
      <c r="S64" s="57"/>
      <c r="Z64" s="57"/>
      <c r="AA64" s="57"/>
      <c r="AB64" s="57"/>
      <c r="AC64" s="57"/>
      <c r="AD64" s="57"/>
      <c r="AE64" s="57"/>
      <c r="AK64" s="62"/>
      <c r="AL64" s="63"/>
      <c r="AM64" s="63"/>
      <c r="AN64" s="63"/>
      <c r="AO64" s="63"/>
      <c r="AP64" s="63"/>
      <c r="AQ64" s="62"/>
      <c r="AR64" s="63"/>
      <c r="AS64" s="63"/>
      <c r="AT64" s="62"/>
      <c r="AU64" s="62"/>
      <c r="AV64" s="62"/>
      <c r="AW64" s="62"/>
      <c r="AX64" s="62"/>
      <c r="AY64" s="62"/>
      <c r="AZ64" s="62"/>
    </row>
    <row r="65" spans="1:52" x14ac:dyDescent="0.25">
      <c r="B65" s="25"/>
      <c r="C65" s="26"/>
      <c r="D65" s="121" t="s">
        <v>18</v>
      </c>
      <c r="E65" s="121"/>
      <c r="F65" s="90"/>
      <c r="G65" s="27"/>
      <c r="I65" s="119" t="s">
        <v>19</v>
      </c>
      <c r="J65" s="120"/>
      <c r="K65" s="117" t="s">
        <v>20</v>
      </c>
      <c r="N65" s="25"/>
      <c r="O65" s="26"/>
      <c r="P65" s="121" t="s">
        <v>18</v>
      </c>
      <c r="Q65" s="121"/>
      <c r="R65" s="91"/>
      <c r="S65" s="27"/>
      <c r="U65" s="119" t="s">
        <v>19</v>
      </c>
      <c r="V65" s="120"/>
      <c r="W65" s="117" t="s">
        <v>20</v>
      </c>
      <c r="Z65" s="25"/>
      <c r="AA65" s="26"/>
      <c r="AB65" s="121" t="s">
        <v>18</v>
      </c>
      <c r="AC65" s="121"/>
      <c r="AD65" s="90"/>
      <c r="AE65" s="27"/>
      <c r="AG65" s="119" t="s">
        <v>19</v>
      </c>
      <c r="AH65" s="120"/>
      <c r="AI65" s="117" t="s">
        <v>20</v>
      </c>
      <c r="AK65" s="65"/>
      <c r="AL65" s="63"/>
      <c r="AM65" s="63"/>
      <c r="AN65" s="63"/>
      <c r="AO65" s="63"/>
      <c r="AP65" s="63"/>
      <c r="AQ65" s="62"/>
      <c r="AR65" s="66"/>
      <c r="AS65" s="66"/>
      <c r="AT65" s="62"/>
      <c r="AU65" s="62"/>
      <c r="AV65" s="62"/>
      <c r="AW65" s="62"/>
      <c r="AX65" s="62"/>
      <c r="AY65" s="62"/>
      <c r="AZ65" s="62"/>
    </row>
    <row r="66" spans="1:52" ht="30" x14ac:dyDescent="0.25">
      <c r="B66" s="28" t="s">
        <v>21</v>
      </c>
      <c r="C66" s="28" t="s">
        <v>22</v>
      </c>
      <c r="D66" s="83" t="s">
        <v>23</v>
      </c>
      <c r="E66" s="82" t="s">
        <v>24</v>
      </c>
      <c r="F66" s="84" t="s">
        <v>36</v>
      </c>
      <c r="G66" s="84" t="s">
        <v>25</v>
      </c>
      <c r="I66" s="29" t="s">
        <v>26</v>
      </c>
      <c r="J66" s="29" t="s">
        <v>27</v>
      </c>
      <c r="K66" s="118"/>
      <c r="N66" s="28" t="s">
        <v>21</v>
      </c>
      <c r="O66" s="28" t="s">
        <v>22</v>
      </c>
      <c r="P66" s="83" t="s">
        <v>23</v>
      </c>
      <c r="Q66" s="84" t="s">
        <v>24</v>
      </c>
      <c r="R66" s="84" t="s">
        <v>36</v>
      </c>
      <c r="S66" s="84" t="s">
        <v>25</v>
      </c>
      <c r="U66" s="29" t="s">
        <v>26</v>
      </c>
      <c r="V66" s="29" t="s">
        <v>27</v>
      </c>
      <c r="W66" s="118"/>
      <c r="Z66" s="28" t="s">
        <v>21</v>
      </c>
      <c r="AA66" s="28" t="s">
        <v>22</v>
      </c>
      <c r="AB66" s="83" t="s">
        <v>23</v>
      </c>
      <c r="AC66" s="84" t="s">
        <v>24</v>
      </c>
      <c r="AD66" s="84" t="s">
        <v>36</v>
      </c>
      <c r="AE66" s="84" t="s">
        <v>25</v>
      </c>
      <c r="AG66" s="29" t="s">
        <v>26</v>
      </c>
      <c r="AH66" s="29" t="s">
        <v>27</v>
      </c>
      <c r="AI66" s="118"/>
      <c r="AK66" s="62"/>
      <c r="AL66" s="63"/>
      <c r="AM66" s="63"/>
      <c r="AN66" s="63"/>
      <c r="AO66" s="63"/>
      <c r="AP66" s="63"/>
      <c r="AQ66" s="62"/>
      <c r="AR66" s="62"/>
      <c r="AS66" s="62"/>
      <c r="AT66" s="62"/>
      <c r="AU66" s="62"/>
      <c r="AV66" s="62"/>
      <c r="AW66" s="62"/>
      <c r="AX66" s="62"/>
      <c r="AY66" s="62"/>
      <c r="AZ66" s="62"/>
    </row>
    <row r="67" spans="1:52" x14ac:dyDescent="0.25">
      <c r="A67" s="10">
        <v>1</v>
      </c>
      <c r="B67" s="30">
        <v>45696</v>
      </c>
      <c r="C67" s="31">
        <v>4746</v>
      </c>
      <c r="D67" s="32">
        <f>4382+596+76</f>
        <v>5054</v>
      </c>
      <c r="E67" s="32"/>
      <c r="F67" s="32"/>
      <c r="G67" s="32">
        <f t="shared" ref="G67:G100" si="19">SUM(D67:E67)</f>
        <v>5054</v>
      </c>
      <c r="H67" s="12"/>
      <c r="I67" s="12"/>
      <c r="J67" s="12"/>
      <c r="K67" s="12">
        <f t="shared" ref="K67:K100" si="20">SUM(G67:J67)</f>
        <v>5054</v>
      </c>
      <c r="M67" s="10">
        <v>1</v>
      </c>
      <c r="N67" s="30">
        <v>45696</v>
      </c>
      <c r="O67" s="31">
        <v>4822</v>
      </c>
      <c r="P67" s="32">
        <f>626*2+596*2+38</f>
        <v>2482</v>
      </c>
      <c r="Q67" s="32"/>
      <c r="R67" s="32"/>
      <c r="S67" s="32">
        <f>SUM(P67:Q67)</f>
        <v>2482</v>
      </c>
      <c r="T67" s="12"/>
      <c r="U67" s="12"/>
      <c r="V67" s="12"/>
      <c r="W67" s="12">
        <f>SUM(S67:V67)</f>
        <v>2482</v>
      </c>
      <c r="Y67" s="10">
        <v>1</v>
      </c>
      <c r="Z67" s="30">
        <v>45696</v>
      </c>
      <c r="AA67" s="31">
        <v>4663</v>
      </c>
      <c r="AB67" s="32">
        <f>28170+2980+458</f>
        <v>31608</v>
      </c>
      <c r="AC67" s="32">
        <v>-312</v>
      </c>
      <c r="AD67" s="32"/>
      <c r="AE67" s="32">
        <f>SUM(AB67:AC67)</f>
        <v>31296</v>
      </c>
      <c r="AF67" s="12"/>
      <c r="AG67" s="12"/>
      <c r="AH67" s="12"/>
      <c r="AI67" s="12">
        <f>SUM(AE67:AH67)</f>
        <v>31296</v>
      </c>
      <c r="AK67" s="62"/>
      <c r="AL67" s="66"/>
      <c r="AM67" s="63"/>
      <c r="AN67" s="116"/>
      <c r="AO67" s="116"/>
      <c r="AP67" s="63"/>
      <c r="AQ67" s="62"/>
      <c r="AR67" s="116"/>
      <c r="AS67" s="116"/>
      <c r="AT67" s="115"/>
      <c r="AU67" s="62"/>
      <c r="AV67" s="62"/>
      <c r="AW67" s="62"/>
      <c r="AX67" s="62"/>
      <c r="AY67" s="62"/>
      <c r="AZ67" s="62"/>
    </row>
    <row r="68" spans="1:52" x14ac:dyDescent="0.25">
      <c r="A68" s="10">
        <v>2</v>
      </c>
      <c r="B68" s="30">
        <v>45696</v>
      </c>
      <c r="C68" s="31">
        <f>C67+1</f>
        <v>4747</v>
      </c>
      <c r="D68" s="32">
        <f>2504+38</f>
        <v>2542</v>
      </c>
      <c r="E68" s="32"/>
      <c r="F68" s="32"/>
      <c r="G68" s="32">
        <f t="shared" si="19"/>
        <v>2542</v>
      </c>
      <c r="H68" s="12"/>
      <c r="I68" s="12"/>
      <c r="J68" s="12"/>
      <c r="K68" s="12">
        <f t="shared" si="20"/>
        <v>2542</v>
      </c>
      <c r="M68" s="10">
        <v>2</v>
      </c>
      <c r="N68" s="30">
        <v>45696</v>
      </c>
      <c r="O68" s="31">
        <f>O67+1</f>
        <v>4823</v>
      </c>
      <c r="P68" s="32">
        <f>1252+19</f>
        <v>1271</v>
      </c>
      <c r="Q68" s="32"/>
      <c r="R68" s="32"/>
      <c r="S68" s="32">
        <f t="shared" ref="S68:S99" si="21">SUM(P68:Q68)</f>
        <v>1271</v>
      </c>
      <c r="T68" s="12"/>
      <c r="U68" s="12"/>
      <c r="V68" s="12"/>
      <c r="W68" s="12">
        <f t="shared" ref="W68:W99" si="22">SUM(S68:V68)</f>
        <v>1271</v>
      </c>
      <c r="Y68" s="10">
        <v>2</v>
      </c>
      <c r="Z68" s="30">
        <v>45696</v>
      </c>
      <c r="AA68" s="31">
        <f>AA67+1</f>
        <v>4664</v>
      </c>
      <c r="AB68" s="32">
        <f>626+614+596+19</f>
        <v>1855</v>
      </c>
      <c r="AC68" s="32"/>
      <c r="AD68" s="32"/>
      <c r="AE68" s="32">
        <f t="shared" ref="AE68:AE99" si="23">SUM(AB68:AC68)</f>
        <v>1855</v>
      </c>
      <c r="AF68" s="12"/>
      <c r="AG68" s="12"/>
      <c r="AH68" s="12"/>
      <c r="AI68" s="12">
        <f t="shared" ref="AI68:AI99" si="24">SUM(AE68:AH68)</f>
        <v>1855</v>
      </c>
      <c r="AK68" s="62"/>
      <c r="AL68" s="63"/>
      <c r="AM68" s="63"/>
      <c r="AN68" s="63"/>
      <c r="AO68" s="67"/>
      <c r="AP68" s="67"/>
      <c r="AQ68" s="62"/>
      <c r="AR68" s="67"/>
      <c r="AS68" s="67"/>
      <c r="AT68" s="115"/>
      <c r="AU68" s="62"/>
      <c r="AV68" s="62"/>
      <c r="AW68" s="62"/>
      <c r="AX68" s="62"/>
      <c r="AY68" s="62"/>
      <c r="AZ68" s="62"/>
    </row>
    <row r="69" spans="1:52" x14ac:dyDescent="0.25">
      <c r="A69" s="10">
        <v>3</v>
      </c>
      <c r="B69" s="30">
        <v>45696</v>
      </c>
      <c r="C69" s="31">
        <f t="shared" ref="C69:C102" si="25">C68+1</f>
        <v>4748</v>
      </c>
      <c r="D69" s="33">
        <f>626*6+57</f>
        <v>3813</v>
      </c>
      <c r="E69" s="33"/>
      <c r="F69" s="33"/>
      <c r="G69" s="33">
        <f t="shared" si="19"/>
        <v>3813</v>
      </c>
      <c r="H69" s="34"/>
      <c r="I69" s="34"/>
      <c r="J69" s="34"/>
      <c r="K69" s="34">
        <f t="shared" si="20"/>
        <v>3813</v>
      </c>
      <c r="M69" s="10">
        <v>3</v>
      </c>
      <c r="N69" s="30">
        <v>45696</v>
      </c>
      <c r="O69" s="31">
        <f t="shared" ref="O69:O73" si="26">O68+1</f>
        <v>4824</v>
      </c>
      <c r="P69" s="32">
        <f>56340+5960</f>
        <v>62300</v>
      </c>
      <c r="Q69" s="32">
        <v>-800</v>
      </c>
      <c r="R69" s="32"/>
      <c r="S69" s="32">
        <f t="shared" si="21"/>
        <v>61500</v>
      </c>
      <c r="T69" s="12"/>
      <c r="U69" s="12">
        <f>135</f>
        <v>135</v>
      </c>
      <c r="V69" s="12">
        <v>-240</v>
      </c>
      <c r="W69" s="12">
        <f t="shared" si="22"/>
        <v>61395</v>
      </c>
      <c r="Y69" s="10">
        <v>3</v>
      </c>
      <c r="Z69" s="30">
        <v>45696</v>
      </c>
      <c r="AA69" s="31">
        <f t="shared" ref="AA69:AA80" si="27">AA68+1</f>
        <v>4665</v>
      </c>
      <c r="AB69" s="33">
        <f>1878+674+1192+47.5</f>
        <v>3791.5</v>
      </c>
      <c r="AC69" s="33"/>
      <c r="AD69" s="32"/>
      <c r="AE69" s="32">
        <f t="shared" si="23"/>
        <v>3791.5</v>
      </c>
      <c r="AF69" s="12"/>
      <c r="AG69" s="12"/>
      <c r="AH69" s="12"/>
      <c r="AI69" s="12">
        <f t="shared" si="24"/>
        <v>3791.5</v>
      </c>
      <c r="AK69" s="62"/>
      <c r="AL69" s="68"/>
      <c r="AM69" s="63"/>
      <c r="AN69" s="60"/>
      <c r="AO69" s="60"/>
      <c r="AP69" s="60"/>
      <c r="AQ69" s="61"/>
      <c r="AR69" s="61"/>
      <c r="AS69" s="61"/>
      <c r="AT69" s="61"/>
      <c r="AU69" s="62"/>
      <c r="AV69" s="62"/>
      <c r="AW69" s="62"/>
      <c r="AX69" s="62"/>
      <c r="AY69" s="62"/>
      <c r="AZ69" s="62"/>
    </row>
    <row r="70" spans="1:52" x14ac:dyDescent="0.25">
      <c r="A70" s="10">
        <v>4</v>
      </c>
      <c r="B70" s="30">
        <v>45696</v>
      </c>
      <c r="C70" s="31">
        <f t="shared" si="25"/>
        <v>4749</v>
      </c>
      <c r="D70" s="32">
        <f>4382+67</f>
        <v>4449</v>
      </c>
      <c r="E70" s="32"/>
      <c r="F70" s="32"/>
      <c r="G70" s="32">
        <f t="shared" si="19"/>
        <v>4449</v>
      </c>
      <c r="H70" s="12"/>
      <c r="I70" s="12"/>
      <c r="J70" s="12"/>
      <c r="K70" s="12">
        <f t="shared" si="20"/>
        <v>4449</v>
      </c>
      <c r="M70" s="10">
        <v>4</v>
      </c>
      <c r="N70" s="30">
        <v>45696</v>
      </c>
      <c r="O70" s="31">
        <f t="shared" si="26"/>
        <v>4825</v>
      </c>
      <c r="P70" s="32">
        <f>596</f>
        <v>596</v>
      </c>
      <c r="Q70" s="32"/>
      <c r="R70" s="32"/>
      <c r="S70" s="32">
        <f t="shared" si="21"/>
        <v>596</v>
      </c>
      <c r="T70" s="12"/>
      <c r="U70" s="12"/>
      <c r="V70" s="12"/>
      <c r="W70" s="12">
        <f t="shared" si="22"/>
        <v>596</v>
      </c>
      <c r="Y70" s="10">
        <v>4</v>
      </c>
      <c r="Z70" s="30">
        <v>45696</v>
      </c>
      <c r="AA70" s="31">
        <f t="shared" si="27"/>
        <v>4666</v>
      </c>
      <c r="AB70" s="32">
        <f>10016+674+2980+229</f>
        <v>13899</v>
      </c>
      <c r="AC70" s="32"/>
      <c r="AD70" s="32"/>
      <c r="AE70" s="32">
        <f t="shared" si="23"/>
        <v>13899</v>
      </c>
      <c r="AF70" s="12"/>
      <c r="AH70" s="12"/>
      <c r="AI70" s="12">
        <f t="shared" si="24"/>
        <v>13899</v>
      </c>
      <c r="AK70" s="62"/>
      <c r="AL70" s="68"/>
      <c r="AM70" s="63"/>
      <c r="AN70" s="60"/>
      <c r="AO70" s="60"/>
      <c r="AP70" s="60"/>
      <c r="AQ70" s="61"/>
      <c r="AR70" s="61"/>
      <c r="AS70" s="61"/>
      <c r="AT70" s="61"/>
      <c r="AU70" s="62"/>
      <c r="AV70" s="62"/>
      <c r="AW70" s="62"/>
      <c r="AX70" s="62"/>
      <c r="AY70" s="62"/>
      <c r="AZ70" s="62"/>
    </row>
    <row r="71" spans="1:52" x14ac:dyDescent="0.25">
      <c r="A71" s="10">
        <v>5</v>
      </c>
      <c r="B71" s="30">
        <v>45696</v>
      </c>
      <c r="C71" s="31">
        <f t="shared" si="25"/>
        <v>4750</v>
      </c>
      <c r="D71" s="32">
        <f>626+10</f>
        <v>636</v>
      </c>
      <c r="E71" s="32"/>
      <c r="F71" s="32"/>
      <c r="G71" s="32">
        <f t="shared" si="19"/>
        <v>636</v>
      </c>
      <c r="H71" s="12"/>
      <c r="I71" s="12"/>
      <c r="J71" s="12"/>
      <c r="K71" s="12">
        <f t="shared" si="20"/>
        <v>636</v>
      </c>
      <c r="M71" s="10">
        <v>5</v>
      </c>
      <c r="N71" s="30">
        <v>45696</v>
      </c>
      <c r="O71" s="31">
        <f t="shared" si="26"/>
        <v>4826</v>
      </c>
      <c r="P71" s="32">
        <f>3756+596+66.5</f>
        <v>4418.5</v>
      </c>
      <c r="Q71" s="32"/>
      <c r="R71" s="32"/>
      <c r="S71" s="32">
        <f t="shared" si="21"/>
        <v>4418.5</v>
      </c>
      <c r="T71" s="12"/>
      <c r="U71" s="12"/>
      <c r="V71" s="12"/>
      <c r="W71" s="12">
        <f t="shared" si="22"/>
        <v>4418.5</v>
      </c>
      <c r="Y71" s="10">
        <v>5</v>
      </c>
      <c r="Z71" s="30">
        <v>45696</v>
      </c>
      <c r="AA71" s="31">
        <f t="shared" si="27"/>
        <v>4667</v>
      </c>
      <c r="AB71" s="32">
        <f>8764+1842+133</f>
        <v>10739</v>
      </c>
      <c r="AC71" s="32"/>
      <c r="AD71" s="32"/>
      <c r="AE71" s="32">
        <f t="shared" si="23"/>
        <v>10739</v>
      </c>
      <c r="AF71" s="12"/>
      <c r="AG71" s="12">
        <v>54</v>
      </c>
      <c r="AH71" s="12"/>
      <c r="AI71" s="12">
        <f t="shared" si="24"/>
        <v>10793</v>
      </c>
      <c r="AK71" s="62"/>
      <c r="AL71" s="68"/>
      <c r="AM71" s="63"/>
      <c r="AN71" s="60"/>
      <c r="AO71" s="60"/>
      <c r="AP71" s="60"/>
      <c r="AQ71" s="61"/>
      <c r="AR71" s="61"/>
      <c r="AS71" s="61"/>
      <c r="AT71" s="61"/>
      <c r="AU71" s="62"/>
      <c r="AV71" s="62"/>
      <c r="AW71" s="62"/>
      <c r="AX71" s="62"/>
      <c r="AY71" s="62"/>
      <c r="AZ71" s="62"/>
    </row>
    <row r="72" spans="1:52" x14ac:dyDescent="0.25">
      <c r="A72" s="10">
        <v>6</v>
      </c>
      <c r="B72" s="30">
        <v>45696</v>
      </c>
      <c r="C72" s="31">
        <f t="shared" si="25"/>
        <v>4751</v>
      </c>
      <c r="D72" s="32"/>
      <c r="E72" s="32"/>
      <c r="F72" s="32"/>
      <c r="G72" s="32">
        <f t="shared" si="19"/>
        <v>0</v>
      </c>
      <c r="H72" s="12"/>
      <c r="I72" s="12"/>
      <c r="J72" s="12"/>
      <c r="K72" s="12">
        <f t="shared" si="20"/>
        <v>0</v>
      </c>
      <c r="M72" s="10">
        <v>6</v>
      </c>
      <c r="N72" s="30">
        <v>45696</v>
      </c>
      <c r="O72" s="31">
        <f t="shared" si="26"/>
        <v>4827</v>
      </c>
      <c r="P72" s="32">
        <f>614+2384+38</f>
        <v>3036</v>
      </c>
      <c r="Q72" s="32"/>
      <c r="R72" s="32"/>
      <c r="S72" s="32">
        <f t="shared" si="21"/>
        <v>3036</v>
      </c>
      <c r="T72" s="12"/>
      <c r="U72" s="12"/>
      <c r="V72" s="10"/>
      <c r="W72" s="12">
        <f t="shared" si="22"/>
        <v>3036</v>
      </c>
      <c r="Y72" s="10">
        <v>6</v>
      </c>
      <c r="Z72" s="30">
        <v>45696</v>
      </c>
      <c r="AA72" s="31">
        <f t="shared" si="27"/>
        <v>4668</v>
      </c>
      <c r="AB72" s="32">
        <f>1252+614+596+28.5</f>
        <v>2490.5</v>
      </c>
      <c r="AC72" s="32"/>
      <c r="AD72" s="32"/>
      <c r="AE72" s="32">
        <f t="shared" si="23"/>
        <v>2490.5</v>
      </c>
      <c r="AF72" s="12"/>
      <c r="AG72" s="12"/>
      <c r="AH72" s="10"/>
      <c r="AI72" s="12">
        <f t="shared" si="24"/>
        <v>2490.5</v>
      </c>
      <c r="AK72" s="62"/>
      <c r="AL72" s="68"/>
      <c r="AM72" s="63"/>
      <c r="AN72" s="62"/>
      <c r="AO72" s="60"/>
      <c r="AP72" s="60"/>
      <c r="AQ72" s="61"/>
      <c r="AR72" s="62"/>
      <c r="AS72" s="61"/>
      <c r="AT72" s="61"/>
      <c r="AU72" s="62"/>
      <c r="AV72" s="62"/>
      <c r="AW72" s="62"/>
      <c r="AX72" s="62"/>
      <c r="AY72" s="62"/>
      <c r="AZ72" s="62"/>
    </row>
    <row r="73" spans="1:52" x14ac:dyDescent="0.25">
      <c r="A73" s="10">
        <v>7</v>
      </c>
      <c r="B73" s="30">
        <v>45696</v>
      </c>
      <c r="C73" s="31">
        <f t="shared" si="25"/>
        <v>4752</v>
      </c>
      <c r="D73" s="32">
        <f>1252+19</f>
        <v>1271</v>
      </c>
      <c r="E73" s="32"/>
      <c r="F73" s="32"/>
      <c r="G73" s="32">
        <f t="shared" si="19"/>
        <v>1271</v>
      </c>
      <c r="H73" s="12"/>
      <c r="I73" s="12"/>
      <c r="J73" s="12"/>
      <c r="K73" s="12">
        <f t="shared" si="20"/>
        <v>1271</v>
      </c>
      <c r="M73" s="10">
        <v>7</v>
      </c>
      <c r="N73" s="30">
        <v>45696</v>
      </c>
      <c r="O73" s="31">
        <f t="shared" si="26"/>
        <v>4828</v>
      </c>
      <c r="P73" s="32">
        <f>3130+614+596+47.5</f>
        <v>4387.5</v>
      </c>
      <c r="Q73" s="32"/>
      <c r="R73" s="32"/>
      <c r="S73" s="32">
        <f t="shared" si="21"/>
        <v>4387.5</v>
      </c>
      <c r="T73" s="12"/>
      <c r="U73" s="12"/>
      <c r="V73" s="12"/>
      <c r="W73" s="12">
        <f t="shared" si="22"/>
        <v>4387.5</v>
      </c>
      <c r="Y73" s="10">
        <v>7</v>
      </c>
      <c r="Z73" s="30">
        <v>45696</v>
      </c>
      <c r="AA73" s="31">
        <f t="shared" si="27"/>
        <v>4669</v>
      </c>
      <c r="AB73" s="32">
        <f>3756+614+1788+85.5</f>
        <v>6243.5</v>
      </c>
      <c r="AC73" s="32"/>
      <c r="AD73" s="32"/>
      <c r="AE73" s="32">
        <f t="shared" si="23"/>
        <v>6243.5</v>
      </c>
      <c r="AF73" s="12"/>
      <c r="AG73" s="58">
        <v>108</v>
      </c>
      <c r="AH73" s="12"/>
      <c r="AI73" s="12">
        <f t="shared" si="24"/>
        <v>6351.5</v>
      </c>
      <c r="AK73" s="62"/>
      <c r="AL73" s="68"/>
      <c r="AM73" s="63"/>
      <c r="AN73" s="60"/>
      <c r="AO73" s="60"/>
      <c r="AP73" s="60"/>
      <c r="AQ73" s="61"/>
      <c r="AR73" s="61"/>
      <c r="AS73" s="61"/>
      <c r="AT73" s="61"/>
      <c r="AU73" s="62"/>
      <c r="AV73" s="62"/>
      <c r="AW73" s="62"/>
      <c r="AX73" s="62"/>
      <c r="AY73" s="62"/>
      <c r="AZ73" s="62"/>
    </row>
    <row r="74" spans="1:52" x14ac:dyDescent="0.25">
      <c r="A74" s="10">
        <v>8</v>
      </c>
      <c r="B74" s="30">
        <v>45696</v>
      </c>
      <c r="C74" s="31">
        <f t="shared" si="25"/>
        <v>4753</v>
      </c>
      <c r="D74" s="32">
        <f>2504+38</f>
        <v>2542</v>
      </c>
      <c r="E74" s="32"/>
      <c r="F74" s="32"/>
      <c r="G74" s="32">
        <f t="shared" si="19"/>
        <v>2542</v>
      </c>
      <c r="H74" s="12"/>
      <c r="I74" s="12"/>
      <c r="J74" s="12"/>
      <c r="K74" s="12">
        <f t="shared" si="20"/>
        <v>2542</v>
      </c>
      <c r="M74" s="10">
        <v>8</v>
      </c>
      <c r="N74" s="30">
        <v>45696</v>
      </c>
      <c r="O74" s="31">
        <v>4645</v>
      </c>
      <c r="P74" s="32">
        <f>2496+1300</f>
        <v>3796</v>
      </c>
      <c r="Q74" s="32"/>
      <c r="R74" s="32">
        <f>626*3</f>
        <v>1878</v>
      </c>
      <c r="S74" s="32">
        <f t="shared" si="21"/>
        <v>3796</v>
      </c>
      <c r="T74" s="12"/>
      <c r="U74" s="12"/>
      <c r="V74" s="12"/>
      <c r="W74" s="12">
        <f t="shared" si="22"/>
        <v>3796</v>
      </c>
      <c r="Y74" s="10">
        <v>8</v>
      </c>
      <c r="Z74" s="30">
        <v>45696</v>
      </c>
      <c r="AA74" s="31">
        <f t="shared" si="27"/>
        <v>4670</v>
      </c>
      <c r="AB74" s="32">
        <f>626+614+596</f>
        <v>1836</v>
      </c>
      <c r="AC74" s="32"/>
      <c r="AE74" s="32">
        <f t="shared" si="23"/>
        <v>1836</v>
      </c>
      <c r="AF74" s="12"/>
      <c r="AG74" s="12">
        <f>4.5*2+3</f>
        <v>12</v>
      </c>
      <c r="AH74" s="12"/>
      <c r="AI74" s="12">
        <f t="shared" si="24"/>
        <v>1848</v>
      </c>
      <c r="AK74" s="62"/>
      <c r="AL74" s="68"/>
      <c r="AM74" s="63"/>
      <c r="AN74" s="60"/>
      <c r="AO74" s="60"/>
      <c r="AP74" s="60"/>
      <c r="AQ74" s="61"/>
      <c r="AR74" s="61"/>
      <c r="AS74" s="62"/>
      <c r="AT74" s="61"/>
      <c r="AU74" s="62"/>
      <c r="AV74" s="62"/>
      <c r="AW74" s="62"/>
      <c r="AX74" s="62"/>
      <c r="AY74" s="62"/>
      <c r="AZ74" s="62"/>
    </row>
    <row r="75" spans="1:52" x14ac:dyDescent="0.25">
      <c r="A75" s="10">
        <v>9</v>
      </c>
      <c r="B75" s="30">
        <v>45696</v>
      </c>
      <c r="C75" s="31">
        <f t="shared" si="25"/>
        <v>4754</v>
      </c>
      <c r="D75" s="32">
        <f>3130+1192+67</f>
        <v>4389</v>
      </c>
      <c r="E75" s="32"/>
      <c r="F75" s="32"/>
      <c r="G75" s="32">
        <f t="shared" si="19"/>
        <v>4389</v>
      </c>
      <c r="H75" s="12"/>
      <c r="I75" s="12"/>
      <c r="J75" s="12"/>
      <c r="K75" s="12">
        <f t="shared" si="20"/>
        <v>4389</v>
      </c>
      <c r="M75" s="10">
        <v>9</v>
      </c>
      <c r="N75" s="30"/>
      <c r="O75" s="11" t="s">
        <v>28</v>
      </c>
      <c r="P75" s="32"/>
      <c r="Q75" s="32"/>
      <c r="R75" s="32"/>
      <c r="S75" s="32">
        <f t="shared" si="21"/>
        <v>0</v>
      </c>
      <c r="T75" s="12"/>
      <c r="U75" s="12"/>
      <c r="V75" s="12"/>
      <c r="W75" s="12">
        <f t="shared" si="22"/>
        <v>0</v>
      </c>
      <c r="Y75" s="10">
        <v>9</v>
      </c>
      <c r="Z75" s="30">
        <v>45696</v>
      </c>
      <c r="AA75" s="31">
        <f t="shared" si="27"/>
        <v>4671</v>
      </c>
      <c r="AB75">
        <f>674+614+3756+1192+229</f>
        <v>6465</v>
      </c>
      <c r="AC75" s="32"/>
      <c r="AD75" s="32"/>
      <c r="AE75" s="32">
        <f t="shared" si="23"/>
        <v>6465</v>
      </c>
      <c r="AF75" s="12"/>
      <c r="AH75" s="12"/>
      <c r="AI75" s="12">
        <f t="shared" si="24"/>
        <v>6465</v>
      </c>
      <c r="AK75" s="62"/>
      <c r="AL75" s="68"/>
      <c r="AM75" s="63"/>
      <c r="AN75" s="60"/>
      <c r="AO75" s="60"/>
      <c r="AP75" s="60"/>
      <c r="AQ75" s="61"/>
      <c r="AR75" s="61"/>
      <c r="AS75" s="61"/>
      <c r="AT75" s="61"/>
      <c r="AU75" s="62"/>
      <c r="AV75" s="62"/>
      <c r="AW75" s="62"/>
      <c r="AX75" s="62"/>
      <c r="AY75" s="62"/>
      <c r="AZ75" s="62"/>
    </row>
    <row r="76" spans="1:52" x14ac:dyDescent="0.25">
      <c r="A76" s="10">
        <v>10</v>
      </c>
      <c r="B76" s="30">
        <v>45696</v>
      </c>
      <c r="C76" s="31">
        <f t="shared" si="25"/>
        <v>4755</v>
      </c>
      <c r="D76" s="32">
        <f>1252+19</f>
        <v>1271</v>
      </c>
      <c r="E76" s="32"/>
      <c r="F76" s="32"/>
      <c r="G76" s="32">
        <f t="shared" si="19"/>
        <v>1271</v>
      </c>
      <c r="H76" s="12"/>
      <c r="I76" s="12"/>
      <c r="J76" s="12"/>
      <c r="K76" s="12">
        <f t="shared" si="20"/>
        <v>1271</v>
      </c>
      <c r="M76" s="10">
        <v>10</v>
      </c>
      <c r="N76" s="30"/>
      <c r="O76" s="31"/>
      <c r="P76" s="32"/>
      <c r="Q76" s="32"/>
      <c r="R76" s="32"/>
      <c r="S76" s="32">
        <f t="shared" si="21"/>
        <v>0</v>
      </c>
      <c r="T76" s="12"/>
      <c r="U76" s="12"/>
      <c r="V76" s="12"/>
      <c r="W76" s="12">
        <f t="shared" si="22"/>
        <v>0</v>
      </c>
      <c r="Y76" s="10">
        <v>10</v>
      </c>
      <c r="Z76" s="30">
        <v>45696</v>
      </c>
      <c r="AA76" s="31">
        <f t="shared" si="27"/>
        <v>4672</v>
      </c>
      <c r="AB76" s="32">
        <f>16276+2980+458</f>
        <v>19714</v>
      </c>
      <c r="AC76" s="32"/>
      <c r="AD76" s="32"/>
      <c r="AE76" s="32">
        <f t="shared" si="23"/>
        <v>19714</v>
      </c>
      <c r="AF76" s="12"/>
      <c r="AG76" s="12"/>
      <c r="AH76" s="12"/>
      <c r="AI76" s="12">
        <f t="shared" si="24"/>
        <v>19714</v>
      </c>
      <c r="AK76" s="62"/>
      <c r="AL76" s="68"/>
      <c r="AM76" s="66"/>
      <c r="AN76" s="60"/>
      <c r="AO76" s="62"/>
      <c r="AP76" s="60"/>
      <c r="AQ76" s="61"/>
      <c r="AR76" s="61"/>
      <c r="AS76" s="61"/>
      <c r="AT76" s="61"/>
      <c r="AU76" s="62"/>
      <c r="AV76" s="62"/>
      <c r="AW76" s="62"/>
      <c r="AX76" s="62"/>
      <c r="AY76" s="62"/>
      <c r="AZ76" s="62"/>
    </row>
    <row r="77" spans="1:52" x14ac:dyDescent="0.25">
      <c r="A77" s="10">
        <v>11</v>
      </c>
      <c r="B77" s="30">
        <v>45696</v>
      </c>
      <c r="C77" s="31">
        <f t="shared" si="25"/>
        <v>4756</v>
      </c>
      <c r="D77" s="32">
        <f>1252+19</f>
        <v>1271</v>
      </c>
      <c r="E77" s="32"/>
      <c r="F77" s="32"/>
      <c r="G77" s="32">
        <f t="shared" si="19"/>
        <v>1271</v>
      </c>
      <c r="H77" s="12"/>
      <c r="I77" s="12"/>
      <c r="J77" s="12"/>
      <c r="K77" s="12">
        <f t="shared" si="20"/>
        <v>1271</v>
      </c>
      <c r="M77" s="10">
        <v>11</v>
      </c>
      <c r="N77" s="30"/>
      <c r="O77" s="31"/>
      <c r="P77" s="32"/>
      <c r="Q77" s="32"/>
      <c r="R77" s="32"/>
      <c r="S77" s="32">
        <f t="shared" si="21"/>
        <v>0</v>
      </c>
      <c r="T77" s="12"/>
      <c r="U77" s="12"/>
      <c r="V77" s="12"/>
      <c r="W77" s="12">
        <f t="shared" si="22"/>
        <v>0</v>
      </c>
      <c r="Y77" s="10">
        <v>11</v>
      </c>
      <c r="Z77" s="30">
        <v>45696</v>
      </c>
      <c r="AA77" s="31">
        <f t="shared" si="27"/>
        <v>4673</v>
      </c>
      <c r="AB77" s="32">
        <f>25040+614*5+674</f>
        <v>28784</v>
      </c>
      <c r="AC77" s="32"/>
      <c r="AD77" s="32"/>
      <c r="AE77" s="32">
        <f t="shared" si="23"/>
        <v>28784</v>
      </c>
      <c r="AF77" s="12"/>
      <c r="AG77" s="12"/>
      <c r="AH77" s="12"/>
      <c r="AI77" s="12">
        <f t="shared" si="24"/>
        <v>28784</v>
      </c>
      <c r="AK77" s="62"/>
      <c r="AL77" s="68"/>
      <c r="AM77" s="63"/>
      <c r="AN77" s="62"/>
      <c r="AO77" s="60"/>
      <c r="AP77" s="60"/>
      <c r="AQ77" s="61"/>
      <c r="AR77" s="62"/>
      <c r="AS77" s="61"/>
      <c r="AT77" s="61"/>
      <c r="AU77" s="62"/>
      <c r="AV77" s="62"/>
      <c r="AW77" s="62"/>
      <c r="AX77" s="62"/>
      <c r="AY77" s="62"/>
      <c r="AZ77" s="62"/>
    </row>
    <row r="78" spans="1:52" x14ac:dyDescent="0.25">
      <c r="A78" s="10">
        <v>12</v>
      </c>
      <c r="B78" s="30">
        <v>45696</v>
      </c>
      <c r="C78" s="31">
        <f t="shared" si="25"/>
        <v>4757</v>
      </c>
      <c r="D78" s="32">
        <f>1252+19</f>
        <v>1271</v>
      </c>
      <c r="E78" s="32"/>
      <c r="F78" s="32"/>
      <c r="G78" s="32">
        <f t="shared" si="19"/>
        <v>1271</v>
      </c>
      <c r="H78" s="12"/>
      <c r="I78" s="12"/>
      <c r="J78" s="10"/>
      <c r="K78" s="12">
        <f t="shared" si="20"/>
        <v>1271</v>
      </c>
      <c r="M78" s="10">
        <v>12</v>
      </c>
      <c r="N78" s="30"/>
      <c r="O78" s="31"/>
      <c r="P78" s="32"/>
      <c r="Q78" s="32"/>
      <c r="R78" s="32"/>
      <c r="S78" s="32">
        <f t="shared" si="21"/>
        <v>0</v>
      </c>
      <c r="T78" s="12"/>
      <c r="U78" s="12"/>
      <c r="V78" s="12"/>
      <c r="W78" s="12">
        <f t="shared" si="22"/>
        <v>0</v>
      </c>
      <c r="Y78" s="10">
        <v>12</v>
      </c>
      <c r="Z78" s="30">
        <v>45696</v>
      </c>
      <c r="AA78" s="31">
        <f t="shared" si="27"/>
        <v>4674</v>
      </c>
      <c r="AB78" s="32">
        <f>12520+1842+229</f>
        <v>14591</v>
      </c>
      <c r="AC78" s="32"/>
      <c r="AD78" s="32"/>
      <c r="AE78" s="32">
        <f t="shared" si="23"/>
        <v>14591</v>
      </c>
      <c r="AF78" s="12"/>
      <c r="AG78" s="12"/>
      <c r="AH78" s="12"/>
      <c r="AI78" s="12">
        <f t="shared" si="24"/>
        <v>14591</v>
      </c>
      <c r="AK78" s="62"/>
      <c r="AL78" s="68"/>
      <c r="AM78" s="63"/>
      <c r="AN78" s="60"/>
      <c r="AO78" s="60"/>
      <c r="AP78" s="60"/>
      <c r="AQ78" s="61"/>
      <c r="AR78" s="61"/>
      <c r="AS78" s="61"/>
      <c r="AT78" s="61"/>
      <c r="AU78" s="62"/>
      <c r="AV78" s="62"/>
      <c r="AW78" s="62"/>
      <c r="AX78" s="62"/>
      <c r="AY78" s="62"/>
      <c r="AZ78" s="62"/>
    </row>
    <row r="79" spans="1:52" x14ac:dyDescent="0.25">
      <c r="A79" s="10">
        <v>13</v>
      </c>
      <c r="B79" s="30">
        <v>45696</v>
      </c>
      <c r="C79" s="31">
        <f t="shared" si="25"/>
        <v>4758</v>
      </c>
      <c r="D79" s="32">
        <f>1252+19</f>
        <v>1271</v>
      </c>
      <c r="E79" s="32"/>
      <c r="F79" s="32"/>
      <c r="G79" s="32">
        <f t="shared" si="19"/>
        <v>1271</v>
      </c>
      <c r="H79" s="12"/>
      <c r="I79" s="12"/>
      <c r="J79" s="12"/>
      <c r="K79" s="12">
        <f t="shared" si="20"/>
        <v>1271</v>
      </c>
      <c r="M79" s="10">
        <v>13</v>
      </c>
      <c r="N79" s="30"/>
      <c r="O79" s="31"/>
      <c r="P79" s="32"/>
      <c r="Q79" s="32"/>
      <c r="R79" s="32"/>
      <c r="S79" s="32">
        <f t="shared" si="21"/>
        <v>0</v>
      </c>
      <c r="T79" s="12"/>
      <c r="U79" s="12"/>
      <c r="V79" s="12"/>
      <c r="W79" s="12">
        <f t="shared" si="22"/>
        <v>0</v>
      </c>
      <c r="Y79" s="10">
        <v>13</v>
      </c>
      <c r="Z79" s="30">
        <v>45696</v>
      </c>
      <c r="AA79" s="31">
        <f t="shared" si="27"/>
        <v>4675</v>
      </c>
      <c r="AB79" s="32">
        <f>2204</f>
        <v>2204</v>
      </c>
      <c r="AC79" s="32"/>
      <c r="AD79" s="32"/>
      <c r="AE79" s="32">
        <f t="shared" si="23"/>
        <v>2204</v>
      </c>
      <c r="AF79" s="12"/>
      <c r="AG79" s="12"/>
      <c r="AH79" s="12"/>
      <c r="AI79" s="12">
        <f t="shared" si="24"/>
        <v>2204</v>
      </c>
      <c r="AK79" s="62"/>
      <c r="AL79" s="68"/>
      <c r="AM79" s="63"/>
      <c r="AN79" s="60"/>
      <c r="AO79" s="60"/>
      <c r="AP79" s="60"/>
      <c r="AQ79" s="61"/>
      <c r="AR79" s="61"/>
      <c r="AS79" s="61"/>
      <c r="AT79" s="61"/>
      <c r="AU79" s="62"/>
      <c r="AV79" s="62"/>
      <c r="AW79" s="62"/>
      <c r="AX79" s="62"/>
      <c r="AY79" s="62"/>
      <c r="AZ79" s="62"/>
    </row>
    <row r="80" spans="1:52" x14ac:dyDescent="0.25">
      <c r="A80" s="10">
        <v>14</v>
      </c>
      <c r="B80" s="30">
        <v>45696</v>
      </c>
      <c r="C80" s="31">
        <f t="shared" si="25"/>
        <v>4759</v>
      </c>
      <c r="D80" s="32">
        <f>1252+19</f>
        <v>1271</v>
      </c>
      <c r="E80" s="32"/>
      <c r="F80" s="32"/>
      <c r="G80" s="32">
        <f t="shared" si="19"/>
        <v>1271</v>
      </c>
      <c r="H80" s="12"/>
      <c r="I80" s="12"/>
      <c r="J80" s="12"/>
      <c r="K80" s="12">
        <f t="shared" si="20"/>
        <v>1271</v>
      </c>
      <c r="M80" s="10">
        <v>14</v>
      </c>
      <c r="N80" s="30"/>
      <c r="O80" s="31"/>
      <c r="P80" s="32"/>
      <c r="Q80" s="32"/>
      <c r="R80" s="32"/>
      <c r="S80" s="32">
        <f t="shared" si="21"/>
        <v>0</v>
      </c>
      <c r="T80" s="12"/>
      <c r="U80" s="12"/>
      <c r="V80" s="12"/>
      <c r="W80" s="12">
        <f t="shared" si="22"/>
        <v>0</v>
      </c>
      <c r="Y80" s="10">
        <v>14</v>
      </c>
      <c r="Z80" s="30">
        <v>45696</v>
      </c>
      <c r="AA80" s="31">
        <f t="shared" si="27"/>
        <v>4676</v>
      </c>
      <c r="AB80" s="32">
        <f>229</f>
        <v>229</v>
      </c>
      <c r="AC80" s="32"/>
      <c r="AD80" s="32"/>
      <c r="AE80" s="32">
        <f t="shared" si="23"/>
        <v>229</v>
      </c>
      <c r="AF80" s="12"/>
      <c r="AG80" s="12"/>
      <c r="AH80" s="12"/>
      <c r="AI80" s="12">
        <f t="shared" si="24"/>
        <v>229</v>
      </c>
      <c r="AK80" s="62"/>
      <c r="AL80" s="68"/>
      <c r="AM80" s="63"/>
      <c r="AN80" s="60"/>
      <c r="AO80" s="60"/>
      <c r="AP80" s="60"/>
      <c r="AQ80" s="61"/>
      <c r="AR80" s="61"/>
      <c r="AS80" s="61"/>
      <c r="AT80" s="61"/>
      <c r="AU80" s="62"/>
      <c r="AV80" s="62"/>
      <c r="AW80" s="62"/>
      <c r="AX80" s="62"/>
      <c r="AY80" s="62"/>
      <c r="AZ80" s="62"/>
    </row>
    <row r="81" spans="1:52" x14ac:dyDescent="0.25">
      <c r="A81" s="10">
        <v>15</v>
      </c>
      <c r="B81" s="30">
        <v>45696</v>
      </c>
      <c r="C81" s="31">
        <f t="shared" si="25"/>
        <v>4760</v>
      </c>
      <c r="D81" s="32">
        <f>2504+38</f>
        <v>2542</v>
      </c>
      <c r="E81" s="32"/>
      <c r="F81" s="32"/>
      <c r="G81" s="32">
        <f t="shared" si="19"/>
        <v>2542</v>
      </c>
      <c r="H81" s="12"/>
      <c r="I81" s="12"/>
      <c r="J81" s="12"/>
      <c r="K81" s="12">
        <f t="shared" si="20"/>
        <v>2542</v>
      </c>
      <c r="M81" s="10">
        <v>15</v>
      </c>
      <c r="N81" s="30"/>
      <c r="O81" s="31"/>
      <c r="P81" s="32"/>
      <c r="Q81" s="32"/>
      <c r="R81" s="32"/>
      <c r="S81" s="32">
        <f t="shared" si="21"/>
        <v>0</v>
      </c>
      <c r="T81" s="12"/>
      <c r="U81" s="12"/>
      <c r="V81" s="12"/>
      <c r="W81" s="12">
        <f t="shared" si="22"/>
        <v>0</v>
      </c>
      <c r="Y81" s="10">
        <v>15</v>
      </c>
      <c r="Z81" s="30"/>
      <c r="AA81" s="11" t="s">
        <v>28</v>
      </c>
      <c r="AB81" s="32"/>
      <c r="AC81" s="32"/>
      <c r="AD81" s="32"/>
      <c r="AE81" s="32">
        <f t="shared" si="23"/>
        <v>0</v>
      </c>
      <c r="AF81" s="12"/>
      <c r="AG81" s="12"/>
      <c r="AH81" s="12"/>
      <c r="AI81" s="12">
        <f t="shared" si="24"/>
        <v>0</v>
      </c>
      <c r="AK81" s="62"/>
      <c r="AL81" s="68"/>
      <c r="AM81" s="63"/>
      <c r="AN81" s="60"/>
      <c r="AO81" s="60"/>
      <c r="AP81" s="60"/>
      <c r="AQ81" s="61"/>
      <c r="AR81" s="61"/>
      <c r="AS81" s="61"/>
      <c r="AT81" s="61"/>
      <c r="AU81" s="62"/>
      <c r="AV81" s="62"/>
      <c r="AW81" s="62"/>
      <c r="AX81" s="62"/>
      <c r="AY81" s="62"/>
      <c r="AZ81" s="62"/>
    </row>
    <row r="82" spans="1:52" x14ac:dyDescent="0.25">
      <c r="A82" s="10">
        <v>16</v>
      </c>
      <c r="B82" s="30">
        <v>45696</v>
      </c>
      <c r="C82" s="31">
        <f t="shared" si="25"/>
        <v>4761</v>
      </c>
      <c r="D82" s="32">
        <f>13146+1788+229</f>
        <v>15163</v>
      </c>
      <c r="E82" s="32"/>
      <c r="F82" s="32"/>
      <c r="G82" s="32">
        <f t="shared" si="19"/>
        <v>15163</v>
      </c>
      <c r="H82" s="12"/>
      <c r="I82" s="12"/>
      <c r="J82" s="12"/>
      <c r="K82" s="12">
        <f t="shared" si="20"/>
        <v>15163</v>
      </c>
      <c r="M82" s="10">
        <v>16</v>
      </c>
      <c r="N82" s="30"/>
      <c r="O82" s="31"/>
      <c r="P82" s="32"/>
      <c r="Q82" s="32"/>
      <c r="R82" s="32"/>
      <c r="S82" s="32">
        <f t="shared" si="21"/>
        <v>0</v>
      </c>
      <c r="T82" s="12"/>
      <c r="U82" s="12"/>
      <c r="V82" s="12"/>
      <c r="W82" s="12">
        <f t="shared" si="22"/>
        <v>0</v>
      </c>
      <c r="Y82" s="10">
        <v>16</v>
      </c>
      <c r="Z82" s="30"/>
      <c r="AA82" s="31"/>
      <c r="AB82" s="32"/>
      <c r="AC82" s="32"/>
      <c r="AD82" s="32"/>
      <c r="AE82" s="32">
        <f t="shared" si="23"/>
        <v>0</v>
      </c>
      <c r="AF82" s="12"/>
      <c r="AG82" s="12"/>
      <c r="AH82" s="12"/>
      <c r="AI82" s="12">
        <f t="shared" si="24"/>
        <v>0</v>
      </c>
      <c r="AK82" s="62"/>
      <c r="AL82" s="68"/>
      <c r="AM82" s="63"/>
      <c r="AN82" s="60"/>
      <c r="AO82" s="60"/>
      <c r="AP82" s="60"/>
      <c r="AQ82" s="61"/>
      <c r="AR82" s="61"/>
      <c r="AS82" s="61"/>
      <c r="AT82" s="61"/>
      <c r="AU82" s="62"/>
      <c r="AV82" s="62"/>
      <c r="AW82" s="62"/>
      <c r="AX82" s="62"/>
      <c r="AY82" s="62"/>
      <c r="AZ82" s="62"/>
    </row>
    <row r="83" spans="1:52" x14ac:dyDescent="0.25">
      <c r="A83" s="10">
        <v>17</v>
      </c>
      <c r="B83" s="30">
        <v>45696</v>
      </c>
      <c r="C83" s="31">
        <f t="shared" si="25"/>
        <v>4762</v>
      </c>
      <c r="D83" s="32">
        <f>12520+2980+229</f>
        <v>15729</v>
      </c>
      <c r="E83" s="32"/>
      <c r="F83" s="32"/>
      <c r="G83" s="32">
        <f t="shared" si="19"/>
        <v>15729</v>
      </c>
      <c r="H83" s="12"/>
      <c r="I83" s="12">
        <v>14</v>
      </c>
      <c r="J83" s="12"/>
      <c r="K83" s="12">
        <f t="shared" si="20"/>
        <v>15743</v>
      </c>
      <c r="M83" s="10">
        <v>17</v>
      </c>
      <c r="N83" s="30"/>
      <c r="O83" s="31"/>
      <c r="P83" s="35"/>
      <c r="Q83" s="32"/>
      <c r="R83" s="32"/>
      <c r="S83" s="32">
        <f t="shared" si="21"/>
        <v>0</v>
      </c>
      <c r="T83" s="12"/>
      <c r="U83" s="12"/>
      <c r="V83" s="12"/>
      <c r="W83" s="12">
        <f t="shared" si="22"/>
        <v>0</v>
      </c>
      <c r="Y83" s="10">
        <v>17</v>
      </c>
      <c r="Z83" s="30"/>
      <c r="AA83" s="31"/>
      <c r="AB83" s="35"/>
      <c r="AC83" s="32"/>
      <c r="AD83" s="32"/>
      <c r="AE83" s="32">
        <f t="shared" si="23"/>
        <v>0</v>
      </c>
      <c r="AF83" s="12"/>
      <c r="AG83" s="12"/>
      <c r="AH83" s="12"/>
      <c r="AI83" s="12">
        <f t="shared" si="24"/>
        <v>0</v>
      </c>
      <c r="AK83" s="62"/>
      <c r="AL83" s="68"/>
      <c r="AM83" s="63"/>
      <c r="AN83" s="60"/>
      <c r="AO83" s="60"/>
      <c r="AP83" s="60"/>
      <c r="AQ83" s="61"/>
      <c r="AR83" s="61"/>
      <c r="AS83" s="61"/>
      <c r="AT83" s="61"/>
      <c r="AU83" s="62"/>
      <c r="AV83" s="62"/>
      <c r="AW83" s="62"/>
      <c r="AX83" s="62"/>
      <c r="AY83" s="62"/>
      <c r="AZ83" s="62"/>
    </row>
    <row r="84" spans="1:52" x14ac:dyDescent="0.25">
      <c r="A84" s="10">
        <v>18</v>
      </c>
      <c r="B84" s="30">
        <v>45696</v>
      </c>
      <c r="C84" s="31">
        <f t="shared" si="25"/>
        <v>4763</v>
      </c>
      <c r="D84" s="32">
        <f>1252+19</f>
        <v>1271</v>
      </c>
      <c r="E84" s="32"/>
      <c r="F84" s="32"/>
      <c r="G84" s="32">
        <f t="shared" si="19"/>
        <v>1271</v>
      </c>
      <c r="H84" s="12"/>
      <c r="I84" s="12"/>
      <c r="J84" s="12"/>
      <c r="K84" s="12">
        <f t="shared" si="20"/>
        <v>1271</v>
      </c>
      <c r="M84" s="10">
        <v>18</v>
      </c>
      <c r="N84" s="30"/>
      <c r="O84" s="31"/>
      <c r="P84" s="32"/>
      <c r="Q84" s="32"/>
      <c r="R84" s="32"/>
      <c r="S84" s="32">
        <f t="shared" si="21"/>
        <v>0</v>
      </c>
      <c r="T84" s="12"/>
      <c r="U84" s="12"/>
      <c r="V84" s="12"/>
      <c r="W84" s="12">
        <f t="shared" si="22"/>
        <v>0</v>
      </c>
      <c r="Y84" s="10">
        <v>18</v>
      </c>
      <c r="Z84" s="30"/>
      <c r="AA84" s="31"/>
      <c r="AB84" s="32"/>
      <c r="AC84" s="32"/>
      <c r="AD84" s="32"/>
      <c r="AE84" s="32">
        <f t="shared" si="23"/>
        <v>0</v>
      </c>
      <c r="AF84" s="12"/>
      <c r="AG84" s="12"/>
      <c r="AH84" s="12"/>
      <c r="AI84" s="12">
        <f t="shared" si="24"/>
        <v>0</v>
      </c>
      <c r="AK84" s="62"/>
      <c r="AL84" s="68"/>
      <c r="AM84" s="63"/>
      <c r="AN84" s="60"/>
      <c r="AO84" s="60"/>
      <c r="AP84" s="60"/>
      <c r="AQ84" s="61"/>
      <c r="AR84" s="61"/>
      <c r="AS84" s="61"/>
      <c r="AT84" s="61"/>
      <c r="AU84" s="62"/>
      <c r="AV84" s="62"/>
      <c r="AW84" s="62"/>
      <c r="AX84" s="62"/>
      <c r="AY84" s="62"/>
      <c r="AZ84" s="62"/>
    </row>
    <row r="85" spans="1:52" x14ac:dyDescent="0.25">
      <c r="A85" s="10">
        <v>19</v>
      </c>
      <c r="B85" s="30">
        <v>45696</v>
      </c>
      <c r="C85" s="31">
        <f t="shared" si="25"/>
        <v>4764</v>
      </c>
      <c r="D85" s="32">
        <f>26918+674</f>
        <v>27592</v>
      </c>
      <c r="E85" s="32"/>
      <c r="F85" s="32"/>
      <c r="G85" s="32">
        <f t="shared" si="19"/>
        <v>27592</v>
      </c>
      <c r="H85" s="12"/>
      <c r="I85" s="12"/>
      <c r="J85" s="12"/>
      <c r="K85" s="12">
        <f t="shared" si="20"/>
        <v>27592</v>
      </c>
      <c r="M85" s="10">
        <v>19</v>
      </c>
      <c r="N85" s="30"/>
      <c r="O85" s="31"/>
      <c r="P85" s="32"/>
      <c r="Q85" s="32"/>
      <c r="R85" s="32"/>
      <c r="S85" s="32">
        <f t="shared" si="21"/>
        <v>0</v>
      </c>
      <c r="T85" s="12"/>
      <c r="U85" s="12"/>
      <c r="V85" s="12"/>
      <c r="W85" s="12">
        <f t="shared" si="22"/>
        <v>0</v>
      </c>
      <c r="Y85" s="10">
        <v>19</v>
      </c>
      <c r="Z85" s="30"/>
      <c r="AA85" s="31"/>
      <c r="AB85" s="32"/>
      <c r="AC85" s="32"/>
      <c r="AD85" s="32"/>
      <c r="AE85" s="32">
        <f t="shared" si="23"/>
        <v>0</v>
      </c>
      <c r="AF85" s="12"/>
      <c r="AG85" s="12"/>
      <c r="AH85" s="12"/>
      <c r="AI85" s="12">
        <f t="shared" si="24"/>
        <v>0</v>
      </c>
      <c r="AK85" s="62"/>
      <c r="AL85" s="68"/>
      <c r="AM85" s="63"/>
      <c r="AN85" s="60"/>
      <c r="AO85" s="60"/>
      <c r="AP85" s="60"/>
      <c r="AQ85" s="61"/>
      <c r="AR85" s="61"/>
      <c r="AS85" s="61"/>
      <c r="AT85" s="61"/>
      <c r="AU85" s="62"/>
      <c r="AV85" s="62"/>
      <c r="AW85" s="62"/>
      <c r="AX85" s="62"/>
      <c r="AY85" s="62"/>
      <c r="AZ85" s="62"/>
    </row>
    <row r="86" spans="1:52" x14ac:dyDescent="0.25">
      <c r="A86" s="10">
        <v>20</v>
      </c>
      <c r="B86" s="30">
        <v>45696</v>
      </c>
      <c r="C86" s="31">
        <f t="shared" si="25"/>
        <v>4765</v>
      </c>
      <c r="D86" s="32">
        <f>1878+29</f>
        <v>1907</v>
      </c>
      <c r="E86" s="32"/>
      <c r="F86" s="32"/>
      <c r="G86" s="32">
        <f t="shared" si="19"/>
        <v>1907</v>
      </c>
      <c r="H86" s="12"/>
      <c r="I86" s="12"/>
      <c r="J86" s="12"/>
      <c r="K86" s="12">
        <f t="shared" si="20"/>
        <v>1907</v>
      </c>
      <c r="M86" s="10">
        <v>20</v>
      </c>
      <c r="N86" s="30"/>
      <c r="O86" s="31"/>
      <c r="P86" s="32"/>
      <c r="Q86" s="32"/>
      <c r="R86" s="32"/>
      <c r="S86" s="32">
        <f t="shared" si="21"/>
        <v>0</v>
      </c>
      <c r="T86" s="12"/>
      <c r="U86" s="12"/>
      <c r="V86" s="12"/>
      <c r="W86" s="12">
        <f t="shared" si="22"/>
        <v>0</v>
      </c>
      <c r="Y86" s="10">
        <v>20</v>
      </c>
      <c r="Z86" s="30"/>
      <c r="AA86" s="31"/>
      <c r="AB86" s="32"/>
      <c r="AC86" s="32"/>
      <c r="AD86" s="32"/>
      <c r="AE86" s="32">
        <f t="shared" si="23"/>
        <v>0</v>
      </c>
      <c r="AF86" s="12"/>
      <c r="AG86" s="12"/>
      <c r="AH86" s="12"/>
      <c r="AI86" s="12">
        <f t="shared" si="24"/>
        <v>0</v>
      </c>
      <c r="AK86" s="62"/>
      <c r="AL86" s="68"/>
      <c r="AM86" s="63"/>
      <c r="AN86" s="60"/>
      <c r="AO86" s="60"/>
      <c r="AP86" s="60"/>
      <c r="AQ86" s="61"/>
      <c r="AR86" s="61"/>
      <c r="AS86" s="61"/>
      <c r="AT86" s="61"/>
      <c r="AU86" s="62"/>
      <c r="AV86" s="62"/>
      <c r="AW86" s="62"/>
      <c r="AX86" s="62"/>
      <c r="AY86" s="62"/>
      <c r="AZ86" s="62"/>
    </row>
    <row r="87" spans="1:52" x14ac:dyDescent="0.25">
      <c r="A87" s="10">
        <v>21</v>
      </c>
      <c r="B87" s="30">
        <v>45696</v>
      </c>
      <c r="C87" s="31">
        <f t="shared" si="25"/>
        <v>4766</v>
      </c>
      <c r="D87" s="32">
        <f>26292+1842</f>
        <v>28134</v>
      </c>
      <c r="E87" s="32"/>
      <c r="F87" s="32"/>
      <c r="G87" s="32">
        <f t="shared" si="19"/>
        <v>28134</v>
      </c>
      <c r="H87" s="10"/>
      <c r="I87" s="10"/>
      <c r="J87" s="10"/>
      <c r="K87" s="12">
        <f t="shared" si="20"/>
        <v>28134</v>
      </c>
      <c r="M87" s="10">
        <v>21</v>
      </c>
      <c r="N87" s="30"/>
      <c r="O87" s="31"/>
      <c r="P87" s="46"/>
      <c r="Q87" s="31"/>
      <c r="R87" s="31"/>
      <c r="S87" s="32">
        <f t="shared" si="21"/>
        <v>0</v>
      </c>
      <c r="T87" s="10"/>
      <c r="U87" s="10"/>
      <c r="V87" s="10"/>
      <c r="W87" s="12">
        <f t="shared" si="22"/>
        <v>0</v>
      </c>
      <c r="Y87" s="10">
        <v>21</v>
      </c>
      <c r="Z87" s="30"/>
      <c r="AA87" s="31"/>
      <c r="AB87" s="46"/>
      <c r="AC87" s="31"/>
      <c r="AD87" s="31"/>
      <c r="AE87" s="32">
        <f t="shared" si="23"/>
        <v>0</v>
      </c>
      <c r="AF87" s="10"/>
      <c r="AG87" s="10"/>
      <c r="AH87" s="10"/>
      <c r="AI87" s="12">
        <f t="shared" si="24"/>
        <v>0</v>
      </c>
      <c r="AK87" s="62"/>
      <c r="AL87" s="68"/>
      <c r="AM87" s="63"/>
      <c r="AN87" s="60"/>
      <c r="AO87" s="60"/>
      <c r="AP87" s="60"/>
      <c r="AQ87" s="61"/>
      <c r="AR87" s="61"/>
      <c r="AS87" s="61"/>
      <c r="AT87" s="61"/>
      <c r="AU87" s="62"/>
      <c r="AV87" s="62"/>
      <c r="AW87" s="62"/>
      <c r="AX87" s="62"/>
      <c r="AY87" s="62"/>
      <c r="AZ87" s="62"/>
    </row>
    <row r="88" spans="1:52" x14ac:dyDescent="0.25">
      <c r="A88" s="10">
        <v>22</v>
      </c>
      <c r="B88" s="30">
        <v>45696</v>
      </c>
      <c r="C88" s="31">
        <f t="shared" si="25"/>
        <v>4767</v>
      </c>
      <c r="D88" s="32">
        <f>6260+1788+124</f>
        <v>8172</v>
      </c>
      <c r="E88" s="32"/>
      <c r="F88" s="32"/>
      <c r="G88" s="32">
        <f t="shared" si="19"/>
        <v>8172</v>
      </c>
      <c r="H88" s="10"/>
      <c r="I88" s="10"/>
      <c r="J88" s="10"/>
      <c r="K88" s="12">
        <f t="shared" si="20"/>
        <v>8172</v>
      </c>
      <c r="M88" s="10">
        <v>22</v>
      </c>
      <c r="N88" s="30"/>
      <c r="P88" s="45"/>
      <c r="Q88" s="31"/>
      <c r="R88" s="31"/>
      <c r="S88" s="32">
        <f t="shared" si="21"/>
        <v>0</v>
      </c>
      <c r="T88" s="10"/>
      <c r="U88" s="10"/>
      <c r="V88" s="10"/>
      <c r="W88" s="12">
        <f t="shared" si="22"/>
        <v>0</v>
      </c>
      <c r="Y88" s="10">
        <v>22</v>
      </c>
      <c r="Z88" s="30"/>
      <c r="AA88" s="31"/>
      <c r="AB88" s="45"/>
      <c r="AC88" s="31"/>
      <c r="AD88" s="31"/>
      <c r="AE88" s="32">
        <f t="shared" si="23"/>
        <v>0</v>
      </c>
      <c r="AF88" s="10"/>
      <c r="AG88" s="10"/>
      <c r="AH88" s="10"/>
      <c r="AI88" s="12">
        <f t="shared" si="24"/>
        <v>0</v>
      </c>
      <c r="AK88" s="62"/>
      <c r="AL88" s="68"/>
      <c r="AM88" s="63"/>
      <c r="AN88" s="60"/>
      <c r="AO88" s="60"/>
      <c r="AP88" s="60"/>
      <c r="AQ88" s="61"/>
      <c r="AR88" s="61"/>
      <c r="AS88" s="61"/>
      <c r="AT88" s="61"/>
      <c r="AU88" s="62"/>
      <c r="AV88" s="62"/>
      <c r="AW88" s="62"/>
      <c r="AX88" s="62"/>
      <c r="AY88" s="62"/>
      <c r="AZ88" s="62"/>
    </row>
    <row r="89" spans="1:52" x14ac:dyDescent="0.25">
      <c r="A89" s="10">
        <v>23</v>
      </c>
      <c r="B89" s="30">
        <v>45696</v>
      </c>
      <c r="C89" s="31">
        <f t="shared" si="25"/>
        <v>4768</v>
      </c>
      <c r="D89" s="32">
        <f>2504+38</f>
        <v>2542</v>
      </c>
      <c r="E89" s="32"/>
      <c r="F89" s="32"/>
      <c r="G89" s="32">
        <f t="shared" si="19"/>
        <v>2542</v>
      </c>
      <c r="H89" s="10"/>
      <c r="I89" s="10"/>
      <c r="J89" s="12"/>
      <c r="K89" s="12">
        <f t="shared" si="20"/>
        <v>2542</v>
      </c>
      <c r="M89" s="10">
        <v>23</v>
      </c>
      <c r="N89" s="30"/>
      <c r="O89" s="31"/>
      <c r="P89" s="47"/>
      <c r="S89" s="32">
        <f t="shared" si="21"/>
        <v>0</v>
      </c>
      <c r="T89" s="10"/>
      <c r="U89" s="10"/>
      <c r="V89" s="10"/>
      <c r="W89" s="12">
        <f t="shared" si="22"/>
        <v>0</v>
      </c>
      <c r="Y89" s="10">
        <v>23</v>
      </c>
      <c r="Z89" s="30"/>
      <c r="AA89" s="31"/>
      <c r="AB89" s="47"/>
      <c r="AE89" s="32">
        <f t="shared" si="23"/>
        <v>0</v>
      </c>
      <c r="AF89" s="10"/>
      <c r="AG89" s="10"/>
      <c r="AH89" s="10"/>
      <c r="AI89" s="12">
        <f t="shared" si="24"/>
        <v>0</v>
      </c>
      <c r="AK89" s="62"/>
      <c r="AL89" s="68"/>
      <c r="AM89" s="63"/>
      <c r="AN89" s="69"/>
      <c r="AO89" s="63"/>
      <c r="AP89" s="60"/>
      <c r="AQ89" s="62"/>
      <c r="AR89" s="62"/>
      <c r="AS89" s="62"/>
      <c r="AT89" s="61"/>
      <c r="AU89" s="62"/>
      <c r="AV89" s="62"/>
      <c r="AW89" s="62"/>
      <c r="AX89" s="62"/>
      <c r="AY89" s="62"/>
      <c r="AZ89" s="62"/>
    </row>
    <row r="90" spans="1:52" x14ac:dyDescent="0.25">
      <c r="A90" s="10">
        <v>24</v>
      </c>
      <c r="B90" s="30">
        <v>45696</v>
      </c>
      <c r="C90" s="31">
        <f t="shared" si="25"/>
        <v>4769</v>
      </c>
      <c r="D90" s="32">
        <f>626*13+596+133</f>
        <v>8867</v>
      </c>
      <c r="E90" s="32"/>
      <c r="F90" s="32"/>
      <c r="G90" s="32">
        <f t="shared" si="19"/>
        <v>8867</v>
      </c>
      <c r="H90" s="10"/>
      <c r="I90" s="10"/>
      <c r="J90" s="10"/>
      <c r="K90" s="12">
        <f t="shared" si="20"/>
        <v>8867</v>
      </c>
      <c r="M90" s="10">
        <v>24</v>
      </c>
      <c r="N90" s="30"/>
      <c r="O90" s="11"/>
      <c r="P90" s="47"/>
      <c r="Q90" s="31"/>
      <c r="R90" s="31"/>
      <c r="S90" s="32">
        <f t="shared" si="21"/>
        <v>0</v>
      </c>
      <c r="T90" s="10"/>
      <c r="U90" s="10"/>
      <c r="V90" s="10"/>
      <c r="W90" s="12">
        <f t="shared" si="22"/>
        <v>0</v>
      </c>
      <c r="Y90" s="10">
        <v>24</v>
      </c>
      <c r="Z90" s="30"/>
      <c r="AA90" s="31"/>
      <c r="AB90" s="47"/>
      <c r="AC90" s="31"/>
      <c r="AD90" s="31"/>
      <c r="AE90" s="32">
        <f t="shared" si="23"/>
        <v>0</v>
      </c>
      <c r="AF90" s="10"/>
      <c r="AG90" s="10"/>
      <c r="AH90" s="10"/>
      <c r="AI90" s="12">
        <f t="shared" si="24"/>
        <v>0</v>
      </c>
      <c r="AK90" s="62"/>
      <c r="AL90" s="68"/>
      <c r="AM90" s="63"/>
      <c r="AN90" s="70"/>
      <c r="AO90" s="63"/>
      <c r="AP90" s="60"/>
      <c r="AQ90" s="62"/>
      <c r="AR90" s="62"/>
      <c r="AS90" s="62"/>
      <c r="AT90" s="61"/>
      <c r="AU90" s="62"/>
      <c r="AV90" s="62"/>
      <c r="AW90" s="62"/>
      <c r="AX90" s="62"/>
      <c r="AY90" s="62"/>
      <c r="AZ90" s="62"/>
    </row>
    <row r="91" spans="1:52" x14ac:dyDescent="0.25">
      <c r="A91" s="10">
        <v>25</v>
      </c>
      <c r="B91" s="30">
        <v>45696</v>
      </c>
      <c r="C91" s="31">
        <f t="shared" si="25"/>
        <v>4770</v>
      </c>
      <c r="D91" s="32">
        <f>5008+76</f>
        <v>5084</v>
      </c>
      <c r="E91" s="32"/>
      <c r="F91" s="32"/>
      <c r="G91" s="32">
        <f t="shared" si="19"/>
        <v>5084</v>
      </c>
      <c r="H91" s="10"/>
      <c r="I91" s="10"/>
      <c r="J91" s="10"/>
      <c r="K91" s="12">
        <f t="shared" si="20"/>
        <v>5084</v>
      </c>
      <c r="M91" s="10">
        <v>25</v>
      </c>
      <c r="N91" s="30"/>
      <c r="O91" s="31"/>
      <c r="P91" s="47"/>
      <c r="Q91" s="31"/>
      <c r="R91" s="31"/>
      <c r="S91" s="32">
        <f t="shared" si="21"/>
        <v>0</v>
      </c>
      <c r="T91" s="10"/>
      <c r="U91" s="10"/>
      <c r="V91" s="10"/>
      <c r="W91" s="12">
        <f t="shared" si="22"/>
        <v>0</v>
      </c>
      <c r="Y91" s="10">
        <v>25</v>
      </c>
      <c r="Z91" s="30"/>
      <c r="AA91" s="31"/>
      <c r="AB91" s="47"/>
      <c r="AC91" s="31"/>
      <c r="AD91" s="31"/>
      <c r="AE91" s="32">
        <f t="shared" si="23"/>
        <v>0</v>
      </c>
      <c r="AF91" s="10"/>
      <c r="AG91" s="10"/>
      <c r="AH91" s="10"/>
      <c r="AI91" s="12">
        <f t="shared" si="24"/>
        <v>0</v>
      </c>
      <c r="AK91" s="62"/>
      <c r="AL91" s="68"/>
      <c r="AM91" s="62"/>
      <c r="AN91" s="71"/>
      <c r="AO91" s="62"/>
      <c r="AP91" s="60"/>
      <c r="AQ91" s="62"/>
      <c r="AR91" s="62"/>
      <c r="AS91" s="62"/>
      <c r="AT91" s="61"/>
      <c r="AU91" s="62"/>
      <c r="AV91" s="62"/>
      <c r="AW91" s="62"/>
      <c r="AX91" s="62"/>
      <c r="AY91" s="62"/>
      <c r="AZ91" s="62"/>
    </row>
    <row r="92" spans="1:52" x14ac:dyDescent="0.25">
      <c r="A92" s="10">
        <v>26</v>
      </c>
      <c r="B92" s="30">
        <v>45696</v>
      </c>
      <c r="C92" s="31">
        <f t="shared" si="25"/>
        <v>4771</v>
      </c>
      <c r="D92" s="32">
        <f>3130+2980</f>
        <v>6110</v>
      </c>
      <c r="E92" s="32"/>
      <c r="F92" s="32"/>
      <c r="G92" s="32">
        <f t="shared" si="19"/>
        <v>6110</v>
      </c>
      <c r="H92" s="10"/>
      <c r="I92" s="10"/>
      <c r="J92" s="10"/>
      <c r="K92" s="12">
        <f t="shared" si="20"/>
        <v>6110</v>
      </c>
      <c r="M92" s="10">
        <v>26</v>
      </c>
      <c r="N92" s="30"/>
      <c r="O92" s="31"/>
      <c r="P92" s="47"/>
      <c r="Q92" s="31"/>
      <c r="R92" s="31"/>
      <c r="S92" s="32">
        <f t="shared" si="21"/>
        <v>0</v>
      </c>
      <c r="T92" s="10"/>
      <c r="U92" s="10"/>
      <c r="V92" s="10"/>
      <c r="W92" s="12">
        <f t="shared" si="22"/>
        <v>0</v>
      </c>
      <c r="Y92" s="10">
        <v>26</v>
      </c>
      <c r="Z92" s="30"/>
      <c r="AA92" s="31"/>
      <c r="AB92" s="47"/>
      <c r="AC92" s="31"/>
      <c r="AD92" s="31"/>
      <c r="AE92" s="32">
        <f t="shared" si="23"/>
        <v>0</v>
      </c>
      <c r="AF92" s="10"/>
      <c r="AG92" s="10"/>
      <c r="AH92" s="10"/>
      <c r="AI92" s="12">
        <f t="shared" si="24"/>
        <v>0</v>
      </c>
      <c r="AK92" s="62"/>
      <c r="AL92" s="68"/>
      <c r="AM92" s="63"/>
      <c r="AN92" s="71"/>
      <c r="AO92" s="63"/>
      <c r="AP92" s="60"/>
      <c r="AQ92" s="62"/>
      <c r="AR92" s="62"/>
      <c r="AS92" s="62"/>
      <c r="AT92" s="61"/>
      <c r="AU92" s="62"/>
      <c r="AV92" s="62"/>
      <c r="AW92" s="62"/>
      <c r="AX92" s="62"/>
      <c r="AY92" s="62"/>
      <c r="AZ92" s="62"/>
    </row>
    <row r="93" spans="1:52" x14ac:dyDescent="0.25">
      <c r="A93" s="10">
        <v>27</v>
      </c>
      <c r="B93" s="30">
        <v>45696</v>
      </c>
      <c r="C93" s="31">
        <f t="shared" si="25"/>
        <v>4772</v>
      </c>
      <c r="D93" s="32">
        <f>5008+76</f>
        <v>5084</v>
      </c>
      <c r="E93" s="32"/>
      <c r="F93" s="32"/>
      <c r="G93" s="32">
        <f t="shared" si="19"/>
        <v>5084</v>
      </c>
      <c r="H93" s="10"/>
      <c r="I93" s="10"/>
      <c r="J93" s="10"/>
      <c r="K93" s="12">
        <f t="shared" si="20"/>
        <v>5084</v>
      </c>
      <c r="M93" s="10">
        <v>27</v>
      </c>
      <c r="N93" s="30"/>
      <c r="O93" s="31"/>
      <c r="P93" s="47"/>
      <c r="Q93" s="31"/>
      <c r="R93" s="31"/>
      <c r="S93" s="32">
        <f t="shared" si="21"/>
        <v>0</v>
      </c>
      <c r="T93" s="10"/>
      <c r="U93" s="10"/>
      <c r="V93" s="10"/>
      <c r="W93" s="12">
        <f t="shared" si="22"/>
        <v>0</v>
      </c>
      <c r="Y93" s="10">
        <v>27</v>
      </c>
      <c r="Z93" s="30"/>
      <c r="AA93" s="31"/>
      <c r="AB93" s="47"/>
      <c r="AC93" s="31"/>
      <c r="AD93" s="31"/>
      <c r="AE93" s="32">
        <f t="shared" si="23"/>
        <v>0</v>
      </c>
      <c r="AF93" s="10"/>
      <c r="AG93" s="10"/>
      <c r="AH93" s="10"/>
      <c r="AI93" s="12">
        <f t="shared" si="24"/>
        <v>0</v>
      </c>
      <c r="AK93" s="62"/>
      <c r="AL93" s="68"/>
      <c r="AM93" s="63"/>
      <c r="AN93" s="71"/>
      <c r="AO93" s="63"/>
      <c r="AP93" s="60"/>
      <c r="AQ93" s="62"/>
      <c r="AR93" s="62"/>
      <c r="AS93" s="62"/>
      <c r="AT93" s="61"/>
      <c r="AU93" s="62"/>
      <c r="AV93" s="62"/>
      <c r="AW93" s="62"/>
      <c r="AX93" s="62"/>
      <c r="AY93" s="62"/>
      <c r="AZ93" s="62"/>
    </row>
    <row r="94" spans="1:52" x14ac:dyDescent="0.25">
      <c r="A94" s="10">
        <v>28</v>
      </c>
      <c r="B94" s="30">
        <v>45696</v>
      </c>
      <c r="C94" s="31">
        <f t="shared" si="25"/>
        <v>4773</v>
      </c>
      <c r="D94" s="32">
        <f>78876+6140+6556+1145+650</f>
        <v>93367</v>
      </c>
      <c r="E94" s="32"/>
      <c r="F94" s="32"/>
      <c r="G94" s="32">
        <f t="shared" si="19"/>
        <v>93367</v>
      </c>
      <c r="H94" s="10"/>
      <c r="I94" s="10"/>
      <c r="J94" s="10"/>
      <c r="K94" s="12">
        <f t="shared" si="20"/>
        <v>93367</v>
      </c>
      <c r="M94" s="10">
        <v>28</v>
      </c>
      <c r="N94" s="30"/>
      <c r="O94" s="31"/>
      <c r="P94" s="47"/>
      <c r="Q94" s="31"/>
      <c r="R94" s="31"/>
      <c r="S94" s="32">
        <f t="shared" si="21"/>
        <v>0</v>
      </c>
      <c r="T94" s="10"/>
      <c r="U94" s="10"/>
      <c r="V94" s="10"/>
      <c r="W94" s="12">
        <f t="shared" si="22"/>
        <v>0</v>
      </c>
      <c r="Y94" s="10">
        <v>28</v>
      </c>
      <c r="Z94" s="30"/>
      <c r="AA94" s="31"/>
      <c r="AB94" s="47"/>
      <c r="AC94" s="31"/>
      <c r="AD94" s="31"/>
      <c r="AE94" s="32">
        <f t="shared" si="23"/>
        <v>0</v>
      </c>
      <c r="AF94" s="10"/>
      <c r="AG94" s="10"/>
      <c r="AH94" s="10"/>
      <c r="AI94" s="12">
        <f t="shared" si="24"/>
        <v>0</v>
      </c>
      <c r="AK94" s="62"/>
      <c r="AL94" s="68"/>
      <c r="AM94" s="62"/>
      <c r="AN94" s="71"/>
      <c r="AO94" s="63"/>
      <c r="AP94" s="60"/>
      <c r="AQ94" s="62"/>
      <c r="AR94" s="62"/>
      <c r="AS94" s="62"/>
      <c r="AT94" s="61"/>
      <c r="AU94" s="62"/>
      <c r="AV94" s="62"/>
      <c r="AW94" s="62"/>
      <c r="AX94" s="62"/>
      <c r="AY94" s="62"/>
      <c r="AZ94" s="62"/>
    </row>
    <row r="95" spans="1:52" x14ac:dyDescent="0.25">
      <c r="A95" s="10">
        <v>29</v>
      </c>
      <c r="B95" s="30">
        <v>45696</v>
      </c>
      <c r="C95" s="31">
        <f t="shared" si="25"/>
        <v>4774</v>
      </c>
      <c r="D95" s="32">
        <f>1878+29</f>
        <v>1907</v>
      </c>
      <c r="E95" s="32"/>
      <c r="F95" s="32"/>
      <c r="G95" s="32">
        <f t="shared" si="19"/>
        <v>1907</v>
      </c>
      <c r="H95" s="10"/>
      <c r="I95" s="10"/>
      <c r="J95" s="10"/>
      <c r="K95" s="12">
        <f t="shared" si="20"/>
        <v>1907</v>
      </c>
      <c r="M95" s="10">
        <v>29</v>
      </c>
      <c r="N95" s="30"/>
      <c r="P95" s="47"/>
      <c r="Q95" s="31"/>
      <c r="R95" s="31"/>
      <c r="S95" s="32">
        <f t="shared" si="21"/>
        <v>0</v>
      </c>
      <c r="T95" s="10"/>
      <c r="U95" s="10"/>
      <c r="V95" s="10"/>
      <c r="W95" s="12">
        <f t="shared" si="22"/>
        <v>0</v>
      </c>
      <c r="Y95" s="10">
        <v>29</v>
      </c>
      <c r="Z95" s="30"/>
      <c r="AA95" s="31"/>
      <c r="AB95" s="47"/>
      <c r="AC95" s="31"/>
      <c r="AD95" s="31"/>
      <c r="AE95" s="32">
        <f t="shared" si="23"/>
        <v>0</v>
      </c>
      <c r="AF95" s="10"/>
      <c r="AG95" s="10"/>
      <c r="AH95" s="10"/>
      <c r="AI95" s="12">
        <f t="shared" si="24"/>
        <v>0</v>
      </c>
      <c r="AK95" s="62"/>
      <c r="AL95" s="68"/>
      <c r="AM95" s="63"/>
      <c r="AN95" s="71"/>
      <c r="AO95" s="63"/>
      <c r="AP95" s="60"/>
      <c r="AQ95" s="62"/>
      <c r="AR95" s="62"/>
      <c r="AS95" s="62"/>
      <c r="AT95" s="61"/>
      <c r="AU95" s="62"/>
      <c r="AV95" s="62"/>
      <c r="AW95" s="62"/>
      <c r="AX95" s="62"/>
      <c r="AY95" s="62"/>
      <c r="AZ95" s="62"/>
    </row>
    <row r="96" spans="1:52" x14ac:dyDescent="0.25">
      <c r="A96" s="10">
        <v>30</v>
      </c>
      <c r="B96" s="30">
        <v>45696</v>
      </c>
      <c r="C96" s="31">
        <f t="shared" si="25"/>
        <v>4775</v>
      </c>
      <c r="D96" s="32">
        <f>1878+29</f>
        <v>1907</v>
      </c>
      <c r="E96" s="32"/>
      <c r="F96" s="32"/>
      <c r="G96" s="32">
        <f t="shared" si="19"/>
        <v>1907</v>
      </c>
      <c r="H96" s="10"/>
      <c r="I96" s="10"/>
      <c r="J96" s="10"/>
      <c r="K96" s="12">
        <f t="shared" si="20"/>
        <v>1907</v>
      </c>
      <c r="M96" s="10">
        <v>30</v>
      </c>
      <c r="N96" s="30"/>
      <c r="P96" s="47"/>
      <c r="Q96" s="31"/>
      <c r="R96" s="31"/>
      <c r="S96" s="32">
        <f t="shared" si="21"/>
        <v>0</v>
      </c>
      <c r="T96" s="10"/>
      <c r="U96" s="10"/>
      <c r="V96" s="10"/>
      <c r="W96" s="12">
        <f t="shared" si="22"/>
        <v>0</v>
      </c>
      <c r="Y96" s="10">
        <v>30</v>
      </c>
      <c r="Z96" s="30"/>
      <c r="AA96" s="31"/>
      <c r="AB96" s="47"/>
      <c r="AC96" s="31"/>
      <c r="AD96" s="31"/>
      <c r="AE96" s="32">
        <f t="shared" si="23"/>
        <v>0</v>
      </c>
      <c r="AF96" s="10"/>
      <c r="AG96" s="10"/>
      <c r="AH96" s="10"/>
      <c r="AI96" s="12">
        <f t="shared" si="24"/>
        <v>0</v>
      </c>
      <c r="AK96" s="62"/>
      <c r="AL96" s="68"/>
      <c r="AM96" s="63"/>
      <c r="AN96" s="71"/>
      <c r="AO96" s="63"/>
      <c r="AP96" s="60"/>
      <c r="AQ96" s="62"/>
      <c r="AR96" s="62"/>
      <c r="AS96" s="62"/>
      <c r="AT96" s="61"/>
      <c r="AU96" s="62"/>
      <c r="AV96" s="62"/>
      <c r="AW96" s="62"/>
      <c r="AX96" s="62"/>
      <c r="AY96" s="62"/>
      <c r="AZ96" s="62"/>
    </row>
    <row r="97" spans="1:52" x14ac:dyDescent="0.25">
      <c r="A97" s="10">
        <v>31</v>
      </c>
      <c r="B97" s="30">
        <v>45696</v>
      </c>
      <c r="C97" s="31">
        <f t="shared" si="25"/>
        <v>4776</v>
      </c>
      <c r="D97" s="32">
        <f>1252+19</f>
        <v>1271</v>
      </c>
      <c r="E97" s="32"/>
      <c r="F97" s="32"/>
      <c r="G97" s="32">
        <f t="shared" si="19"/>
        <v>1271</v>
      </c>
      <c r="H97" s="10"/>
      <c r="I97" s="10"/>
      <c r="J97" s="10"/>
      <c r="K97" s="12">
        <f t="shared" si="20"/>
        <v>1271</v>
      </c>
      <c r="M97" s="10">
        <v>31</v>
      </c>
      <c r="N97" s="30"/>
      <c r="O97" s="31"/>
      <c r="P97" s="47"/>
      <c r="Q97" s="31"/>
      <c r="R97" s="31"/>
      <c r="S97" s="32">
        <f t="shared" si="21"/>
        <v>0</v>
      </c>
      <c r="T97" s="10"/>
      <c r="U97" s="10"/>
      <c r="V97" s="10"/>
      <c r="W97" s="12">
        <f t="shared" si="22"/>
        <v>0</v>
      </c>
      <c r="Y97" s="10">
        <v>31</v>
      </c>
      <c r="Z97" s="30"/>
      <c r="AB97" s="47"/>
      <c r="AC97" s="31"/>
      <c r="AD97" s="31"/>
      <c r="AE97" s="32">
        <f t="shared" si="23"/>
        <v>0</v>
      </c>
      <c r="AF97" s="10"/>
      <c r="AG97" s="10"/>
      <c r="AH97" s="10"/>
      <c r="AI97" s="12">
        <f t="shared" si="24"/>
        <v>0</v>
      </c>
      <c r="AK97" s="62"/>
      <c r="AL97" s="68"/>
      <c r="AM97" s="63"/>
      <c r="AN97" s="71"/>
      <c r="AO97" s="63"/>
      <c r="AP97" s="60"/>
      <c r="AQ97" s="62"/>
      <c r="AR97" s="62"/>
      <c r="AS97" s="62"/>
      <c r="AT97" s="61"/>
      <c r="AU97" s="62"/>
      <c r="AV97" s="62"/>
      <c r="AW97" s="62"/>
      <c r="AX97" s="62"/>
      <c r="AY97" s="62"/>
      <c r="AZ97" s="62"/>
    </row>
    <row r="98" spans="1:52" x14ac:dyDescent="0.25">
      <c r="A98" s="10">
        <v>32</v>
      </c>
      <c r="B98" s="30">
        <v>45696</v>
      </c>
      <c r="C98" s="31">
        <f t="shared" si="25"/>
        <v>4777</v>
      </c>
      <c r="D98" s="32">
        <f>5634+596+95</f>
        <v>6325</v>
      </c>
      <c r="E98" s="32"/>
      <c r="F98" s="32"/>
      <c r="G98" s="32">
        <f t="shared" si="19"/>
        <v>6325</v>
      </c>
      <c r="H98" s="10"/>
      <c r="I98" s="10"/>
      <c r="J98" s="10"/>
      <c r="K98" s="12">
        <f t="shared" si="20"/>
        <v>6325</v>
      </c>
      <c r="M98" s="10">
        <v>32</v>
      </c>
      <c r="N98" s="30"/>
      <c r="P98" s="47"/>
      <c r="Q98" s="31"/>
      <c r="R98" s="31"/>
      <c r="S98" s="32">
        <f t="shared" si="21"/>
        <v>0</v>
      </c>
      <c r="T98" s="10"/>
      <c r="U98" s="10"/>
      <c r="V98" s="10"/>
      <c r="W98" s="12">
        <f t="shared" si="22"/>
        <v>0</v>
      </c>
      <c r="Y98" s="10">
        <v>32</v>
      </c>
      <c r="Z98" s="30"/>
      <c r="AA98" s="31"/>
      <c r="AB98" s="47"/>
      <c r="AC98" s="31"/>
      <c r="AD98" s="31"/>
      <c r="AE98" s="32">
        <f t="shared" si="23"/>
        <v>0</v>
      </c>
      <c r="AF98" s="10"/>
      <c r="AG98" s="10"/>
      <c r="AH98" s="10"/>
      <c r="AI98" s="12">
        <f t="shared" si="24"/>
        <v>0</v>
      </c>
      <c r="AK98" s="62"/>
      <c r="AL98" s="68"/>
      <c r="AM98" s="63"/>
      <c r="AN98" s="71"/>
      <c r="AO98" s="63"/>
      <c r="AP98" s="60"/>
      <c r="AQ98" s="62"/>
      <c r="AR98" s="62"/>
      <c r="AS98" s="62"/>
      <c r="AT98" s="61"/>
      <c r="AU98" s="62"/>
      <c r="AV98" s="62"/>
      <c r="AW98" s="62"/>
      <c r="AX98" s="62"/>
      <c r="AY98" s="62"/>
      <c r="AZ98" s="62"/>
    </row>
    <row r="99" spans="1:52" x14ac:dyDescent="0.25">
      <c r="A99" s="10">
        <v>33</v>
      </c>
      <c r="B99" s="30">
        <v>45696</v>
      </c>
      <c r="C99" s="31">
        <f t="shared" si="25"/>
        <v>4778</v>
      </c>
      <c r="D99" s="32">
        <f>9390+2204+1175+3576+1005+1664+200+1950</f>
        <v>21164</v>
      </c>
      <c r="E99" s="32"/>
      <c r="F99" s="32"/>
      <c r="G99" s="32">
        <f t="shared" si="19"/>
        <v>21164</v>
      </c>
      <c r="H99" s="10"/>
      <c r="I99" s="10">
        <f>120+14+32+72</f>
        <v>238</v>
      </c>
      <c r="J99" s="10"/>
      <c r="K99" s="12">
        <f t="shared" si="20"/>
        <v>21402</v>
      </c>
      <c r="M99" s="10">
        <v>33</v>
      </c>
      <c r="N99" s="30"/>
      <c r="O99" s="31"/>
      <c r="P99" s="47"/>
      <c r="Q99" s="31"/>
      <c r="R99" s="31"/>
      <c r="S99" s="32">
        <f t="shared" si="21"/>
        <v>0</v>
      </c>
      <c r="T99" s="10"/>
      <c r="U99" s="10"/>
      <c r="V99" s="10"/>
      <c r="W99" s="12">
        <f t="shared" si="22"/>
        <v>0</v>
      </c>
      <c r="Y99" s="10">
        <v>33</v>
      </c>
      <c r="Z99" s="30"/>
      <c r="AA99" s="31"/>
      <c r="AB99" s="47"/>
      <c r="AC99" s="31"/>
      <c r="AD99" s="31"/>
      <c r="AE99" s="32">
        <f t="shared" si="23"/>
        <v>0</v>
      </c>
      <c r="AF99" s="10"/>
      <c r="AG99" s="10"/>
      <c r="AH99" s="10"/>
      <c r="AI99" s="12">
        <f t="shared" si="24"/>
        <v>0</v>
      </c>
      <c r="AK99" s="62"/>
      <c r="AL99" s="68"/>
      <c r="AM99" s="63"/>
      <c r="AN99" s="71"/>
      <c r="AO99" s="63"/>
      <c r="AP99" s="60"/>
      <c r="AQ99" s="62"/>
      <c r="AR99" s="62"/>
      <c r="AS99" s="62"/>
      <c r="AT99" s="61"/>
      <c r="AU99" s="62"/>
      <c r="AV99" s="62"/>
      <c r="AW99" s="62"/>
      <c r="AX99" s="62"/>
      <c r="AY99" s="62"/>
      <c r="AZ99" s="62"/>
    </row>
    <row r="100" spans="1:52" x14ac:dyDescent="0.25">
      <c r="A100" s="10"/>
      <c r="B100" s="30">
        <v>45696</v>
      </c>
      <c r="C100" s="31">
        <f t="shared" si="25"/>
        <v>4779</v>
      </c>
      <c r="D100" s="32">
        <f>3130+48</f>
        <v>3178</v>
      </c>
      <c r="E100" s="32"/>
      <c r="F100" s="32"/>
      <c r="G100" s="32">
        <f t="shared" si="19"/>
        <v>3178</v>
      </c>
      <c r="H100" s="10"/>
      <c r="I100" s="10"/>
      <c r="J100" s="10"/>
      <c r="K100" s="12">
        <f t="shared" si="20"/>
        <v>3178</v>
      </c>
      <c r="M100" s="10">
        <v>34</v>
      </c>
      <c r="N100" s="30"/>
      <c r="O100" s="31"/>
      <c r="P100" s="47"/>
      <c r="Q100" s="31"/>
      <c r="R100" s="31"/>
      <c r="S100" s="32">
        <f t="shared" ref="S100:S105" si="28">SUM(P100:Q100)</f>
        <v>0</v>
      </c>
      <c r="T100" s="10"/>
      <c r="U100" s="10"/>
      <c r="V100" s="10"/>
      <c r="W100" s="12">
        <f t="shared" ref="W100:W108" si="29">SUM(S100:V100)</f>
        <v>0</v>
      </c>
      <c r="Y100" s="10">
        <v>34</v>
      </c>
      <c r="Z100" s="30"/>
      <c r="AB100" s="47"/>
      <c r="AC100" s="31"/>
      <c r="AD100" s="31"/>
      <c r="AE100" s="32">
        <f t="shared" ref="AE100:AE105" si="30">SUM(AB100:AC100)</f>
        <v>0</v>
      </c>
      <c r="AF100" s="10"/>
      <c r="AG100" s="10"/>
      <c r="AH100" s="10"/>
      <c r="AI100" s="12">
        <f t="shared" ref="AI100:AI108" si="31">SUM(AE100:AH100)</f>
        <v>0</v>
      </c>
      <c r="AK100" s="62"/>
      <c r="AL100" s="68"/>
      <c r="AM100" s="63"/>
      <c r="AN100" s="71"/>
      <c r="AO100" s="63"/>
      <c r="AP100" s="60"/>
      <c r="AQ100" s="62"/>
      <c r="AR100" s="62"/>
      <c r="AS100" s="62"/>
      <c r="AT100" s="61"/>
      <c r="AU100" s="62"/>
      <c r="AV100" s="62"/>
      <c r="AW100" s="62"/>
      <c r="AX100" s="62"/>
      <c r="AY100" s="62"/>
      <c r="AZ100" s="62"/>
    </row>
    <row r="101" spans="1:52" x14ac:dyDescent="0.25">
      <c r="A101" s="10"/>
      <c r="B101" s="30">
        <v>45696</v>
      </c>
      <c r="C101" s="31">
        <f t="shared" si="25"/>
        <v>4780</v>
      </c>
      <c r="D101" s="32">
        <f>8764+614+2384+171</f>
        <v>11933</v>
      </c>
      <c r="E101" s="32"/>
      <c r="F101" s="32"/>
      <c r="G101" s="32"/>
      <c r="H101" s="10"/>
      <c r="I101" s="10"/>
      <c r="J101" s="10"/>
      <c r="K101" s="12"/>
      <c r="M101" s="10">
        <v>35</v>
      </c>
      <c r="N101" s="30"/>
      <c r="O101" s="31"/>
      <c r="P101" s="47"/>
      <c r="Q101" s="31"/>
      <c r="R101" s="31"/>
      <c r="S101" s="32">
        <f t="shared" si="28"/>
        <v>0</v>
      </c>
      <c r="T101" s="10"/>
      <c r="U101" s="10"/>
      <c r="V101" s="10"/>
      <c r="W101" s="12">
        <f t="shared" si="29"/>
        <v>0</v>
      </c>
      <c r="Y101" s="10">
        <v>35</v>
      </c>
      <c r="Z101" s="30"/>
      <c r="AA101" s="31"/>
      <c r="AB101" s="47"/>
      <c r="AC101" s="31"/>
      <c r="AD101" s="31"/>
      <c r="AE101" s="32">
        <f t="shared" si="30"/>
        <v>0</v>
      </c>
      <c r="AF101" s="10"/>
      <c r="AG101" s="10"/>
      <c r="AH101" s="10"/>
      <c r="AI101" s="12">
        <f t="shared" si="31"/>
        <v>0</v>
      </c>
      <c r="AK101" s="62"/>
      <c r="AL101" s="68"/>
      <c r="AM101" s="63"/>
      <c r="AN101" s="71"/>
      <c r="AO101" s="63"/>
      <c r="AP101" s="60"/>
      <c r="AQ101" s="62"/>
      <c r="AR101" s="62"/>
      <c r="AS101" s="62"/>
      <c r="AT101" s="61"/>
      <c r="AU101" s="62"/>
      <c r="AV101" s="62"/>
      <c r="AW101" s="62"/>
      <c r="AX101" s="62"/>
      <c r="AY101" s="62"/>
      <c r="AZ101" s="62"/>
    </row>
    <row r="102" spans="1:52" x14ac:dyDescent="0.25">
      <c r="A102" s="10"/>
      <c r="B102" s="30">
        <v>45696</v>
      </c>
      <c r="C102" s="31">
        <f t="shared" si="25"/>
        <v>4781</v>
      </c>
      <c r="D102" s="32">
        <f>3130+48</f>
        <v>3178</v>
      </c>
      <c r="E102" s="32"/>
      <c r="F102" s="32"/>
      <c r="G102" s="32"/>
      <c r="H102" s="10"/>
      <c r="I102" s="10"/>
      <c r="J102" s="10"/>
      <c r="K102" s="12"/>
      <c r="M102" s="10">
        <v>36</v>
      </c>
      <c r="N102" s="30"/>
      <c r="O102" s="31"/>
      <c r="P102" s="47"/>
      <c r="Q102" s="31"/>
      <c r="R102" s="31"/>
      <c r="S102" s="32">
        <f t="shared" si="28"/>
        <v>0</v>
      </c>
      <c r="T102" s="10"/>
      <c r="U102" s="10"/>
      <c r="V102" s="10"/>
      <c r="W102" s="12">
        <f t="shared" si="29"/>
        <v>0</v>
      </c>
      <c r="Y102" s="10">
        <v>36</v>
      </c>
      <c r="Z102" s="30"/>
      <c r="AA102" s="31"/>
      <c r="AB102" s="47"/>
      <c r="AC102" s="31"/>
      <c r="AD102" s="31"/>
      <c r="AE102" s="32">
        <f t="shared" si="30"/>
        <v>0</v>
      </c>
      <c r="AF102" s="10"/>
      <c r="AG102" s="10"/>
      <c r="AH102" s="10"/>
      <c r="AI102" s="12">
        <f t="shared" si="31"/>
        <v>0</v>
      </c>
      <c r="AK102" s="62"/>
      <c r="AL102" s="68"/>
      <c r="AM102" s="63"/>
      <c r="AN102" s="71"/>
      <c r="AO102" s="63"/>
      <c r="AP102" s="60"/>
      <c r="AQ102" s="62"/>
      <c r="AR102" s="62"/>
      <c r="AS102" s="62"/>
      <c r="AT102" s="61"/>
      <c r="AU102" s="62"/>
      <c r="AV102" s="62"/>
      <c r="AW102" s="62"/>
      <c r="AX102" s="62"/>
      <c r="AY102" s="62"/>
      <c r="AZ102" s="62"/>
    </row>
    <row r="103" spans="1:52" x14ac:dyDescent="0.25">
      <c r="A103" s="10"/>
      <c r="B103" s="30"/>
      <c r="C103" s="11" t="s">
        <v>28</v>
      </c>
      <c r="D103" s="32"/>
      <c r="E103" s="32"/>
      <c r="F103" s="32"/>
      <c r="G103" s="32"/>
      <c r="H103" s="10"/>
      <c r="I103" s="10"/>
      <c r="J103" s="10"/>
      <c r="K103" s="12"/>
      <c r="M103" s="10">
        <v>37</v>
      </c>
      <c r="N103" s="30"/>
      <c r="P103" s="47"/>
      <c r="Q103" s="31"/>
      <c r="R103" s="31"/>
      <c r="S103" s="32">
        <f t="shared" si="28"/>
        <v>0</v>
      </c>
      <c r="T103" s="10"/>
      <c r="U103" s="10"/>
      <c r="V103" s="10"/>
      <c r="W103" s="12">
        <f t="shared" si="29"/>
        <v>0</v>
      </c>
      <c r="Y103" s="10">
        <v>37</v>
      </c>
      <c r="Z103" s="30"/>
      <c r="AA103" s="31"/>
      <c r="AB103" s="47"/>
      <c r="AC103" s="31"/>
      <c r="AD103" s="31"/>
      <c r="AE103" s="32">
        <f t="shared" si="30"/>
        <v>0</v>
      </c>
      <c r="AF103" s="10"/>
      <c r="AG103" s="10"/>
      <c r="AH103" s="10"/>
      <c r="AI103" s="12">
        <f t="shared" si="31"/>
        <v>0</v>
      </c>
      <c r="AK103" s="62"/>
      <c r="AL103" s="68"/>
      <c r="AM103" s="63"/>
      <c r="AN103" s="71"/>
      <c r="AO103" s="63"/>
      <c r="AP103" s="60"/>
      <c r="AQ103" s="62"/>
      <c r="AR103" s="62"/>
      <c r="AS103" s="62"/>
      <c r="AT103" s="61"/>
      <c r="AU103" s="62"/>
      <c r="AV103" s="62"/>
      <c r="AW103" s="62"/>
      <c r="AX103" s="62"/>
      <c r="AY103" s="62"/>
      <c r="AZ103" s="62"/>
    </row>
    <row r="104" spans="1:52" x14ac:dyDescent="0.25">
      <c r="A104" s="10"/>
      <c r="B104" s="30"/>
      <c r="C104" s="31"/>
      <c r="D104" s="32"/>
      <c r="E104" s="32"/>
      <c r="F104" s="32"/>
      <c r="G104" s="32"/>
      <c r="H104" s="10"/>
      <c r="I104" s="10"/>
      <c r="J104" s="10"/>
      <c r="K104" s="12"/>
      <c r="M104" s="10">
        <v>38</v>
      </c>
      <c r="N104" s="30"/>
      <c r="O104" s="31"/>
      <c r="P104" s="47"/>
      <c r="Q104" s="31"/>
      <c r="R104" s="31"/>
      <c r="S104" s="32">
        <f t="shared" si="28"/>
        <v>0</v>
      </c>
      <c r="T104" s="10"/>
      <c r="U104" s="10"/>
      <c r="V104" s="10"/>
      <c r="W104" s="12">
        <f t="shared" si="29"/>
        <v>0</v>
      </c>
      <c r="Y104" s="10">
        <v>38</v>
      </c>
      <c r="Z104" s="30"/>
      <c r="AA104" s="31"/>
      <c r="AB104" s="47"/>
      <c r="AC104" s="31"/>
      <c r="AD104" s="31"/>
      <c r="AE104" s="32">
        <f t="shared" si="30"/>
        <v>0</v>
      </c>
      <c r="AF104" s="10"/>
      <c r="AG104" s="10"/>
      <c r="AH104" s="10"/>
      <c r="AI104" s="12">
        <f t="shared" si="31"/>
        <v>0</v>
      </c>
      <c r="AK104" s="62"/>
      <c r="AL104" s="68"/>
      <c r="AM104" s="63"/>
      <c r="AN104" s="71"/>
      <c r="AO104" s="63"/>
      <c r="AP104" s="60"/>
      <c r="AQ104" s="62"/>
      <c r="AR104" s="62"/>
      <c r="AS104" s="62"/>
      <c r="AT104" s="61"/>
      <c r="AU104" s="62"/>
      <c r="AV104" s="62"/>
      <c r="AW104" s="62"/>
      <c r="AX104" s="62"/>
      <c r="AY104" s="62"/>
      <c r="AZ104" s="62"/>
    </row>
    <row r="105" spans="1:52" x14ac:dyDescent="0.25">
      <c r="A105" s="10"/>
      <c r="B105" s="30"/>
      <c r="D105" s="32"/>
      <c r="E105" s="32"/>
      <c r="F105" s="32"/>
      <c r="G105" s="32"/>
      <c r="H105" s="10"/>
      <c r="I105" s="10"/>
      <c r="J105" s="10"/>
      <c r="K105" s="12"/>
      <c r="M105" s="10">
        <v>39</v>
      </c>
      <c r="N105" s="30"/>
      <c r="O105" s="31"/>
      <c r="P105" s="47"/>
      <c r="Q105" s="31"/>
      <c r="R105" s="31"/>
      <c r="S105" s="32">
        <f t="shared" si="28"/>
        <v>0</v>
      </c>
      <c r="T105" s="10"/>
      <c r="U105" s="10"/>
      <c r="V105" s="10"/>
      <c r="W105" s="12">
        <f t="shared" si="29"/>
        <v>0</v>
      </c>
      <c r="Y105" s="10">
        <v>39</v>
      </c>
      <c r="Z105" s="30"/>
      <c r="AA105" s="31"/>
      <c r="AB105" s="47"/>
      <c r="AC105" s="31"/>
      <c r="AD105" s="31"/>
      <c r="AE105" s="32">
        <f t="shared" si="30"/>
        <v>0</v>
      </c>
      <c r="AF105" s="10"/>
      <c r="AG105" s="10"/>
      <c r="AH105" s="10"/>
      <c r="AI105" s="12">
        <f t="shared" si="31"/>
        <v>0</v>
      </c>
      <c r="AK105" s="62"/>
      <c r="AL105" s="68"/>
      <c r="AM105" s="63"/>
      <c r="AN105" s="71"/>
      <c r="AO105" s="63"/>
      <c r="AP105" s="60"/>
      <c r="AQ105" s="62"/>
      <c r="AR105" s="62"/>
      <c r="AS105" s="62"/>
      <c r="AT105" s="61"/>
      <c r="AU105" s="62"/>
      <c r="AV105" s="62"/>
      <c r="AW105" s="62"/>
      <c r="AX105" s="62"/>
      <c r="AY105" s="62"/>
      <c r="AZ105" s="62"/>
    </row>
    <row r="106" spans="1:52" x14ac:dyDescent="0.25">
      <c r="A106" s="10"/>
      <c r="B106" s="30"/>
      <c r="C106" s="31"/>
      <c r="D106" s="32"/>
      <c r="E106" s="32"/>
      <c r="F106" s="32"/>
      <c r="G106" s="32"/>
      <c r="H106" s="10"/>
      <c r="I106" s="10"/>
      <c r="J106" s="10"/>
      <c r="K106" s="12"/>
      <c r="M106" s="10"/>
      <c r="N106" s="30"/>
      <c r="P106" s="47"/>
      <c r="Q106" s="31"/>
      <c r="R106" s="31"/>
      <c r="S106" s="32"/>
      <c r="T106" s="10"/>
      <c r="U106" s="10"/>
      <c r="V106" s="10"/>
      <c r="W106" s="12">
        <f t="shared" si="29"/>
        <v>0</v>
      </c>
      <c r="Y106" s="10"/>
      <c r="Z106" s="30"/>
      <c r="AB106" s="47"/>
      <c r="AC106" s="31"/>
      <c r="AD106" s="31"/>
      <c r="AE106" s="32"/>
      <c r="AF106" s="10"/>
      <c r="AG106" s="10"/>
      <c r="AH106" s="10"/>
      <c r="AI106" s="12">
        <f t="shared" si="31"/>
        <v>0</v>
      </c>
      <c r="AK106" s="62"/>
      <c r="AL106" s="68"/>
      <c r="AM106" s="63"/>
      <c r="AN106" s="71"/>
      <c r="AO106" s="63"/>
      <c r="AP106" s="60"/>
      <c r="AQ106" s="62"/>
      <c r="AR106" s="62"/>
      <c r="AS106" s="62"/>
      <c r="AT106" s="61"/>
      <c r="AU106" s="62"/>
      <c r="AV106" s="62"/>
      <c r="AW106" s="62"/>
      <c r="AX106" s="62"/>
      <c r="AY106" s="62"/>
      <c r="AZ106" s="62"/>
    </row>
    <row r="107" spans="1:52" x14ac:dyDescent="0.25">
      <c r="A107" s="10"/>
      <c r="B107" s="30"/>
      <c r="C107" s="31"/>
      <c r="D107" s="32"/>
      <c r="E107" s="32"/>
      <c r="F107" s="32"/>
      <c r="G107" s="32">
        <f t="shared" ref="G107" si="32">SUM(D107:E107)</f>
        <v>0</v>
      </c>
      <c r="H107" s="10"/>
      <c r="I107" s="10"/>
      <c r="J107" s="10"/>
      <c r="K107" s="12">
        <f t="shared" ref="K107" si="33">SUM(G107:J107)</f>
        <v>0</v>
      </c>
      <c r="M107" s="10"/>
      <c r="N107" s="30"/>
      <c r="O107" s="31"/>
      <c r="P107" s="47"/>
      <c r="Q107" s="31"/>
      <c r="R107" s="31"/>
      <c r="S107" s="32">
        <f t="shared" ref="S107" si="34">SUM(P107:Q107)</f>
        <v>0</v>
      </c>
      <c r="T107" s="10"/>
      <c r="U107" s="10"/>
      <c r="V107" s="10"/>
      <c r="W107" s="12">
        <f t="shared" si="29"/>
        <v>0</v>
      </c>
      <c r="Y107" s="10"/>
      <c r="Z107" s="30"/>
      <c r="AA107" s="31"/>
      <c r="AB107" s="47"/>
      <c r="AC107" s="31"/>
      <c r="AD107" s="31"/>
      <c r="AE107" s="32">
        <f t="shared" ref="AE107" si="35">SUM(AB107:AC107)</f>
        <v>0</v>
      </c>
      <c r="AF107" s="10"/>
      <c r="AG107" s="10"/>
      <c r="AH107" s="10"/>
      <c r="AI107" s="12">
        <f t="shared" si="31"/>
        <v>0</v>
      </c>
      <c r="AK107" s="62"/>
      <c r="AL107" s="68"/>
      <c r="AM107" s="63"/>
      <c r="AN107" s="71"/>
      <c r="AO107" s="63"/>
      <c r="AP107" s="60"/>
      <c r="AQ107" s="62"/>
      <c r="AR107" s="62"/>
      <c r="AS107" s="62"/>
      <c r="AT107" s="61"/>
      <c r="AU107" s="62"/>
      <c r="AV107" s="62"/>
      <c r="AW107" s="62"/>
      <c r="AX107" s="62"/>
      <c r="AY107" s="62"/>
      <c r="AZ107" s="62"/>
    </row>
    <row r="108" spans="1:52" x14ac:dyDescent="0.25">
      <c r="A108" s="10"/>
      <c r="B108" s="30"/>
      <c r="C108" s="30"/>
      <c r="D108" s="32"/>
      <c r="E108" s="32"/>
      <c r="F108" s="32"/>
      <c r="G108" s="32"/>
      <c r="H108" s="10"/>
      <c r="I108" s="10"/>
      <c r="J108" s="10"/>
      <c r="K108" s="12"/>
      <c r="M108" s="10"/>
      <c r="N108" s="31"/>
      <c r="O108" s="31"/>
      <c r="P108" s="31"/>
      <c r="Q108" s="31"/>
      <c r="R108" s="31"/>
      <c r="S108" s="31"/>
      <c r="T108" s="10"/>
      <c r="U108" s="10"/>
      <c r="V108" s="10"/>
      <c r="W108" s="12">
        <f t="shared" si="29"/>
        <v>0</v>
      </c>
      <c r="Y108" s="10"/>
      <c r="Z108" s="31"/>
      <c r="AA108" s="31"/>
      <c r="AB108" s="31"/>
      <c r="AC108" s="31"/>
      <c r="AD108" s="31"/>
      <c r="AE108" s="31"/>
      <c r="AF108" s="10"/>
      <c r="AG108" s="10"/>
      <c r="AH108" s="10"/>
      <c r="AI108" s="12">
        <f t="shared" si="31"/>
        <v>0</v>
      </c>
      <c r="AK108" s="62"/>
      <c r="AL108" s="68"/>
      <c r="AM108" s="62"/>
      <c r="AN108" s="71"/>
      <c r="AO108" s="63"/>
      <c r="AP108" s="60"/>
      <c r="AQ108" s="62"/>
      <c r="AR108" s="62"/>
      <c r="AS108" s="62"/>
      <c r="AT108" s="61"/>
      <c r="AU108" s="62"/>
      <c r="AV108" s="62"/>
      <c r="AW108" s="62"/>
      <c r="AX108" s="62"/>
      <c r="AY108" s="62"/>
      <c r="AZ108" s="62"/>
    </row>
    <row r="109" spans="1:52" x14ac:dyDescent="0.25">
      <c r="B109" s="57"/>
      <c r="C109" s="57"/>
      <c r="D109" s="36"/>
      <c r="E109" s="36"/>
      <c r="F109" s="36"/>
      <c r="G109" s="36"/>
      <c r="H109" s="37"/>
      <c r="I109" s="37"/>
      <c r="J109" s="37"/>
      <c r="K109" s="37"/>
      <c r="N109" s="57"/>
      <c r="O109" s="57"/>
      <c r="P109" s="36"/>
      <c r="Q109" s="36"/>
      <c r="R109" s="36"/>
      <c r="S109" s="36"/>
      <c r="T109" s="37"/>
      <c r="U109" s="37"/>
      <c r="V109" s="37"/>
      <c r="W109" s="37"/>
      <c r="Z109" s="57"/>
      <c r="AA109" s="57"/>
      <c r="AB109" s="36"/>
      <c r="AC109" s="36"/>
      <c r="AD109" s="36"/>
      <c r="AE109" s="36"/>
      <c r="AF109" s="37"/>
      <c r="AG109" s="37"/>
      <c r="AH109" s="37"/>
      <c r="AI109" s="37"/>
      <c r="AK109" s="62"/>
      <c r="AL109" s="68"/>
      <c r="AM109" s="63"/>
      <c r="AN109" s="71"/>
      <c r="AO109" s="63"/>
      <c r="AP109" s="60"/>
      <c r="AQ109" s="62"/>
      <c r="AR109" s="62"/>
      <c r="AS109" s="62"/>
      <c r="AT109" s="61"/>
      <c r="AU109" s="62"/>
      <c r="AV109" s="62"/>
      <c r="AW109" s="62"/>
      <c r="AX109" s="62"/>
      <c r="AY109" s="62"/>
      <c r="AZ109" s="62"/>
    </row>
    <row r="110" spans="1:52" x14ac:dyDescent="0.25">
      <c r="B110" s="57"/>
      <c r="C110" s="57"/>
      <c r="D110" s="38">
        <f>SUM(D67:D109)</f>
        <v>303478</v>
      </c>
      <c r="E110" s="38">
        <f t="shared" ref="E110:F110" si="36">SUM(E67:E107)</f>
        <v>0</v>
      </c>
      <c r="F110" s="38">
        <f t="shared" si="36"/>
        <v>0</v>
      </c>
      <c r="G110" s="38">
        <f>SUM(G67:G109)</f>
        <v>288367</v>
      </c>
      <c r="H110" s="4"/>
      <c r="I110" s="39">
        <f>SUM(I67:I109)</f>
        <v>252</v>
      </c>
      <c r="J110" s="39">
        <f>SUM(J67:J109)</f>
        <v>0</v>
      </c>
      <c r="K110" s="40">
        <f>SUM(K67:K109)</f>
        <v>288619</v>
      </c>
      <c r="N110" s="57"/>
      <c r="O110" s="57"/>
      <c r="P110" s="38">
        <f>SUM(P67:P109)</f>
        <v>82287</v>
      </c>
      <c r="Q110" s="38">
        <f>SUM(Q67:Q91)</f>
        <v>-800</v>
      </c>
      <c r="R110" s="38">
        <f>SUM(R67:R91)</f>
        <v>1878</v>
      </c>
      <c r="S110" s="38">
        <f>SUM(S67:S109)</f>
        <v>81487</v>
      </c>
      <c r="T110" s="4"/>
      <c r="U110" s="41">
        <f>SUM(U67:U109)</f>
        <v>135</v>
      </c>
      <c r="V110" s="41">
        <f>SUM(V67:V91)</f>
        <v>-240</v>
      </c>
      <c r="W110" s="42">
        <f>SUM(W67:W109)</f>
        <v>81382</v>
      </c>
      <c r="Z110" s="57"/>
      <c r="AA110" s="57"/>
      <c r="AB110" s="38">
        <f>SUM(AB67:AB109)</f>
        <v>144449.5</v>
      </c>
      <c r="AC110" s="38">
        <f>SUM(AC67:AC91)</f>
        <v>-312</v>
      </c>
      <c r="AD110" s="38">
        <f>SUM(AD67:AD91)</f>
        <v>0</v>
      </c>
      <c r="AE110" s="38">
        <f>SUM(AE67:AE109)</f>
        <v>144137.5</v>
      </c>
      <c r="AF110" s="4"/>
      <c r="AG110" s="41">
        <f>SUM(AG67:AG109)</f>
        <v>174</v>
      </c>
      <c r="AH110" s="41">
        <f>SUM(AH67:AH91)</f>
        <v>0</v>
      </c>
      <c r="AI110" s="42">
        <f>SUM(AI67:AI109)</f>
        <v>144311.5</v>
      </c>
      <c r="AK110" s="62"/>
      <c r="AL110" s="63"/>
      <c r="AM110" s="63"/>
      <c r="AN110" s="63"/>
      <c r="AO110" s="63"/>
      <c r="AP110" s="63"/>
      <c r="AQ110" s="62"/>
      <c r="AR110" s="62"/>
      <c r="AS110" s="62"/>
      <c r="AT110" s="61"/>
      <c r="AU110" s="62"/>
      <c r="AV110" s="62"/>
      <c r="AW110" s="62"/>
      <c r="AX110" s="62"/>
      <c r="AY110" s="62"/>
      <c r="AZ110" s="62"/>
    </row>
    <row r="111" spans="1:5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K111" s="62"/>
      <c r="AL111" s="63"/>
      <c r="AM111" s="63"/>
      <c r="AN111" s="63"/>
      <c r="AO111" s="63"/>
      <c r="AP111" s="63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</row>
    <row r="112" spans="1:52" x14ac:dyDescent="0.25">
      <c r="A112" t="s">
        <v>0</v>
      </c>
      <c r="B112" s="57"/>
      <c r="C112" s="57"/>
      <c r="D112" s="57"/>
      <c r="E112" s="57"/>
      <c r="G112" s="57"/>
      <c r="M112" t="s">
        <v>0</v>
      </c>
      <c r="N112" s="57"/>
      <c r="O112" s="57"/>
      <c r="P112" s="57"/>
      <c r="Q112" s="57"/>
      <c r="R112" s="57"/>
      <c r="S112" s="57"/>
      <c r="Y112" t="s">
        <v>0</v>
      </c>
      <c r="Z112" s="57"/>
      <c r="AA112" s="57"/>
      <c r="AB112" s="57"/>
      <c r="AC112" s="57"/>
      <c r="AD112" s="57"/>
      <c r="AE112" s="57"/>
      <c r="AK112" s="62"/>
      <c r="AL112" s="63"/>
      <c r="AM112" s="63"/>
      <c r="AN112" s="72"/>
      <c r="AO112" s="72"/>
      <c r="AP112" s="72"/>
      <c r="AQ112" s="64"/>
      <c r="AR112" s="73"/>
      <c r="AS112" s="73"/>
      <c r="AT112" s="73"/>
      <c r="AU112" s="62"/>
      <c r="AV112" s="62"/>
      <c r="AW112" s="62"/>
      <c r="AX112" s="62"/>
      <c r="AY112" s="62"/>
      <c r="AZ112" s="62"/>
    </row>
    <row r="113" spans="1:52" x14ac:dyDescent="0.25">
      <c r="A113" t="s">
        <v>29</v>
      </c>
      <c r="B113" s="57"/>
      <c r="C113" s="57"/>
      <c r="D113" s="57"/>
      <c r="E113" s="57"/>
      <c r="G113" s="57"/>
      <c r="M113" t="s">
        <v>29</v>
      </c>
      <c r="N113" s="57"/>
      <c r="O113" s="57"/>
      <c r="P113" s="57"/>
      <c r="Q113" s="57"/>
      <c r="R113" s="57"/>
      <c r="S113" s="57"/>
      <c r="Y113" t="s">
        <v>29</v>
      </c>
      <c r="Z113" s="57"/>
      <c r="AA113" s="57"/>
      <c r="AB113" s="57"/>
      <c r="AC113" s="57"/>
      <c r="AD113" s="57"/>
      <c r="AE113" s="57"/>
      <c r="AK113" s="62"/>
      <c r="AL113" s="63"/>
      <c r="AM113" s="63"/>
      <c r="AN113" s="74"/>
      <c r="AO113" s="63"/>
      <c r="AP113" s="63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</row>
    <row r="114" spans="1:52" x14ac:dyDescent="0.25">
      <c r="B114" s="57"/>
      <c r="C114" s="57"/>
      <c r="D114" s="57"/>
      <c r="E114" s="57"/>
      <c r="G114" s="57"/>
      <c r="N114" s="57"/>
      <c r="O114" s="57"/>
      <c r="P114" s="57"/>
      <c r="Q114" s="57"/>
      <c r="R114" s="57"/>
      <c r="S114" s="57"/>
      <c r="Z114" s="57"/>
      <c r="AA114" s="57"/>
      <c r="AB114" s="57"/>
      <c r="AC114" s="57"/>
      <c r="AD114" s="57"/>
      <c r="AE114" s="57"/>
      <c r="AK114" s="62"/>
      <c r="AL114" s="63"/>
      <c r="AM114" s="63"/>
      <c r="AN114" s="63"/>
      <c r="AO114" s="63"/>
      <c r="AP114" s="63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</row>
    <row r="115" spans="1:52" x14ac:dyDescent="0.25">
      <c r="A115" s="4" t="s">
        <v>15</v>
      </c>
      <c r="B115" s="57"/>
      <c r="C115" s="57"/>
      <c r="D115" s="57"/>
      <c r="E115" s="57"/>
      <c r="G115" s="57"/>
      <c r="M115" s="4" t="s">
        <v>15</v>
      </c>
      <c r="N115" s="57"/>
      <c r="O115" s="57"/>
      <c r="P115" s="57"/>
      <c r="Q115" s="57"/>
      <c r="R115" s="57"/>
      <c r="S115" s="57"/>
      <c r="Y115" s="4" t="s">
        <v>15</v>
      </c>
      <c r="Z115" s="57"/>
      <c r="AA115" s="57"/>
      <c r="AB115" s="57"/>
      <c r="AC115" s="57"/>
      <c r="AD115" s="57"/>
      <c r="AE115" s="57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</row>
    <row r="116" spans="1:52" x14ac:dyDescent="0.25">
      <c r="B116" s="57"/>
      <c r="C116" s="57"/>
      <c r="D116" s="57"/>
      <c r="E116" s="57"/>
      <c r="G116" s="57"/>
      <c r="N116" s="57"/>
      <c r="O116" s="57"/>
      <c r="P116" s="57"/>
      <c r="Q116" s="57"/>
      <c r="R116" s="57"/>
      <c r="S116" s="57"/>
      <c r="Z116" s="57"/>
      <c r="AA116" s="57"/>
      <c r="AB116" s="57"/>
      <c r="AC116" s="57"/>
      <c r="AD116" s="57"/>
      <c r="AE116" s="57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</row>
    <row r="117" spans="1:52" ht="15.75" x14ac:dyDescent="0.25">
      <c r="A117" t="s">
        <v>46</v>
      </c>
      <c r="B117" s="57"/>
      <c r="C117" s="57"/>
      <c r="D117" s="57"/>
      <c r="E117" s="57"/>
      <c r="G117" s="57"/>
      <c r="I117" s="57" t="s">
        <v>16</v>
      </c>
      <c r="J117" s="19">
        <v>1</v>
      </c>
      <c r="M117" t="s">
        <v>46</v>
      </c>
      <c r="N117" s="57"/>
      <c r="O117" s="57"/>
      <c r="P117" s="57"/>
      <c r="Q117" s="57"/>
      <c r="R117" s="57"/>
      <c r="S117" s="57"/>
      <c r="U117" s="57" t="s">
        <v>16</v>
      </c>
      <c r="V117" s="19">
        <v>2</v>
      </c>
      <c r="Y117" t="s">
        <v>46</v>
      </c>
      <c r="Z117" s="57"/>
      <c r="AA117" s="57"/>
      <c r="AB117" s="57"/>
      <c r="AC117" s="57"/>
      <c r="AD117" s="57"/>
      <c r="AE117" s="57"/>
      <c r="AG117" s="57" t="s">
        <v>16</v>
      </c>
      <c r="AH117" s="20">
        <v>3</v>
      </c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</row>
    <row r="118" spans="1:52" x14ac:dyDescent="0.25">
      <c r="A118" s="21" t="s">
        <v>44</v>
      </c>
      <c r="B118" s="20"/>
      <c r="C118" s="57"/>
      <c r="D118" s="57"/>
      <c r="E118" s="57"/>
      <c r="G118" s="57"/>
      <c r="I118" s="22" t="s">
        <v>17</v>
      </c>
      <c r="J118" s="23" t="s">
        <v>33</v>
      </c>
      <c r="K118" s="24"/>
      <c r="M118" s="21" t="s">
        <v>44</v>
      </c>
      <c r="N118" s="20"/>
      <c r="O118" s="57"/>
      <c r="P118" s="57"/>
      <c r="Q118" s="57"/>
      <c r="R118" s="57"/>
      <c r="S118" s="57"/>
      <c r="U118" s="22" t="s">
        <v>17</v>
      </c>
      <c r="V118" s="23" t="s">
        <v>34</v>
      </c>
      <c r="W118" s="24"/>
      <c r="Y118" s="21" t="s">
        <v>44</v>
      </c>
      <c r="Z118" s="20"/>
      <c r="AA118" s="57"/>
      <c r="AB118" s="57"/>
      <c r="AC118" s="57"/>
      <c r="AD118" s="57"/>
      <c r="AE118" s="57"/>
      <c r="AG118" s="22" t="s">
        <v>17</v>
      </c>
      <c r="AH118" s="23" t="s">
        <v>35</v>
      </c>
      <c r="AI118" s="24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</row>
    <row r="119" spans="1:52" x14ac:dyDescent="0.25">
      <c r="B119" s="57"/>
      <c r="C119" s="57"/>
      <c r="D119" s="57"/>
      <c r="E119" s="57"/>
      <c r="G119" s="57"/>
      <c r="N119" s="57"/>
      <c r="O119" s="57"/>
      <c r="P119" s="57"/>
      <c r="Q119" s="57"/>
      <c r="R119" s="57"/>
      <c r="S119" s="57"/>
      <c r="Z119" s="57"/>
      <c r="AA119" s="57"/>
      <c r="AB119" s="57"/>
      <c r="AC119" s="57"/>
      <c r="AD119" s="57"/>
      <c r="AE119" s="57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</row>
    <row r="120" spans="1:52" x14ac:dyDescent="0.25">
      <c r="B120" s="25"/>
      <c r="C120" s="26"/>
      <c r="D120" s="121" t="s">
        <v>18</v>
      </c>
      <c r="E120" s="121"/>
      <c r="F120" s="92"/>
      <c r="G120" s="27"/>
      <c r="I120" s="119" t="s">
        <v>19</v>
      </c>
      <c r="J120" s="120"/>
      <c r="K120" s="117" t="s">
        <v>20</v>
      </c>
      <c r="N120" s="25"/>
      <c r="O120" s="26"/>
      <c r="P120" s="121" t="s">
        <v>18</v>
      </c>
      <c r="Q120" s="121"/>
      <c r="R120" s="92"/>
      <c r="S120" s="27"/>
      <c r="U120" s="119" t="s">
        <v>19</v>
      </c>
      <c r="V120" s="120"/>
      <c r="W120" s="117" t="s">
        <v>20</v>
      </c>
      <c r="Z120" s="25"/>
      <c r="AA120" s="26"/>
      <c r="AB120" s="121" t="s">
        <v>18</v>
      </c>
      <c r="AC120" s="121"/>
      <c r="AD120" s="92"/>
      <c r="AE120" s="27"/>
      <c r="AG120" s="119" t="s">
        <v>19</v>
      </c>
      <c r="AH120" s="120"/>
      <c r="AI120" s="117" t="s">
        <v>20</v>
      </c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</row>
    <row r="121" spans="1:52" ht="30" x14ac:dyDescent="0.25">
      <c r="B121" s="28" t="s">
        <v>21</v>
      </c>
      <c r="C121" s="28" t="s">
        <v>22</v>
      </c>
      <c r="D121" s="83" t="s">
        <v>23</v>
      </c>
      <c r="E121" s="82" t="s">
        <v>24</v>
      </c>
      <c r="F121" s="84" t="s">
        <v>36</v>
      </c>
      <c r="G121" s="84" t="s">
        <v>25</v>
      </c>
      <c r="I121" s="29" t="s">
        <v>26</v>
      </c>
      <c r="J121" s="29" t="s">
        <v>27</v>
      </c>
      <c r="K121" s="118"/>
      <c r="N121" s="28" t="s">
        <v>21</v>
      </c>
      <c r="O121" s="28" t="s">
        <v>22</v>
      </c>
      <c r="P121" s="83" t="s">
        <v>23</v>
      </c>
      <c r="Q121" s="84" t="s">
        <v>24</v>
      </c>
      <c r="R121" s="84" t="s">
        <v>36</v>
      </c>
      <c r="S121" s="84" t="s">
        <v>25</v>
      </c>
      <c r="U121" s="29" t="s">
        <v>26</v>
      </c>
      <c r="V121" s="29" t="s">
        <v>27</v>
      </c>
      <c r="W121" s="118"/>
      <c r="Z121" s="28" t="s">
        <v>21</v>
      </c>
      <c r="AA121" s="28" t="s">
        <v>22</v>
      </c>
      <c r="AB121" s="83" t="s">
        <v>23</v>
      </c>
      <c r="AC121" s="84" t="s">
        <v>24</v>
      </c>
      <c r="AD121" s="84" t="s">
        <v>36</v>
      </c>
      <c r="AE121" s="84" t="s">
        <v>25</v>
      </c>
      <c r="AG121" s="29" t="s">
        <v>26</v>
      </c>
      <c r="AH121" s="29" t="s">
        <v>27</v>
      </c>
      <c r="AI121" s="118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</row>
    <row r="122" spans="1:52" x14ac:dyDescent="0.25">
      <c r="A122" s="10">
        <v>1</v>
      </c>
      <c r="B122" s="30">
        <v>45755</v>
      </c>
      <c r="C122" s="31">
        <v>4744</v>
      </c>
      <c r="D122" s="32">
        <f>626*3+614+674+29</f>
        <v>3195</v>
      </c>
      <c r="E122" s="32"/>
      <c r="F122" s="32"/>
      <c r="G122" s="32">
        <f t="shared" ref="G122:G155" si="37">SUM(D122:E122)</f>
        <v>3195</v>
      </c>
      <c r="H122" s="12"/>
      <c r="I122" s="12"/>
      <c r="J122" s="12"/>
      <c r="K122" s="12">
        <f t="shared" ref="K122:K155" si="38">SUM(G122:J122)</f>
        <v>3195</v>
      </c>
      <c r="M122" s="10">
        <v>1</v>
      </c>
      <c r="N122" s="30">
        <v>45755</v>
      </c>
      <c r="O122" s="31">
        <v>4831</v>
      </c>
      <c r="P122" s="32">
        <f>2504+38</f>
        <v>2542</v>
      </c>
      <c r="Q122" s="32"/>
      <c r="R122" s="32"/>
      <c r="S122" s="32">
        <f>SUM(P122:Q122)</f>
        <v>2542</v>
      </c>
      <c r="T122" s="12"/>
      <c r="U122" s="12"/>
      <c r="V122" s="12"/>
      <c r="W122" s="12">
        <f>SUM(S122:V122)</f>
        <v>2542</v>
      </c>
      <c r="Y122" s="10">
        <v>1</v>
      </c>
      <c r="Z122" s="30">
        <v>45755</v>
      </c>
      <c r="AA122" s="31">
        <v>4677</v>
      </c>
      <c r="AB122" s="32">
        <f>8138+674</f>
        <v>8812</v>
      </c>
      <c r="AC122" s="32"/>
      <c r="AD122" s="32"/>
      <c r="AE122" s="32">
        <f>SUM(AB122:AC122)</f>
        <v>8812</v>
      </c>
      <c r="AF122" s="12"/>
      <c r="AG122" s="12"/>
      <c r="AH122" s="12"/>
      <c r="AI122" s="12">
        <f>SUM(AE122:AH122)</f>
        <v>8812</v>
      </c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</row>
    <row r="123" spans="1:52" x14ac:dyDescent="0.25">
      <c r="A123" s="10">
        <v>2</v>
      </c>
      <c r="B123" s="30">
        <v>45755</v>
      </c>
      <c r="C123" s="31">
        <f>C122+1</f>
        <v>4745</v>
      </c>
      <c r="D123" s="32">
        <f>626*4+38</f>
        <v>2542</v>
      </c>
      <c r="E123" s="32"/>
      <c r="F123" s="32"/>
      <c r="G123" s="32">
        <f t="shared" si="37"/>
        <v>2542</v>
      </c>
      <c r="H123" s="12"/>
      <c r="I123" s="12"/>
      <c r="J123" s="12"/>
      <c r="K123" s="12">
        <f t="shared" si="38"/>
        <v>2542</v>
      </c>
      <c r="M123" s="10">
        <v>2</v>
      </c>
      <c r="N123" s="30">
        <v>45755</v>
      </c>
      <c r="O123" s="31">
        <f>O122+1</f>
        <v>4832</v>
      </c>
      <c r="P123" s="32">
        <f>3130+1192+66.5+674</f>
        <v>5062.5</v>
      </c>
      <c r="Q123" s="32"/>
      <c r="R123" s="32"/>
      <c r="S123" s="32">
        <f t="shared" ref="S123:S154" si="39">SUM(P123:Q123)</f>
        <v>5062.5</v>
      </c>
      <c r="T123" s="12"/>
      <c r="U123" s="12"/>
      <c r="V123" s="12"/>
      <c r="W123" s="12">
        <f t="shared" ref="W123:W154" si="40">SUM(S123:V123)</f>
        <v>5062.5</v>
      </c>
      <c r="Y123" s="10">
        <v>2</v>
      </c>
      <c r="Z123" s="30">
        <v>45755</v>
      </c>
      <c r="AA123" s="31">
        <f>AA122+1</f>
        <v>4678</v>
      </c>
      <c r="AB123" s="32">
        <f>1878+674+28</f>
        <v>2580</v>
      </c>
      <c r="AC123" s="32"/>
      <c r="AD123" s="32"/>
      <c r="AE123" s="32">
        <f t="shared" ref="AE123:AE154" si="41">SUM(AB123:AC123)</f>
        <v>2580</v>
      </c>
      <c r="AF123" s="12"/>
      <c r="AG123" s="12"/>
      <c r="AH123" s="12"/>
      <c r="AI123" s="12">
        <f t="shared" ref="AI123:AI154" si="42">SUM(AE123:AH123)</f>
        <v>2580</v>
      </c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</row>
    <row r="124" spans="1:52" x14ac:dyDescent="0.25">
      <c r="A124" s="10">
        <v>3</v>
      </c>
      <c r="B124" s="30">
        <v>45755</v>
      </c>
      <c r="C124" s="31">
        <v>3991</v>
      </c>
      <c r="D124" s="33">
        <f>12520+1228+3576+171</f>
        <v>17495</v>
      </c>
      <c r="E124" s="33"/>
      <c r="F124" s="33"/>
      <c r="G124" s="33">
        <f t="shared" si="37"/>
        <v>17495</v>
      </c>
      <c r="H124" s="34"/>
      <c r="I124" s="34"/>
      <c r="J124" s="34"/>
      <c r="K124" s="34">
        <f t="shared" si="38"/>
        <v>17495</v>
      </c>
      <c r="M124" s="10">
        <v>3</v>
      </c>
      <c r="N124" s="30">
        <v>45755</v>
      </c>
      <c r="O124" s="31">
        <f t="shared" ref="O124:O137" si="43">O123+1</f>
        <v>4833</v>
      </c>
      <c r="P124" s="32">
        <f>3756+57</f>
        <v>3813</v>
      </c>
      <c r="Q124" s="32"/>
      <c r="R124" s="32"/>
      <c r="S124" s="32">
        <f t="shared" si="39"/>
        <v>3813</v>
      </c>
      <c r="T124" s="12"/>
      <c r="U124" s="12">
        <v>32</v>
      </c>
      <c r="V124" s="12"/>
      <c r="W124" s="12">
        <f t="shared" si="40"/>
        <v>3845</v>
      </c>
      <c r="Y124" s="10">
        <v>3</v>
      </c>
      <c r="Z124" s="30">
        <v>45755</v>
      </c>
      <c r="AA124" s="31">
        <f t="shared" ref="AA124:AA141" si="44">AA123+1</f>
        <v>4679</v>
      </c>
      <c r="AB124" s="33">
        <f>2504+38</f>
        <v>2542</v>
      </c>
      <c r="AC124" s="33"/>
      <c r="AD124" s="32"/>
      <c r="AE124" s="32">
        <f t="shared" si="41"/>
        <v>2542</v>
      </c>
      <c r="AF124" s="12"/>
      <c r="AG124" s="12"/>
      <c r="AH124" s="12"/>
      <c r="AI124" s="12">
        <f t="shared" si="42"/>
        <v>2542</v>
      </c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</row>
    <row r="125" spans="1:52" x14ac:dyDescent="0.25">
      <c r="A125" s="10">
        <v>4</v>
      </c>
      <c r="B125" s="30">
        <v>45755</v>
      </c>
      <c r="C125" s="31">
        <f t="shared" ref="C125:C127" si="45">C124+1</f>
        <v>3992</v>
      </c>
      <c r="D125" s="32">
        <f>5634+86</f>
        <v>5720</v>
      </c>
      <c r="E125" s="32"/>
      <c r="F125" s="32"/>
      <c r="G125" s="32">
        <f t="shared" si="37"/>
        <v>5720</v>
      </c>
      <c r="H125" s="12"/>
      <c r="I125" s="12"/>
      <c r="J125" s="12"/>
      <c r="K125" s="12">
        <f t="shared" si="38"/>
        <v>5720</v>
      </c>
      <c r="M125" s="10">
        <v>4</v>
      </c>
      <c r="N125" s="30">
        <v>45755</v>
      </c>
      <c r="O125" s="31">
        <f t="shared" si="43"/>
        <v>4834</v>
      </c>
      <c r="P125" s="32">
        <f>1252+19</f>
        <v>1271</v>
      </c>
      <c r="Q125" s="32"/>
      <c r="R125" s="32"/>
      <c r="S125" s="32">
        <f t="shared" si="39"/>
        <v>1271</v>
      </c>
      <c r="T125" s="12"/>
      <c r="U125" s="12"/>
      <c r="V125" s="12"/>
      <c r="W125" s="12">
        <f t="shared" si="40"/>
        <v>1271</v>
      </c>
      <c r="Y125" s="10">
        <v>4</v>
      </c>
      <c r="Z125" s="30">
        <v>45755</v>
      </c>
      <c r="AA125" s="31">
        <f t="shared" si="44"/>
        <v>4680</v>
      </c>
      <c r="AB125" s="32">
        <f>1878</f>
        <v>1878</v>
      </c>
      <c r="AC125" s="32"/>
      <c r="AD125" s="32"/>
      <c r="AE125" s="32">
        <f t="shared" si="41"/>
        <v>1878</v>
      </c>
      <c r="AF125" s="12"/>
      <c r="AH125" s="12"/>
      <c r="AI125" s="12">
        <f t="shared" si="42"/>
        <v>1878</v>
      </c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</row>
    <row r="126" spans="1:52" x14ac:dyDescent="0.25">
      <c r="A126" s="10">
        <v>5</v>
      </c>
      <c r="B126" s="30">
        <v>45755</v>
      </c>
      <c r="C126" s="31">
        <f t="shared" si="45"/>
        <v>3993</v>
      </c>
      <c r="D126" s="32">
        <f>1252+19</f>
        <v>1271</v>
      </c>
      <c r="E126" s="32"/>
      <c r="F126" s="32"/>
      <c r="G126" s="32">
        <f t="shared" si="37"/>
        <v>1271</v>
      </c>
      <c r="H126" s="12"/>
      <c r="I126" s="12"/>
      <c r="J126" s="12"/>
      <c r="K126" s="12">
        <f t="shared" si="38"/>
        <v>1271</v>
      </c>
      <c r="M126" s="10">
        <v>5</v>
      </c>
      <c r="N126" s="30">
        <v>45755</v>
      </c>
      <c r="O126" s="31">
        <f t="shared" si="43"/>
        <v>4835</v>
      </c>
      <c r="P126" s="32">
        <f>1252+19</f>
        <v>1271</v>
      </c>
      <c r="Q126" s="32"/>
      <c r="R126" s="32"/>
      <c r="S126" s="32">
        <f t="shared" si="39"/>
        <v>1271</v>
      </c>
      <c r="T126" s="12"/>
      <c r="U126" s="12"/>
      <c r="V126" s="12"/>
      <c r="W126" s="12">
        <f t="shared" si="40"/>
        <v>1271</v>
      </c>
      <c r="Y126" s="10">
        <v>5</v>
      </c>
      <c r="Z126" s="30">
        <v>45755</v>
      </c>
      <c r="AA126" s="31">
        <f t="shared" si="44"/>
        <v>4681</v>
      </c>
      <c r="AB126" s="32">
        <f>1878+674+28</f>
        <v>2580</v>
      </c>
      <c r="AC126" s="32"/>
      <c r="AD126" s="32"/>
      <c r="AE126" s="32">
        <f t="shared" si="41"/>
        <v>2580</v>
      </c>
      <c r="AF126" s="12"/>
      <c r="AG126" s="12"/>
      <c r="AH126" s="12"/>
      <c r="AI126" s="12">
        <f t="shared" si="42"/>
        <v>2580</v>
      </c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</row>
    <row r="127" spans="1:52" x14ac:dyDescent="0.25">
      <c r="A127" s="10">
        <v>6</v>
      </c>
      <c r="B127" s="30">
        <v>45755</v>
      </c>
      <c r="C127" s="31">
        <f t="shared" si="45"/>
        <v>3994</v>
      </c>
      <c r="D127" s="32">
        <f>1878+852+29</f>
        <v>2759</v>
      </c>
      <c r="E127" s="32"/>
      <c r="F127" s="32"/>
      <c r="G127" s="32">
        <f t="shared" si="37"/>
        <v>2759</v>
      </c>
      <c r="H127" s="12"/>
      <c r="I127" s="12"/>
      <c r="J127" s="12"/>
      <c r="K127" s="12">
        <f t="shared" si="38"/>
        <v>2759</v>
      </c>
      <c r="M127" s="10">
        <v>6</v>
      </c>
      <c r="N127" s="30">
        <v>45755</v>
      </c>
      <c r="O127" s="31">
        <f t="shared" si="43"/>
        <v>4836</v>
      </c>
      <c r="P127" s="32">
        <f>40690+2980+458</f>
        <v>44128</v>
      </c>
      <c r="Q127" s="32">
        <v>-576</v>
      </c>
      <c r="R127" s="32"/>
      <c r="S127" s="32">
        <f t="shared" si="39"/>
        <v>43552</v>
      </c>
      <c r="T127" s="12"/>
      <c r="U127" s="12">
        <v>72</v>
      </c>
      <c r="V127" s="10"/>
      <c r="W127" s="12">
        <f t="shared" si="40"/>
        <v>43624</v>
      </c>
      <c r="Y127" s="10">
        <v>6</v>
      </c>
      <c r="Z127" s="30">
        <v>45755</v>
      </c>
      <c r="AA127" s="31">
        <f t="shared" si="44"/>
        <v>4682</v>
      </c>
      <c r="AB127" s="32">
        <f>1878+28</f>
        <v>1906</v>
      </c>
      <c r="AC127" s="32"/>
      <c r="AD127" s="32"/>
      <c r="AE127" s="32">
        <f t="shared" si="41"/>
        <v>1906</v>
      </c>
      <c r="AF127" s="12"/>
      <c r="AG127" s="12">
        <v>4.5</v>
      </c>
      <c r="AH127" s="10"/>
      <c r="AI127" s="12">
        <f t="shared" si="42"/>
        <v>1910.5</v>
      </c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</row>
    <row r="128" spans="1:52" x14ac:dyDescent="0.25">
      <c r="A128" s="10">
        <v>7</v>
      </c>
      <c r="B128" s="30"/>
      <c r="C128" s="11" t="s">
        <v>28</v>
      </c>
      <c r="D128" s="32"/>
      <c r="E128" s="32"/>
      <c r="F128" s="32"/>
      <c r="G128" s="32">
        <f t="shared" si="37"/>
        <v>0</v>
      </c>
      <c r="H128" s="12"/>
      <c r="I128" s="12"/>
      <c r="J128" s="12"/>
      <c r="K128" s="12">
        <f t="shared" si="38"/>
        <v>0</v>
      </c>
      <c r="M128" s="10">
        <v>7</v>
      </c>
      <c r="N128" s="30">
        <v>45755</v>
      </c>
      <c r="O128" s="31">
        <f t="shared" si="43"/>
        <v>4837</v>
      </c>
      <c r="P128" s="32">
        <f>3756+1192+596+832+66.5</f>
        <v>6442.5</v>
      </c>
      <c r="Q128" s="32"/>
      <c r="R128" s="32"/>
      <c r="S128" s="32">
        <f t="shared" si="39"/>
        <v>6442.5</v>
      </c>
      <c r="T128" s="12"/>
      <c r="U128" s="12"/>
      <c r="V128" s="12"/>
      <c r="W128" s="12">
        <f t="shared" si="40"/>
        <v>6442.5</v>
      </c>
      <c r="Y128" s="10">
        <v>7</v>
      </c>
      <c r="Z128" s="30">
        <v>45755</v>
      </c>
      <c r="AA128" s="31">
        <f t="shared" si="44"/>
        <v>4683</v>
      </c>
      <c r="AB128" s="32">
        <f>3756+1228+2980+852+104</f>
        <v>8920</v>
      </c>
      <c r="AC128" s="32"/>
      <c r="AD128" s="32"/>
      <c r="AE128" s="32">
        <f t="shared" si="41"/>
        <v>8920</v>
      </c>
      <c r="AF128" s="12"/>
      <c r="AG128" s="58">
        <v>40</v>
      </c>
      <c r="AH128" s="12"/>
      <c r="AI128" s="12">
        <f t="shared" si="42"/>
        <v>8960</v>
      </c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</row>
    <row r="129" spans="1:52" x14ac:dyDescent="0.25">
      <c r="A129" s="10">
        <v>8</v>
      </c>
      <c r="B129" s="30"/>
      <c r="C129" s="31"/>
      <c r="D129" s="32"/>
      <c r="E129" s="32"/>
      <c r="F129" s="32"/>
      <c r="G129" s="32">
        <f t="shared" si="37"/>
        <v>0</v>
      </c>
      <c r="H129" s="12"/>
      <c r="I129" s="12"/>
      <c r="J129" s="12"/>
      <c r="K129" s="12">
        <f t="shared" si="38"/>
        <v>0</v>
      </c>
      <c r="M129" s="10">
        <v>8</v>
      </c>
      <c r="N129" s="30">
        <v>45755</v>
      </c>
      <c r="O129" s="31">
        <f t="shared" si="43"/>
        <v>4838</v>
      </c>
      <c r="P129" s="32">
        <f>626*12+596+123.5</f>
        <v>8231.5</v>
      </c>
      <c r="Q129" s="32"/>
      <c r="R129" s="32"/>
      <c r="S129" s="32">
        <f t="shared" si="39"/>
        <v>8231.5</v>
      </c>
      <c r="T129" s="12"/>
      <c r="U129" s="12"/>
      <c r="V129" s="12"/>
      <c r="W129" s="12">
        <f t="shared" si="40"/>
        <v>8231.5</v>
      </c>
      <c r="Y129" s="10">
        <v>8</v>
      </c>
      <c r="Z129" s="30">
        <v>45755</v>
      </c>
      <c r="AA129" s="31">
        <f t="shared" si="44"/>
        <v>4684</v>
      </c>
      <c r="AB129" s="32">
        <f>626+674+596+19</f>
        <v>1915</v>
      </c>
      <c r="AC129" s="32"/>
      <c r="AE129" s="32">
        <f t="shared" si="41"/>
        <v>1915</v>
      </c>
      <c r="AF129" s="12"/>
      <c r="AG129" s="12"/>
      <c r="AH129" s="12"/>
      <c r="AI129" s="12">
        <f t="shared" si="42"/>
        <v>1915</v>
      </c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</row>
    <row r="130" spans="1:52" x14ac:dyDescent="0.25">
      <c r="A130" s="10">
        <v>9</v>
      </c>
      <c r="B130" s="30"/>
      <c r="C130" s="31"/>
      <c r="D130" s="32"/>
      <c r="E130" s="32"/>
      <c r="F130" s="32"/>
      <c r="G130" s="32">
        <f t="shared" si="37"/>
        <v>0</v>
      </c>
      <c r="H130" s="12"/>
      <c r="I130" s="12"/>
      <c r="J130" s="12"/>
      <c r="K130" s="12">
        <f t="shared" si="38"/>
        <v>0</v>
      </c>
      <c r="M130" s="10">
        <v>9</v>
      </c>
      <c r="N130" s="30">
        <v>45755</v>
      </c>
      <c r="O130" s="31">
        <f t="shared" si="43"/>
        <v>4839</v>
      </c>
      <c r="P130" s="32">
        <f>1252+614+19</f>
        <v>1885</v>
      </c>
      <c r="Q130" s="32"/>
      <c r="R130" s="32"/>
      <c r="S130" s="32">
        <f t="shared" si="39"/>
        <v>1885</v>
      </c>
      <c r="T130" s="12"/>
      <c r="U130" s="12"/>
      <c r="V130" s="12"/>
      <c r="W130" s="12">
        <f t="shared" si="40"/>
        <v>1885</v>
      </c>
      <c r="Y130" s="10">
        <v>9</v>
      </c>
      <c r="Z130" s="30">
        <v>45755</v>
      </c>
      <c r="AA130" s="31">
        <f t="shared" si="44"/>
        <v>4685</v>
      </c>
      <c r="AB130">
        <f>650</f>
        <v>650</v>
      </c>
      <c r="AC130" s="32"/>
      <c r="AD130" s="32"/>
      <c r="AE130" s="32">
        <f t="shared" si="41"/>
        <v>650</v>
      </c>
      <c r="AF130" s="12"/>
      <c r="AH130" s="12"/>
      <c r="AI130" s="12">
        <f t="shared" si="42"/>
        <v>650</v>
      </c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</row>
    <row r="131" spans="1:52" x14ac:dyDescent="0.25">
      <c r="A131" s="10">
        <v>10</v>
      </c>
      <c r="B131" s="30"/>
      <c r="C131" s="31"/>
      <c r="D131" s="32"/>
      <c r="E131" s="32"/>
      <c r="F131" s="32"/>
      <c r="G131" s="32">
        <f t="shared" si="37"/>
        <v>0</v>
      </c>
      <c r="H131" s="12"/>
      <c r="I131" s="12"/>
      <c r="J131" s="12"/>
      <c r="K131" s="12">
        <f t="shared" si="38"/>
        <v>0</v>
      </c>
      <c r="M131" s="10">
        <v>10</v>
      </c>
      <c r="N131" s="30">
        <v>45755</v>
      </c>
      <c r="O131" s="31">
        <f t="shared" si="43"/>
        <v>4840</v>
      </c>
      <c r="P131" s="32">
        <f>1252+19</f>
        <v>1271</v>
      </c>
      <c r="Q131" s="32"/>
      <c r="R131" s="32"/>
      <c r="S131" s="32">
        <f t="shared" si="39"/>
        <v>1271</v>
      </c>
      <c r="T131" s="12"/>
      <c r="U131" s="12"/>
      <c r="V131" s="12"/>
      <c r="W131" s="12">
        <f t="shared" si="40"/>
        <v>1271</v>
      </c>
      <c r="Y131" s="10">
        <v>10</v>
      </c>
      <c r="Z131" s="30">
        <v>45755</v>
      </c>
      <c r="AA131" s="31">
        <f t="shared" si="44"/>
        <v>4686</v>
      </c>
      <c r="AB131" s="32">
        <f>29800+458</f>
        <v>30258</v>
      </c>
      <c r="AC131" s="32">
        <v>-312</v>
      </c>
      <c r="AD131" s="32"/>
      <c r="AE131" s="32">
        <f t="shared" si="41"/>
        <v>29946</v>
      </c>
      <c r="AF131" s="12"/>
      <c r="AG131" s="12"/>
      <c r="AH131" s="12"/>
      <c r="AI131" s="12">
        <f t="shared" si="42"/>
        <v>29946</v>
      </c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</row>
    <row r="132" spans="1:52" x14ac:dyDescent="0.25">
      <c r="A132" s="10">
        <v>11</v>
      </c>
      <c r="B132" s="30"/>
      <c r="C132" s="31"/>
      <c r="D132" s="32"/>
      <c r="E132" s="32"/>
      <c r="F132" s="32"/>
      <c r="G132" s="32">
        <f t="shared" si="37"/>
        <v>0</v>
      </c>
      <c r="H132" s="12"/>
      <c r="I132" s="12"/>
      <c r="J132" s="12"/>
      <c r="K132" s="12">
        <f t="shared" si="38"/>
        <v>0</v>
      </c>
      <c r="M132" s="10">
        <v>11</v>
      </c>
      <c r="N132" s="30">
        <v>45755</v>
      </c>
      <c r="O132" s="31">
        <f t="shared" si="43"/>
        <v>4841</v>
      </c>
      <c r="P132" s="32">
        <f>1878+614+28.5</f>
        <v>2520.5</v>
      </c>
      <c r="Q132" s="32"/>
      <c r="R132" s="32"/>
      <c r="S132" s="32">
        <f t="shared" si="39"/>
        <v>2520.5</v>
      </c>
      <c r="T132" s="12"/>
      <c r="U132" s="12"/>
      <c r="V132" s="12"/>
      <c r="W132" s="12">
        <f t="shared" si="40"/>
        <v>2520.5</v>
      </c>
      <c r="Y132" s="10">
        <v>11</v>
      </c>
      <c r="Z132" s="30">
        <v>45755</v>
      </c>
      <c r="AA132" s="31">
        <f t="shared" si="44"/>
        <v>4687</v>
      </c>
      <c r="AB132" s="32">
        <f>5008+1192+95</f>
        <v>6295</v>
      </c>
      <c r="AC132" s="32"/>
      <c r="AD132" s="32"/>
      <c r="AE132" s="32">
        <f t="shared" si="41"/>
        <v>6295</v>
      </c>
      <c r="AF132" s="12"/>
      <c r="AG132" s="12"/>
      <c r="AH132" s="12"/>
      <c r="AI132" s="12">
        <f t="shared" si="42"/>
        <v>6295</v>
      </c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</row>
    <row r="133" spans="1:52" x14ac:dyDescent="0.25">
      <c r="A133" s="10">
        <v>12</v>
      </c>
      <c r="B133" s="30"/>
      <c r="C133" s="31"/>
      <c r="D133" s="32"/>
      <c r="E133" s="32"/>
      <c r="F133" s="32"/>
      <c r="G133" s="32">
        <f t="shared" si="37"/>
        <v>0</v>
      </c>
      <c r="H133" s="12"/>
      <c r="I133" s="12"/>
      <c r="J133" s="10"/>
      <c r="K133" s="12">
        <f t="shared" si="38"/>
        <v>0</v>
      </c>
      <c r="M133" s="10">
        <v>12</v>
      </c>
      <c r="N133" s="30">
        <v>45755</v>
      </c>
      <c r="O133" s="31">
        <f t="shared" si="43"/>
        <v>4842</v>
      </c>
      <c r="P133" s="32">
        <f>1878+28.5</f>
        <v>1906.5</v>
      </c>
      <c r="Q133" s="32"/>
      <c r="R133" s="32"/>
      <c r="S133" s="32">
        <f t="shared" si="39"/>
        <v>1906.5</v>
      </c>
      <c r="T133" s="12"/>
      <c r="U133" s="12"/>
      <c r="V133" s="12"/>
      <c r="W133" s="12">
        <f t="shared" si="40"/>
        <v>1906.5</v>
      </c>
      <c r="Y133" s="10">
        <v>12</v>
      </c>
      <c r="Z133" s="30">
        <v>45755</v>
      </c>
      <c r="AA133" s="31">
        <f t="shared" si="44"/>
        <v>4688</v>
      </c>
      <c r="AB133" s="32">
        <f>416+114+250</f>
        <v>780</v>
      </c>
      <c r="AC133" s="32"/>
      <c r="AD133" s="32"/>
      <c r="AE133" s="32">
        <f t="shared" si="41"/>
        <v>780</v>
      </c>
      <c r="AF133" s="12"/>
      <c r="AG133" s="12"/>
      <c r="AH133" s="12"/>
      <c r="AI133" s="12">
        <f t="shared" si="42"/>
        <v>780</v>
      </c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</row>
    <row r="134" spans="1:52" x14ac:dyDescent="0.25">
      <c r="A134" s="10">
        <v>13</v>
      </c>
      <c r="B134" s="30"/>
      <c r="C134" s="31"/>
      <c r="D134" s="32"/>
      <c r="E134" s="32"/>
      <c r="F134" s="32"/>
      <c r="G134" s="32">
        <f t="shared" si="37"/>
        <v>0</v>
      </c>
      <c r="H134" s="12"/>
      <c r="I134" s="12"/>
      <c r="J134" s="12"/>
      <c r="K134" s="12">
        <f t="shared" si="38"/>
        <v>0</v>
      </c>
      <c r="M134" s="10">
        <v>13</v>
      </c>
      <c r="N134" s="30">
        <v>45755</v>
      </c>
      <c r="O134" s="31">
        <f t="shared" si="43"/>
        <v>4843</v>
      </c>
      <c r="P134" s="32">
        <f>3130+596+57</f>
        <v>3783</v>
      </c>
      <c r="Q134" s="32"/>
      <c r="R134" s="32"/>
      <c r="S134" s="32">
        <f t="shared" si="39"/>
        <v>3783</v>
      </c>
      <c r="T134" s="12"/>
      <c r="U134" s="12"/>
      <c r="V134" s="12"/>
      <c r="W134" s="12">
        <f t="shared" si="40"/>
        <v>3783</v>
      </c>
      <c r="Y134" s="10">
        <v>13</v>
      </c>
      <c r="Z134" s="30">
        <v>45755</v>
      </c>
      <c r="AA134" s="31">
        <f t="shared" si="44"/>
        <v>4689</v>
      </c>
      <c r="AB134" s="32">
        <f>3756+57</f>
        <v>3813</v>
      </c>
      <c r="AC134" s="32"/>
      <c r="AD134" s="32"/>
      <c r="AE134" s="32">
        <f t="shared" si="41"/>
        <v>3813</v>
      </c>
      <c r="AF134" s="12"/>
      <c r="AG134" s="12"/>
      <c r="AH134" s="12"/>
      <c r="AI134" s="12">
        <f t="shared" si="42"/>
        <v>3813</v>
      </c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</row>
    <row r="135" spans="1:52" x14ac:dyDescent="0.25">
      <c r="A135" s="10">
        <v>14</v>
      </c>
      <c r="B135" s="30"/>
      <c r="C135" s="31"/>
      <c r="D135" s="32"/>
      <c r="E135" s="32"/>
      <c r="F135" s="32"/>
      <c r="G135" s="32">
        <f t="shared" si="37"/>
        <v>0</v>
      </c>
      <c r="H135" s="12"/>
      <c r="I135" s="12"/>
      <c r="J135" s="12"/>
      <c r="K135" s="12">
        <f t="shared" si="38"/>
        <v>0</v>
      </c>
      <c r="M135" s="10">
        <v>14</v>
      </c>
      <c r="N135" s="30">
        <v>45755</v>
      </c>
      <c r="O135" s="31">
        <f t="shared" si="43"/>
        <v>4844</v>
      </c>
      <c r="P135" s="32">
        <f>2504+38+674</f>
        <v>3216</v>
      </c>
      <c r="Q135" s="32"/>
      <c r="R135" s="32"/>
      <c r="S135" s="32">
        <f t="shared" si="39"/>
        <v>3216</v>
      </c>
      <c r="T135" s="12"/>
      <c r="U135" s="12"/>
      <c r="V135" s="12"/>
      <c r="W135" s="12">
        <f t="shared" si="40"/>
        <v>3216</v>
      </c>
      <c r="Y135" s="10">
        <v>14</v>
      </c>
      <c r="Z135" s="30">
        <v>45755</v>
      </c>
      <c r="AA135" s="31">
        <f t="shared" si="44"/>
        <v>4690</v>
      </c>
      <c r="AB135" s="32">
        <f>229</f>
        <v>229</v>
      </c>
      <c r="AC135" s="32"/>
      <c r="AD135" s="32"/>
      <c r="AE135" s="32">
        <f t="shared" si="41"/>
        <v>229</v>
      </c>
      <c r="AF135" s="12"/>
      <c r="AG135" s="12"/>
      <c r="AH135" s="12"/>
      <c r="AI135" s="12">
        <f t="shared" si="42"/>
        <v>229</v>
      </c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</row>
    <row r="136" spans="1:52" x14ac:dyDescent="0.25">
      <c r="A136" s="10">
        <v>15</v>
      </c>
      <c r="B136" s="30"/>
      <c r="C136" s="31"/>
      <c r="D136" s="32"/>
      <c r="E136" s="32"/>
      <c r="F136" s="32"/>
      <c r="G136" s="32">
        <f t="shared" si="37"/>
        <v>0</v>
      </c>
      <c r="H136" s="12"/>
      <c r="I136" s="12"/>
      <c r="J136" s="12"/>
      <c r="K136" s="12">
        <f t="shared" si="38"/>
        <v>0</v>
      </c>
      <c r="M136" s="10">
        <v>15</v>
      </c>
      <c r="N136" s="30">
        <v>45755</v>
      </c>
      <c r="O136" s="31">
        <f t="shared" si="43"/>
        <v>4845</v>
      </c>
      <c r="R136" s="32"/>
      <c r="S136" s="32">
        <f t="shared" si="39"/>
        <v>0</v>
      </c>
      <c r="T136" s="12"/>
      <c r="W136" s="12">
        <f t="shared" si="40"/>
        <v>0</v>
      </c>
      <c r="Y136" s="10">
        <v>15</v>
      </c>
      <c r="Z136" s="30">
        <v>45755</v>
      </c>
      <c r="AA136" s="31">
        <f t="shared" si="44"/>
        <v>4691</v>
      </c>
      <c r="AB136" s="32">
        <f>1252+1192+38</f>
        <v>2482</v>
      </c>
      <c r="AC136" s="32"/>
      <c r="AD136" s="32"/>
      <c r="AE136" s="32">
        <f t="shared" si="41"/>
        <v>2482</v>
      </c>
      <c r="AF136" s="12"/>
      <c r="AG136" s="12"/>
      <c r="AH136" s="12"/>
      <c r="AI136" s="12">
        <f t="shared" si="42"/>
        <v>2482</v>
      </c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</row>
    <row r="137" spans="1:52" x14ac:dyDescent="0.25">
      <c r="A137" s="10">
        <v>16</v>
      </c>
      <c r="B137" s="30"/>
      <c r="C137" s="31"/>
      <c r="D137" s="32"/>
      <c r="E137" s="32"/>
      <c r="F137" s="32"/>
      <c r="G137" s="32">
        <f t="shared" si="37"/>
        <v>0</v>
      </c>
      <c r="H137" s="12"/>
      <c r="I137" s="12"/>
      <c r="J137" s="12"/>
      <c r="K137" s="12">
        <f t="shared" si="38"/>
        <v>0</v>
      </c>
      <c r="M137" s="10">
        <v>16</v>
      </c>
      <c r="N137" s="30">
        <v>45755</v>
      </c>
      <c r="O137" s="31">
        <f t="shared" si="43"/>
        <v>4846</v>
      </c>
      <c r="P137" s="32">
        <f>50080+17880+1044</f>
        <v>69004</v>
      </c>
      <c r="Q137" s="32">
        <v>-912</v>
      </c>
      <c r="R137" s="32"/>
      <c r="S137" s="32">
        <f>SUM(P137:Q137)</f>
        <v>68092</v>
      </c>
      <c r="T137" s="12"/>
      <c r="U137" s="12">
        <f>234+21</f>
        <v>255</v>
      </c>
      <c r="V137" s="12">
        <f>-240+-7881+-252</f>
        <v>-8373</v>
      </c>
      <c r="W137" s="12">
        <f>SUM(S137:V137)</f>
        <v>59974</v>
      </c>
      <c r="Y137" s="10">
        <v>16</v>
      </c>
      <c r="Z137" s="30">
        <v>45755</v>
      </c>
      <c r="AA137" s="31">
        <f t="shared" si="44"/>
        <v>4692</v>
      </c>
      <c r="AB137" s="32">
        <f>5634+85</f>
        <v>5719</v>
      </c>
      <c r="AC137" s="32"/>
      <c r="AD137" s="32"/>
      <c r="AE137" s="32">
        <f t="shared" si="41"/>
        <v>5719</v>
      </c>
      <c r="AF137" s="12"/>
      <c r="AG137" s="12"/>
      <c r="AH137" s="12"/>
      <c r="AI137" s="12">
        <f t="shared" si="42"/>
        <v>5719</v>
      </c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</row>
    <row r="138" spans="1:52" x14ac:dyDescent="0.25">
      <c r="A138" s="10">
        <v>17</v>
      </c>
      <c r="B138" s="30"/>
      <c r="C138" s="31"/>
      <c r="D138" s="32"/>
      <c r="E138" s="32"/>
      <c r="F138" s="32"/>
      <c r="G138" s="32">
        <f t="shared" si="37"/>
        <v>0</v>
      </c>
      <c r="H138" s="12"/>
      <c r="I138" s="12"/>
      <c r="J138" s="12"/>
      <c r="K138" s="12">
        <f t="shared" si="38"/>
        <v>0</v>
      </c>
      <c r="M138" s="10">
        <v>17</v>
      </c>
      <c r="N138" s="30"/>
      <c r="O138" s="11" t="s">
        <v>28</v>
      </c>
      <c r="P138" s="35"/>
      <c r="Q138" s="32"/>
      <c r="R138" s="32"/>
      <c r="S138" s="32">
        <f t="shared" si="39"/>
        <v>0</v>
      </c>
      <c r="T138" s="12"/>
      <c r="U138" s="12"/>
      <c r="V138" s="12"/>
      <c r="W138" s="12">
        <f t="shared" si="40"/>
        <v>0</v>
      </c>
      <c r="Y138" s="10">
        <v>17</v>
      </c>
      <c r="Z138" s="30">
        <v>45755</v>
      </c>
      <c r="AA138" s="31">
        <f t="shared" si="44"/>
        <v>4693</v>
      </c>
      <c r="AB138" s="35">
        <f>6886+596+114</f>
        <v>7596</v>
      </c>
      <c r="AC138" s="32"/>
      <c r="AD138" s="32"/>
      <c r="AE138" s="32">
        <f t="shared" si="41"/>
        <v>7596</v>
      </c>
      <c r="AF138" s="12"/>
      <c r="AG138" s="12">
        <f>45+18</f>
        <v>63</v>
      </c>
      <c r="AH138" s="12"/>
      <c r="AI138" s="12">
        <f t="shared" si="42"/>
        <v>7659</v>
      </c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</row>
    <row r="139" spans="1:52" x14ac:dyDescent="0.25">
      <c r="A139" s="10">
        <v>18</v>
      </c>
      <c r="B139" s="30"/>
      <c r="C139" s="31"/>
      <c r="D139" s="32"/>
      <c r="E139" s="32"/>
      <c r="F139" s="32"/>
      <c r="G139" s="32">
        <f t="shared" si="37"/>
        <v>0</v>
      </c>
      <c r="H139" s="12"/>
      <c r="I139" s="12"/>
      <c r="J139" s="12"/>
      <c r="K139" s="12">
        <f t="shared" si="38"/>
        <v>0</v>
      </c>
      <c r="M139" s="10">
        <v>18</v>
      </c>
      <c r="N139" s="30"/>
      <c r="O139" s="31"/>
      <c r="P139" s="32"/>
      <c r="Q139" s="32"/>
      <c r="R139" s="32"/>
      <c r="S139" s="32">
        <f t="shared" si="39"/>
        <v>0</v>
      </c>
      <c r="T139" s="12"/>
      <c r="U139" s="12"/>
      <c r="V139" s="12"/>
      <c r="W139" s="12">
        <f t="shared" si="40"/>
        <v>0</v>
      </c>
      <c r="Y139" s="10">
        <v>18</v>
      </c>
      <c r="Z139" s="30">
        <v>45755</v>
      </c>
      <c r="AA139" s="31">
        <f t="shared" si="44"/>
        <v>4694</v>
      </c>
      <c r="AB139" s="32">
        <f>626+596</f>
        <v>1222</v>
      </c>
      <c r="AC139" s="32"/>
      <c r="AD139" s="32"/>
      <c r="AE139" s="32">
        <f t="shared" si="41"/>
        <v>1222</v>
      </c>
      <c r="AF139" s="12"/>
      <c r="AG139" s="12"/>
      <c r="AH139" s="12"/>
      <c r="AI139" s="12">
        <f t="shared" si="42"/>
        <v>1222</v>
      </c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</row>
    <row r="140" spans="1:52" x14ac:dyDescent="0.25">
      <c r="A140" s="10">
        <v>19</v>
      </c>
      <c r="B140" s="30"/>
      <c r="C140" s="31"/>
      <c r="D140" s="32"/>
      <c r="E140" s="32"/>
      <c r="F140" s="32"/>
      <c r="G140" s="32">
        <f t="shared" si="37"/>
        <v>0</v>
      </c>
      <c r="H140" s="12"/>
      <c r="I140" s="12"/>
      <c r="J140" s="12"/>
      <c r="K140" s="12">
        <f t="shared" si="38"/>
        <v>0</v>
      </c>
      <c r="M140" s="10">
        <v>19</v>
      </c>
      <c r="N140" s="30"/>
      <c r="O140" s="31"/>
      <c r="P140" s="32"/>
      <c r="Q140" s="32"/>
      <c r="R140" s="32"/>
      <c r="S140" s="32">
        <f t="shared" si="39"/>
        <v>0</v>
      </c>
      <c r="T140" s="12"/>
      <c r="U140" s="12"/>
      <c r="V140" s="12"/>
      <c r="W140" s="12">
        <f t="shared" si="40"/>
        <v>0</v>
      </c>
      <c r="Y140" s="10">
        <v>19</v>
      </c>
      <c r="Z140" s="30">
        <v>45755</v>
      </c>
      <c r="AA140" s="31">
        <f t="shared" si="44"/>
        <v>4695</v>
      </c>
      <c r="AB140" s="32">
        <f>28796+4044+458</f>
        <v>33298</v>
      </c>
      <c r="AC140" s="32">
        <v>-324</v>
      </c>
      <c r="AD140" s="32"/>
      <c r="AE140" s="32">
        <f t="shared" si="41"/>
        <v>32974</v>
      </c>
      <c r="AF140" s="12"/>
      <c r="AG140" s="12"/>
      <c r="AH140" s="12"/>
      <c r="AI140" s="12">
        <f t="shared" si="42"/>
        <v>32974</v>
      </c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</row>
    <row r="141" spans="1:52" x14ac:dyDescent="0.25">
      <c r="A141" s="10">
        <v>20</v>
      </c>
      <c r="B141" s="30"/>
      <c r="C141" s="31"/>
      <c r="D141" s="32"/>
      <c r="E141" s="32"/>
      <c r="F141" s="32"/>
      <c r="G141" s="32">
        <f t="shared" si="37"/>
        <v>0</v>
      </c>
      <c r="H141" s="12"/>
      <c r="I141" s="12"/>
      <c r="J141" s="12"/>
      <c r="K141" s="12">
        <f t="shared" si="38"/>
        <v>0</v>
      </c>
      <c r="M141" s="10">
        <v>20</v>
      </c>
      <c r="N141" s="30"/>
      <c r="O141" s="31"/>
      <c r="P141" s="32"/>
      <c r="Q141" s="32"/>
      <c r="R141" s="32"/>
      <c r="S141" s="32">
        <f t="shared" si="39"/>
        <v>0</v>
      </c>
      <c r="T141" s="12"/>
      <c r="U141" s="12"/>
      <c r="V141" s="12"/>
      <c r="W141" s="12">
        <f t="shared" si="40"/>
        <v>0</v>
      </c>
      <c r="Y141" s="10">
        <v>20</v>
      </c>
      <c r="Z141" s="30">
        <v>45755</v>
      </c>
      <c r="AA141" s="31">
        <f t="shared" si="44"/>
        <v>4696</v>
      </c>
      <c r="AB141" s="32">
        <f>229</f>
        <v>229</v>
      </c>
      <c r="AC141" s="32"/>
      <c r="AD141" s="32"/>
      <c r="AE141" s="32">
        <f t="shared" si="41"/>
        <v>229</v>
      </c>
      <c r="AF141" s="12"/>
      <c r="AG141" s="12"/>
      <c r="AH141" s="12"/>
      <c r="AI141" s="12">
        <f t="shared" si="42"/>
        <v>229</v>
      </c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</row>
    <row r="142" spans="1:52" x14ac:dyDescent="0.25">
      <c r="A142" s="10">
        <v>21</v>
      </c>
      <c r="B142" s="30"/>
      <c r="C142" s="31"/>
      <c r="D142" s="32"/>
      <c r="E142" s="32"/>
      <c r="F142" s="32"/>
      <c r="G142" s="32">
        <f t="shared" si="37"/>
        <v>0</v>
      </c>
      <c r="H142" s="10"/>
      <c r="I142" s="10"/>
      <c r="J142" s="10"/>
      <c r="K142" s="12">
        <f t="shared" si="38"/>
        <v>0</v>
      </c>
      <c r="M142" s="10">
        <v>21</v>
      </c>
      <c r="N142" s="30"/>
      <c r="O142" s="31"/>
      <c r="P142" s="46"/>
      <c r="Q142" s="31"/>
      <c r="R142" s="31"/>
      <c r="S142" s="32">
        <f t="shared" si="39"/>
        <v>0</v>
      </c>
      <c r="T142" s="10"/>
      <c r="U142" s="10"/>
      <c r="V142" s="10"/>
      <c r="W142" s="12">
        <f t="shared" si="40"/>
        <v>0</v>
      </c>
      <c r="Y142" s="10">
        <v>21</v>
      </c>
      <c r="Z142" s="30"/>
      <c r="AA142" s="11" t="s">
        <v>28</v>
      </c>
      <c r="AB142" s="46"/>
      <c r="AC142" s="31"/>
      <c r="AD142" s="31"/>
      <c r="AE142" s="32">
        <f t="shared" si="41"/>
        <v>0</v>
      </c>
      <c r="AF142" s="10"/>
      <c r="AG142" s="10"/>
      <c r="AH142" s="10"/>
      <c r="AI142" s="12">
        <f t="shared" si="42"/>
        <v>0</v>
      </c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</row>
    <row r="143" spans="1:52" x14ac:dyDescent="0.25">
      <c r="A143" s="10">
        <v>22</v>
      </c>
      <c r="B143" s="30"/>
      <c r="C143" s="31"/>
      <c r="D143" s="32"/>
      <c r="E143" s="32"/>
      <c r="F143" s="32"/>
      <c r="G143" s="32">
        <f t="shared" si="37"/>
        <v>0</v>
      </c>
      <c r="H143" s="10"/>
      <c r="I143" s="10"/>
      <c r="J143" s="10"/>
      <c r="K143" s="12">
        <f t="shared" si="38"/>
        <v>0</v>
      </c>
      <c r="M143" s="10">
        <v>22</v>
      </c>
      <c r="N143" s="30"/>
      <c r="O143" s="31"/>
      <c r="P143" s="45"/>
      <c r="Q143" s="31"/>
      <c r="R143" s="31"/>
      <c r="S143" s="32">
        <f t="shared" si="39"/>
        <v>0</v>
      </c>
      <c r="T143" s="10"/>
      <c r="U143" s="10"/>
      <c r="V143" s="10"/>
      <c r="W143" s="12">
        <f t="shared" si="40"/>
        <v>0</v>
      </c>
      <c r="Y143" s="10">
        <v>22</v>
      </c>
      <c r="Z143" s="30"/>
      <c r="AB143" s="45"/>
      <c r="AC143" s="31"/>
      <c r="AD143" s="31"/>
      <c r="AE143" s="32">
        <f t="shared" si="41"/>
        <v>0</v>
      </c>
      <c r="AF143" s="10"/>
      <c r="AG143" s="10"/>
      <c r="AH143" s="10"/>
      <c r="AI143" s="12">
        <f t="shared" si="42"/>
        <v>0</v>
      </c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</row>
    <row r="144" spans="1:52" x14ac:dyDescent="0.25">
      <c r="A144" s="10">
        <v>23</v>
      </c>
      <c r="B144" s="30"/>
      <c r="C144" s="31"/>
      <c r="D144" s="32"/>
      <c r="E144" s="32"/>
      <c r="F144" s="32"/>
      <c r="G144" s="32">
        <f t="shared" si="37"/>
        <v>0</v>
      </c>
      <c r="H144" s="10"/>
      <c r="I144" s="10"/>
      <c r="J144" s="12"/>
      <c r="K144" s="12">
        <f t="shared" si="38"/>
        <v>0</v>
      </c>
      <c r="M144" s="10">
        <v>23</v>
      </c>
      <c r="N144" s="30"/>
      <c r="O144" s="31"/>
      <c r="P144" s="47"/>
      <c r="S144" s="32">
        <f t="shared" si="39"/>
        <v>0</v>
      </c>
      <c r="T144" s="10"/>
      <c r="U144" s="10"/>
      <c r="V144" s="10"/>
      <c r="W144" s="12">
        <f t="shared" si="40"/>
        <v>0</v>
      </c>
      <c r="Y144" s="10">
        <v>23</v>
      </c>
      <c r="Z144" s="30"/>
      <c r="AA144" s="31"/>
      <c r="AB144" s="47"/>
      <c r="AE144" s="32">
        <f t="shared" si="41"/>
        <v>0</v>
      </c>
      <c r="AF144" s="10"/>
      <c r="AG144" s="10"/>
      <c r="AH144" s="10"/>
      <c r="AI144" s="12">
        <f t="shared" si="42"/>
        <v>0</v>
      </c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</row>
    <row r="145" spans="1:52" x14ac:dyDescent="0.25">
      <c r="A145" s="10">
        <v>24</v>
      </c>
      <c r="B145" s="30"/>
      <c r="C145" s="31"/>
      <c r="D145" s="32"/>
      <c r="E145" s="32"/>
      <c r="F145" s="32"/>
      <c r="G145" s="32">
        <f t="shared" si="37"/>
        <v>0</v>
      </c>
      <c r="H145" s="10"/>
      <c r="I145" s="10"/>
      <c r="J145" s="10"/>
      <c r="K145" s="12">
        <f t="shared" si="38"/>
        <v>0</v>
      </c>
      <c r="M145" s="10">
        <v>24</v>
      </c>
      <c r="N145" s="30"/>
      <c r="O145" s="31"/>
      <c r="P145" s="47"/>
      <c r="Q145" s="31"/>
      <c r="R145" s="31"/>
      <c r="S145" s="32">
        <f t="shared" si="39"/>
        <v>0</v>
      </c>
      <c r="T145" s="10"/>
      <c r="U145" s="10"/>
      <c r="V145" s="10"/>
      <c r="W145" s="12">
        <f t="shared" si="40"/>
        <v>0</v>
      </c>
      <c r="Y145" s="10">
        <v>24</v>
      </c>
      <c r="Z145" s="30"/>
      <c r="AA145" s="31"/>
      <c r="AB145" s="47"/>
      <c r="AC145" s="31"/>
      <c r="AD145" s="31"/>
      <c r="AE145" s="32">
        <f t="shared" si="41"/>
        <v>0</v>
      </c>
      <c r="AF145" s="10"/>
      <c r="AG145" s="10"/>
      <c r="AH145" s="10"/>
      <c r="AI145" s="12">
        <f t="shared" si="42"/>
        <v>0</v>
      </c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</row>
    <row r="146" spans="1:52" x14ac:dyDescent="0.25">
      <c r="A146" s="10">
        <v>25</v>
      </c>
      <c r="B146" s="30"/>
      <c r="C146" s="31"/>
      <c r="D146" s="32"/>
      <c r="E146" s="32"/>
      <c r="F146" s="32"/>
      <c r="G146" s="32">
        <f t="shared" si="37"/>
        <v>0</v>
      </c>
      <c r="H146" s="10"/>
      <c r="I146" s="10"/>
      <c r="J146" s="10"/>
      <c r="K146" s="12">
        <f t="shared" si="38"/>
        <v>0</v>
      </c>
      <c r="M146" s="10">
        <v>25</v>
      </c>
      <c r="N146" s="30"/>
      <c r="O146" s="31"/>
      <c r="P146" s="47"/>
      <c r="Q146" s="31"/>
      <c r="R146" s="31"/>
      <c r="S146" s="32">
        <f t="shared" si="39"/>
        <v>0</v>
      </c>
      <c r="T146" s="10"/>
      <c r="U146" s="10"/>
      <c r="V146" s="10"/>
      <c r="W146" s="12">
        <f t="shared" si="40"/>
        <v>0</v>
      </c>
      <c r="Y146" s="10">
        <v>25</v>
      </c>
      <c r="Z146" s="30"/>
      <c r="AA146" s="31"/>
      <c r="AB146" s="47"/>
      <c r="AC146" s="31"/>
      <c r="AD146" s="31"/>
      <c r="AE146" s="32">
        <f t="shared" si="41"/>
        <v>0</v>
      </c>
      <c r="AF146" s="10"/>
      <c r="AG146" s="10"/>
      <c r="AH146" s="10"/>
      <c r="AI146" s="12">
        <f t="shared" si="42"/>
        <v>0</v>
      </c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</row>
    <row r="147" spans="1:52" x14ac:dyDescent="0.25">
      <c r="A147" s="10">
        <v>26</v>
      </c>
      <c r="B147" s="30"/>
      <c r="C147" s="31"/>
      <c r="D147" s="32"/>
      <c r="E147" s="32"/>
      <c r="F147" s="32"/>
      <c r="G147" s="32">
        <f t="shared" si="37"/>
        <v>0</v>
      </c>
      <c r="H147" s="10"/>
      <c r="I147" s="10"/>
      <c r="J147" s="10"/>
      <c r="K147" s="12">
        <f t="shared" si="38"/>
        <v>0</v>
      </c>
      <c r="M147" s="10">
        <v>26</v>
      </c>
      <c r="N147" s="30"/>
      <c r="O147" s="31"/>
      <c r="P147" s="47"/>
      <c r="Q147" s="31"/>
      <c r="R147" s="31"/>
      <c r="S147" s="32">
        <f t="shared" si="39"/>
        <v>0</v>
      </c>
      <c r="T147" s="10"/>
      <c r="U147" s="10"/>
      <c r="V147" s="10"/>
      <c r="W147" s="12">
        <f t="shared" si="40"/>
        <v>0</v>
      </c>
      <c r="Y147" s="10">
        <v>26</v>
      </c>
      <c r="Z147" s="30"/>
      <c r="AA147" s="31"/>
      <c r="AB147" s="47"/>
      <c r="AC147" s="31"/>
      <c r="AD147" s="31"/>
      <c r="AE147" s="32">
        <f t="shared" si="41"/>
        <v>0</v>
      </c>
      <c r="AF147" s="10"/>
      <c r="AG147" s="10"/>
      <c r="AH147" s="10"/>
      <c r="AI147" s="12">
        <f t="shared" si="42"/>
        <v>0</v>
      </c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</row>
    <row r="148" spans="1:52" x14ac:dyDescent="0.25">
      <c r="A148" s="10">
        <v>27</v>
      </c>
      <c r="B148" s="30"/>
      <c r="C148" s="31"/>
      <c r="D148" s="32"/>
      <c r="E148" s="32"/>
      <c r="F148" s="32"/>
      <c r="G148" s="32">
        <f t="shared" si="37"/>
        <v>0</v>
      </c>
      <c r="H148" s="10"/>
      <c r="I148" s="10"/>
      <c r="J148" s="10"/>
      <c r="K148" s="12">
        <f t="shared" si="38"/>
        <v>0</v>
      </c>
      <c r="M148" s="10">
        <v>27</v>
      </c>
      <c r="N148" s="30"/>
      <c r="O148" s="31"/>
      <c r="P148" s="47"/>
      <c r="Q148" s="31"/>
      <c r="R148" s="31"/>
      <c r="S148" s="32">
        <f t="shared" si="39"/>
        <v>0</v>
      </c>
      <c r="T148" s="10"/>
      <c r="U148" s="10"/>
      <c r="V148" s="10"/>
      <c r="W148" s="12">
        <f t="shared" si="40"/>
        <v>0</v>
      </c>
      <c r="Y148" s="10">
        <v>27</v>
      </c>
      <c r="Z148" s="30"/>
      <c r="AA148" s="31"/>
      <c r="AB148" s="47"/>
      <c r="AC148" s="31"/>
      <c r="AD148" s="31"/>
      <c r="AE148" s="32">
        <f t="shared" si="41"/>
        <v>0</v>
      </c>
      <c r="AF148" s="10"/>
      <c r="AG148" s="10"/>
      <c r="AH148" s="10"/>
      <c r="AI148" s="12">
        <f t="shared" si="42"/>
        <v>0</v>
      </c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</row>
    <row r="149" spans="1:52" x14ac:dyDescent="0.25">
      <c r="A149" s="10">
        <v>28</v>
      </c>
      <c r="B149" s="30"/>
      <c r="C149" s="31"/>
      <c r="D149" s="32"/>
      <c r="E149" s="32"/>
      <c r="F149" s="32"/>
      <c r="G149" s="32">
        <f t="shared" si="37"/>
        <v>0</v>
      </c>
      <c r="H149" s="10"/>
      <c r="I149" s="10"/>
      <c r="J149" s="10"/>
      <c r="K149" s="12">
        <f t="shared" si="38"/>
        <v>0</v>
      </c>
      <c r="M149" s="10">
        <v>28</v>
      </c>
      <c r="N149" s="30"/>
      <c r="O149" s="31"/>
      <c r="P149" s="47"/>
      <c r="Q149" s="31"/>
      <c r="R149" s="31"/>
      <c r="S149" s="32">
        <f t="shared" si="39"/>
        <v>0</v>
      </c>
      <c r="T149" s="10"/>
      <c r="U149" s="10"/>
      <c r="V149" s="10"/>
      <c r="W149" s="12">
        <f t="shared" si="40"/>
        <v>0</v>
      </c>
      <c r="Y149" s="10">
        <v>28</v>
      </c>
      <c r="Z149" s="30"/>
      <c r="AA149" s="31"/>
      <c r="AB149" s="47"/>
      <c r="AC149" s="31"/>
      <c r="AD149" s="31"/>
      <c r="AE149" s="32">
        <f t="shared" si="41"/>
        <v>0</v>
      </c>
      <c r="AF149" s="10"/>
      <c r="AG149" s="10"/>
      <c r="AH149" s="10"/>
      <c r="AI149" s="12">
        <f t="shared" si="42"/>
        <v>0</v>
      </c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</row>
    <row r="150" spans="1:52" x14ac:dyDescent="0.25">
      <c r="A150" s="10">
        <v>29</v>
      </c>
      <c r="B150" s="30"/>
      <c r="C150" s="31"/>
      <c r="D150" s="32"/>
      <c r="E150" s="32"/>
      <c r="F150" s="32"/>
      <c r="G150" s="32">
        <f t="shared" si="37"/>
        <v>0</v>
      </c>
      <c r="H150" s="10"/>
      <c r="I150" s="10"/>
      <c r="J150" s="10"/>
      <c r="K150" s="12">
        <f t="shared" si="38"/>
        <v>0</v>
      </c>
      <c r="M150" s="10">
        <v>29</v>
      </c>
      <c r="N150" s="30"/>
      <c r="O150" s="31"/>
      <c r="P150" s="47"/>
      <c r="Q150" s="31"/>
      <c r="R150" s="31"/>
      <c r="S150" s="32">
        <f t="shared" si="39"/>
        <v>0</v>
      </c>
      <c r="T150" s="10"/>
      <c r="U150" s="10"/>
      <c r="V150" s="10"/>
      <c r="W150" s="12">
        <f t="shared" si="40"/>
        <v>0</v>
      </c>
      <c r="Y150" s="10">
        <v>29</v>
      </c>
      <c r="Z150" s="30"/>
      <c r="AA150" s="31"/>
      <c r="AB150" s="47"/>
      <c r="AC150" s="31"/>
      <c r="AD150" s="31"/>
      <c r="AE150" s="32">
        <f t="shared" si="41"/>
        <v>0</v>
      </c>
      <c r="AF150" s="10"/>
      <c r="AG150" s="10"/>
      <c r="AH150" s="10"/>
      <c r="AI150" s="12">
        <f t="shared" si="42"/>
        <v>0</v>
      </c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</row>
    <row r="151" spans="1:52" x14ac:dyDescent="0.25">
      <c r="A151" s="10">
        <v>30</v>
      </c>
      <c r="B151" s="30"/>
      <c r="C151" s="31"/>
      <c r="D151" s="32"/>
      <c r="E151" s="32"/>
      <c r="F151" s="32"/>
      <c r="G151" s="32">
        <f t="shared" si="37"/>
        <v>0</v>
      </c>
      <c r="H151" s="10"/>
      <c r="I151" s="10"/>
      <c r="J151" s="10"/>
      <c r="K151" s="12">
        <f t="shared" si="38"/>
        <v>0</v>
      </c>
      <c r="M151" s="10">
        <v>30</v>
      </c>
      <c r="N151" s="30"/>
      <c r="O151" s="31"/>
      <c r="P151" s="47"/>
      <c r="Q151" s="31"/>
      <c r="R151" s="31"/>
      <c r="S151" s="32">
        <f t="shared" si="39"/>
        <v>0</v>
      </c>
      <c r="T151" s="10"/>
      <c r="U151" s="10"/>
      <c r="V151" s="10"/>
      <c r="W151" s="12">
        <f t="shared" si="40"/>
        <v>0</v>
      </c>
      <c r="Y151" s="10">
        <v>30</v>
      </c>
      <c r="Z151" s="30"/>
      <c r="AA151" s="31"/>
      <c r="AB151" s="47"/>
      <c r="AC151" s="31"/>
      <c r="AD151" s="31"/>
      <c r="AE151" s="32">
        <f t="shared" si="41"/>
        <v>0</v>
      </c>
      <c r="AF151" s="10"/>
      <c r="AG151" s="10"/>
      <c r="AH151" s="10"/>
      <c r="AI151" s="12">
        <f t="shared" si="42"/>
        <v>0</v>
      </c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</row>
    <row r="152" spans="1:52" x14ac:dyDescent="0.25">
      <c r="A152" s="10">
        <v>31</v>
      </c>
      <c r="B152" s="30"/>
      <c r="C152" s="31"/>
      <c r="D152" s="32"/>
      <c r="E152" s="32"/>
      <c r="F152" s="32"/>
      <c r="G152" s="32">
        <f t="shared" si="37"/>
        <v>0</v>
      </c>
      <c r="H152" s="10"/>
      <c r="I152" s="10"/>
      <c r="J152" s="10"/>
      <c r="K152" s="12">
        <f t="shared" si="38"/>
        <v>0</v>
      </c>
      <c r="M152" s="10">
        <v>31</v>
      </c>
      <c r="N152" s="30"/>
      <c r="P152" s="47"/>
      <c r="Q152" s="31"/>
      <c r="R152" s="31"/>
      <c r="S152" s="32">
        <f t="shared" si="39"/>
        <v>0</v>
      </c>
      <c r="T152" s="10"/>
      <c r="U152" s="10"/>
      <c r="V152" s="10"/>
      <c r="W152" s="12">
        <f t="shared" si="40"/>
        <v>0</v>
      </c>
      <c r="Y152" s="10">
        <v>31</v>
      </c>
      <c r="Z152" s="30"/>
      <c r="AB152" s="47"/>
      <c r="AC152" s="31"/>
      <c r="AD152" s="31"/>
      <c r="AE152" s="32">
        <f t="shared" si="41"/>
        <v>0</v>
      </c>
      <c r="AF152" s="10"/>
      <c r="AG152" s="10"/>
      <c r="AH152" s="10"/>
      <c r="AI152" s="12">
        <f t="shared" si="42"/>
        <v>0</v>
      </c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</row>
    <row r="153" spans="1:52" x14ac:dyDescent="0.25">
      <c r="A153" s="10">
        <v>32</v>
      </c>
      <c r="B153" s="30"/>
      <c r="C153" s="31"/>
      <c r="D153" s="32"/>
      <c r="E153" s="32"/>
      <c r="F153" s="32"/>
      <c r="G153" s="32">
        <f t="shared" si="37"/>
        <v>0</v>
      </c>
      <c r="H153" s="10"/>
      <c r="I153" s="10"/>
      <c r="J153" s="10"/>
      <c r="K153" s="12">
        <f t="shared" si="38"/>
        <v>0</v>
      </c>
      <c r="M153" s="10">
        <v>32</v>
      </c>
      <c r="N153" s="30"/>
      <c r="P153" s="47"/>
      <c r="Q153" s="31"/>
      <c r="R153" s="31"/>
      <c r="S153" s="32">
        <f t="shared" si="39"/>
        <v>0</v>
      </c>
      <c r="T153" s="10"/>
      <c r="U153" s="10"/>
      <c r="V153" s="10"/>
      <c r="W153" s="12">
        <f t="shared" si="40"/>
        <v>0</v>
      </c>
      <c r="Y153" s="10">
        <v>32</v>
      </c>
      <c r="Z153" s="30"/>
      <c r="AA153" s="31"/>
      <c r="AB153" s="47"/>
      <c r="AC153" s="31"/>
      <c r="AD153" s="31"/>
      <c r="AE153" s="32">
        <f t="shared" si="41"/>
        <v>0</v>
      </c>
      <c r="AF153" s="10"/>
      <c r="AG153" s="10"/>
      <c r="AH153" s="10"/>
      <c r="AI153" s="12">
        <f t="shared" si="42"/>
        <v>0</v>
      </c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</row>
    <row r="154" spans="1:52" x14ac:dyDescent="0.25">
      <c r="A154" s="10">
        <v>33</v>
      </c>
      <c r="B154" s="30"/>
      <c r="C154" s="31"/>
      <c r="D154" s="32"/>
      <c r="E154" s="32"/>
      <c r="F154" s="32"/>
      <c r="G154" s="32">
        <f t="shared" si="37"/>
        <v>0</v>
      </c>
      <c r="H154" s="10"/>
      <c r="I154" s="10"/>
      <c r="J154" s="10"/>
      <c r="K154" s="12">
        <f t="shared" si="38"/>
        <v>0</v>
      </c>
      <c r="M154" s="10">
        <v>33</v>
      </c>
      <c r="N154" s="30"/>
      <c r="O154" s="31"/>
      <c r="P154" s="47"/>
      <c r="Q154" s="31"/>
      <c r="R154" s="31"/>
      <c r="S154" s="32">
        <f t="shared" si="39"/>
        <v>0</v>
      </c>
      <c r="T154" s="10"/>
      <c r="U154" s="10"/>
      <c r="V154" s="10"/>
      <c r="W154" s="12">
        <f t="shared" si="40"/>
        <v>0</v>
      </c>
      <c r="Y154" s="10">
        <v>33</v>
      </c>
      <c r="Z154" s="30"/>
      <c r="AA154" s="31"/>
      <c r="AB154" s="47"/>
      <c r="AC154" s="31"/>
      <c r="AD154" s="31"/>
      <c r="AE154" s="32">
        <f t="shared" si="41"/>
        <v>0</v>
      </c>
      <c r="AF154" s="10"/>
      <c r="AG154" s="10"/>
      <c r="AH154" s="10"/>
      <c r="AI154" s="12">
        <f t="shared" si="42"/>
        <v>0</v>
      </c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</row>
    <row r="155" spans="1:52" x14ac:dyDescent="0.25">
      <c r="A155" s="10"/>
      <c r="B155" s="30"/>
      <c r="C155" s="31"/>
      <c r="D155" s="32"/>
      <c r="E155" s="32"/>
      <c r="F155" s="32"/>
      <c r="G155" s="32">
        <f t="shared" si="37"/>
        <v>0</v>
      </c>
      <c r="H155" s="10"/>
      <c r="I155" s="10"/>
      <c r="J155" s="10"/>
      <c r="K155" s="12">
        <f t="shared" si="38"/>
        <v>0</v>
      </c>
      <c r="M155" s="10">
        <v>34</v>
      </c>
      <c r="N155" s="30"/>
      <c r="O155" s="31"/>
      <c r="P155" s="47"/>
      <c r="Q155" s="31"/>
      <c r="R155" s="31"/>
      <c r="S155" s="32">
        <f t="shared" ref="S155:S160" si="46">SUM(P155:Q155)</f>
        <v>0</v>
      </c>
      <c r="T155" s="10"/>
      <c r="U155" s="10"/>
      <c r="V155" s="10"/>
      <c r="W155" s="12">
        <f t="shared" ref="W155:W163" si="47">SUM(S155:V155)</f>
        <v>0</v>
      </c>
      <c r="Y155" s="10">
        <v>34</v>
      </c>
      <c r="Z155" s="30"/>
      <c r="AB155" s="47"/>
      <c r="AC155" s="31"/>
      <c r="AD155" s="31"/>
      <c r="AE155" s="32">
        <f t="shared" ref="AE155:AE160" si="48">SUM(AB155:AC155)</f>
        <v>0</v>
      </c>
      <c r="AF155" s="10"/>
      <c r="AG155" s="10"/>
      <c r="AH155" s="10"/>
      <c r="AI155" s="12">
        <f t="shared" ref="AI155:AI163" si="49">SUM(AE155:AH155)</f>
        <v>0</v>
      </c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</row>
    <row r="156" spans="1:52" x14ac:dyDescent="0.25">
      <c r="A156" s="10"/>
      <c r="B156" s="30"/>
      <c r="C156" s="31"/>
      <c r="D156" s="32"/>
      <c r="E156" s="32"/>
      <c r="F156" s="32"/>
      <c r="G156" s="32"/>
      <c r="H156" s="10"/>
      <c r="I156" s="10"/>
      <c r="J156" s="10"/>
      <c r="K156" s="12"/>
      <c r="M156" s="10">
        <v>35</v>
      </c>
      <c r="N156" s="30"/>
      <c r="O156" s="31"/>
      <c r="P156" s="47"/>
      <c r="Q156" s="31"/>
      <c r="R156" s="31"/>
      <c r="S156" s="32">
        <f t="shared" si="46"/>
        <v>0</v>
      </c>
      <c r="T156" s="10"/>
      <c r="U156" s="10"/>
      <c r="V156" s="10"/>
      <c r="W156" s="12">
        <f t="shared" si="47"/>
        <v>0</v>
      </c>
      <c r="Y156" s="10">
        <v>35</v>
      </c>
      <c r="Z156" s="30"/>
      <c r="AA156" s="31"/>
      <c r="AB156" s="47"/>
      <c r="AC156" s="31"/>
      <c r="AD156" s="31"/>
      <c r="AE156" s="32">
        <f t="shared" si="48"/>
        <v>0</v>
      </c>
      <c r="AF156" s="10"/>
      <c r="AG156" s="10"/>
      <c r="AH156" s="10"/>
      <c r="AI156" s="12">
        <f t="shared" si="49"/>
        <v>0</v>
      </c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</row>
    <row r="157" spans="1:52" x14ac:dyDescent="0.25">
      <c r="A157" s="10"/>
      <c r="B157" s="30"/>
      <c r="C157" s="31"/>
      <c r="D157" s="32"/>
      <c r="E157" s="32"/>
      <c r="F157" s="32"/>
      <c r="G157" s="32"/>
      <c r="H157" s="10"/>
      <c r="I157" s="10"/>
      <c r="J157" s="10"/>
      <c r="K157" s="12"/>
      <c r="M157" s="10">
        <v>36</v>
      </c>
      <c r="N157" s="30"/>
      <c r="O157" s="31"/>
      <c r="P157" s="47"/>
      <c r="Q157" s="31"/>
      <c r="R157" s="31"/>
      <c r="S157" s="32">
        <f t="shared" si="46"/>
        <v>0</v>
      </c>
      <c r="T157" s="10"/>
      <c r="U157" s="10"/>
      <c r="V157" s="10"/>
      <c r="W157" s="12">
        <f t="shared" si="47"/>
        <v>0</v>
      </c>
      <c r="Y157" s="10">
        <v>36</v>
      </c>
      <c r="Z157" s="30"/>
      <c r="AA157" s="31"/>
      <c r="AB157" s="47"/>
      <c r="AC157" s="31"/>
      <c r="AD157" s="31"/>
      <c r="AE157" s="32">
        <f t="shared" si="48"/>
        <v>0</v>
      </c>
      <c r="AF157" s="10"/>
      <c r="AG157" s="10"/>
      <c r="AH157" s="10"/>
      <c r="AI157" s="12">
        <f t="shared" si="49"/>
        <v>0</v>
      </c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</row>
    <row r="158" spans="1:52" x14ac:dyDescent="0.25">
      <c r="A158" s="10"/>
      <c r="B158" s="30"/>
      <c r="D158" s="32"/>
      <c r="E158" s="32"/>
      <c r="F158" s="32"/>
      <c r="G158" s="32"/>
      <c r="H158" s="10"/>
      <c r="I158" s="10"/>
      <c r="J158" s="10"/>
      <c r="K158" s="12"/>
      <c r="M158" s="10">
        <v>37</v>
      </c>
      <c r="N158" s="30"/>
      <c r="P158" s="47"/>
      <c r="Q158" s="31"/>
      <c r="R158" s="31"/>
      <c r="S158" s="32">
        <f t="shared" si="46"/>
        <v>0</v>
      </c>
      <c r="T158" s="10"/>
      <c r="U158" s="10"/>
      <c r="V158" s="10"/>
      <c r="W158" s="12">
        <f t="shared" si="47"/>
        <v>0</v>
      </c>
      <c r="Y158" s="10">
        <v>37</v>
      </c>
      <c r="Z158" s="30"/>
      <c r="AA158" s="31"/>
      <c r="AB158" s="47"/>
      <c r="AC158" s="31"/>
      <c r="AD158" s="31"/>
      <c r="AE158" s="32">
        <f t="shared" si="48"/>
        <v>0</v>
      </c>
      <c r="AF158" s="10"/>
      <c r="AG158" s="10"/>
      <c r="AH158" s="10"/>
      <c r="AI158" s="12">
        <f t="shared" si="49"/>
        <v>0</v>
      </c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</row>
    <row r="159" spans="1:52" x14ac:dyDescent="0.25">
      <c r="A159" s="10"/>
      <c r="B159" s="30"/>
      <c r="C159" s="31"/>
      <c r="D159" s="32"/>
      <c r="E159" s="32"/>
      <c r="F159" s="32"/>
      <c r="G159" s="32"/>
      <c r="H159" s="10"/>
      <c r="I159" s="10"/>
      <c r="J159" s="10"/>
      <c r="K159" s="12"/>
      <c r="M159" s="10">
        <v>38</v>
      </c>
      <c r="N159" s="30"/>
      <c r="O159" s="31"/>
      <c r="P159" s="47"/>
      <c r="Q159" s="31"/>
      <c r="R159" s="31"/>
      <c r="S159" s="32">
        <f t="shared" si="46"/>
        <v>0</v>
      </c>
      <c r="T159" s="10"/>
      <c r="U159" s="10"/>
      <c r="V159" s="10"/>
      <c r="W159" s="12">
        <f t="shared" si="47"/>
        <v>0</v>
      </c>
      <c r="Y159" s="10">
        <v>38</v>
      </c>
      <c r="Z159" s="30"/>
      <c r="AA159" s="31"/>
      <c r="AB159" s="47"/>
      <c r="AC159" s="31"/>
      <c r="AD159" s="31"/>
      <c r="AE159" s="32">
        <f t="shared" si="48"/>
        <v>0</v>
      </c>
      <c r="AF159" s="10"/>
      <c r="AG159" s="10"/>
      <c r="AH159" s="10"/>
      <c r="AI159" s="12">
        <f t="shared" si="49"/>
        <v>0</v>
      </c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</row>
    <row r="160" spans="1:52" x14ac:dyDescent="0.25">
      <c r="A160" s="10"/>
      <c r="B160" s="30"/>
      <c r="C160" s="57"/>
      <c r="D160" s="32"/>
      <c r="E160" s="32"/>
      <c r="F160" s="32"/>
      <c r="G160" s="32"/>
      <c r="H160" s="10"/>
      <c r="I160" s="10"/>
      <c r="J160" s="10"/>
      <c r="K160" s="12"/>
      <c r="M160" s="10">
        <v>39</v>
      </c>
      <c r="N160" s="30"/>
      <c r="O160" s="31"/>
      <c r="P160" s="47"/>
      <c r="Q160" s="31"/>
      <c r="R160" s="31"/>
      <c r="S160" s="32">
        <f t="shared" si="46"/>
        <v>0</v>
      </c>
      <c r="T160" s="10"/>
      <c r="U160" s="10"/>
      <c r="V160" s="10"/>
      <c r="W160" s="12">
        <f t="shared" si="47"/>
        <v>0</v>
      </c>
      <c r="Y160" s="10">
        <v>39</v>
      </c>
      <c r="Z160" s="30"/>
      <c r="AA160" s="31"/>
      <c r="AB160" s="47"/>
      <c r="AC160" s="31"/>
      <c r="AD160" s="31"/>
      <c r="AE160" s="32">
        <f t="shared" si="48"/>
        <v>0</v>
      </c>
      <c r="AF160" s="10"/>
      <c r="AG160" s="10"/>
      <c r="AH160" s="10"/>
      <c r="AI160" s="12">
        <f t="shared" si="49"/>
        <v>0</v>
      </c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</row>
    <row r="161" spans="1:52" x14ac:dyDescent="0.25">
      <c r="A161" s="10"/>
      <c r="B161" s="30"/>
      <c r="C161" s="31"/>
      <c r="D161" s="32"/>
      <c r="E161" s="32"/>
      <c r="F161" s="32"/>
      <c r="G161" s="32"/>
      <c r="H161" s="10"/>
      <c r="I161" s="10"/>
      <c r="J161" s="10"/>
      <c r="K161" s="12"/>
      <c r="M161" s="10"/>
      <c r="N161" s="30"/>
      <c r="P161" s="47"/>
      <c r="Q161" s="31"/>
      <c r="R161" s="31"/>
      <c r="S161" s="32"/>
      <c r="T161" s="10"/>
      <c r="U161" s="10"/>
      <c r="V161" s="10"/>
      <c r="W161" s="12">
        <f t="shared" si="47"/>
        <v>0</v>
      </c>
      <c r="Y161" s="10"/>
      <c r="Z161" s="30"/>
      <c r="AB161" s="47"/>
      <c r="AC161" s="31"/>
      <c r="AD161" s="31"/>
      <c r="AE161" s="32"/>
      <c r="AF161" s="10"/>
      <c r="AG161" s="10"/>
      <c r="AH161" s="10"/>
      <c r="AI161" s="12">
        <f t="shared" si="49"/>
        <v>0</v>
      </c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</row>
    <row r="162" spans="1:52" x14ac:dyDescent="0.25">
      <c r="A162" s="10"/>
      <c r="B162" s="30"/>
      <c r="C162" s="31"/>
      <c r="D162" s="32"/>
      <c r="E162" s="32"/>
      <c r="F162" s="32"/>
      <c r="G162" s="32">
        <f t="shared" ref="G162" si="50">SUM(D162:E162)</f>
        <v>0</v>
      </c>
      <c r="H162" s="10"/>
      <c r="I162" s="10"/>
      <c r="J162" s="10"/>
      <c r="K162" s="12">
        <f t="shared" ref="K162" si="51">SUM(G162:J162)</f>
        <v>0</v>
      </c>
      <c r="M162" s="10"/>
      <c r="N162" s="30"/>
      <c r="O162" s="31"/>
      <c r="P162" s="47"/>
      <c r="Q162" s="31"/>
      <c r="R162" s="31"/>
      <c r="S162" s="32">
        <f t="shared" ref="S162" si="52">SUM(P162:Q162)</f>
        <v>0</v>
      </c>
      <c r="T162" s="10"/>
      <c r="U162" s="10"/>
      <c r="V162" s="10"/>
      <c r="W162" s="12">
        <f t="shared" si="47"/>
        <v>0</v>
      </c>
      <c r="Y162" s="10"/>
      <c r="Z162" s="30"/>
      <c r="AA162" s="31"/>
      <c r="AB162" s="47"/>
      <c r="AC162" s="31"/>
      <c r="AD162" s="31"/>
      <c r="AE162" s="32">
        <f t="shared" ref="AE162" si="53">SUM(AB162:AC162)</f>
        <v>0</v>
      </c>
      <c r="AF162" s="10"/>
      <c r="AG162" s="10"/>
      <c r="AH162" s="10"/>
      <c r="AI162" s="12">
        <f t="shared" si="49"/>
        <v>0</v>
      </c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</row>
    <row r="163" spans="1:52" x14ac:dyDescent="0.25">
      <c r="A163" s="10"/>
      <c r="B163" s="30"/>
      <c r="C163" s="30"/>
      <c r="D163" s="32"/>
      <c r="E163" s="32"/>
      <c r="F163" s="32"/>
      <c r="G163" s="32"/>
      <c r="H163" s="10"/>
      <c r="I163" s="10"/>
      <c r="J163" s="10"/>
      <c r="K163" s="12"/>
      <c r="M163" s="10"/>
      <c r="N163" s="31"/>
      <c r="O163" s="31"/>
      <c r="P163" s="31"/>
      <c r="Q163" s="31"/>
      <c r="R163" s="31"/>
      <c r="S163" s="31"/>
      <c r="T163" s="10"/>
      <c r="U163" s="10"/>
      <c r="V163" s="10"/>
      <c r="W163" s="12">
        <f t="shared" si="47"/>
        <v>0</v>
      </c>
      <c r="Y163" s="10"/>
      <c r="Z163" s="31"/>
      <c r="AA163" s="31"/>
      <c r="AB163" s="31"/>
      <c r="AC163" s="31"/>
      <c r="AD163" s="31"/>
      <c r="AE163" s="31"/>
      <c r="AF163" s="10"/>
      <c r="AG163" s="10"/>
      <c r="AH163" s="10"/>
      <c r="AI163" s="12">
        <f t="shared" si="49"/>
        <v>0</v>
      </c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</row>
    <row r="164" spans="1:52" x14ac:dyDescent="0.25">
      <c r="B164" s="57"/>
      <c r="C164" s="57"/>
      <c r="D164" s="36"/>
      <c r="E164" s="36"/>
      <c r="F164" s="36"/>
      <c r="G164" s="36"/>
      <c r="H164" s="37"/>
      <c r="I164" s="37"/>
      <c r="J164" s="37"/>
      <c r="K164" s="37"/>
      <c r="N164" s="57"/>
      <c r="O164" s="57"/>
      <c r="P164" s="36"/>
      <c r="Q164" s="36"/>
      <c r="R164" s="36"/>
      <c r="S164" s="36"/>
      <c r="T164" s="37"/>
      <c r="U164" s="37"/>
      <c r="V164" s="37"/>
      <c r="W164" s="37"/>
      <c r="Z164" s="57"/>
      <c r="AA164" s="57"/>
      <c r="AB164" s="36"/>
      <c r="AC164" s="36"/>
      <c r="AD164" s="36"/>
      <c r="AE164" s="36"/>
      <c r="AF164" s="37"/>
      <c r="AG164" s="37"/>
      <c r="AH164" s="37"/>
      <c r="AI164" s="37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</row>
    <row r="165" spans="1:52" x14ac:dyDescent="0.25">
      <c r="B165" s="57"/>
      <c r="C165" s="57"/>
      <c r="D165" s="38">
        <f>SUM(D122:D164)</f>
        <v>32982</v>
      </c>
      <c r="E165" s="38">
        <f t="shared" ref="E165:F165" si="54">SUM(E122:E162)</f>
        <v>0</v>
      </c>
      <c r="F165" s="38">
        <f t="shared" si="54"/>
        <v>0</v>
      </c>
      <c r="G165" s="38">
        <f>SUM(G122:G164)</f>
        <v>32982</v>
      </c>
      <c r="H165" s="4"/>
      <c r="I165" s="39">
        <f>SUM(I122:I164)</f>
        <v>0</v>
      </c>
      <c r="J165" s="39">
        <f>SUM(J122:J164)</f>
        <v>0</v>
      </c>
      <c r="K165" s="40">
        <f>SUM(K122:K164)</f>
        <v>32982</v>
      </c>
      <c r="N165" s="57"/>
      <c r="O165" s="57"/>
      <c r="P165" s="38">
        <f>SUM(P122:P164)</f>
        <v>156347.5</v>
      </c>
      <c r="Q165" s="38">
        <f>SUM(Q122:Q146)</f>
        <v>-1488</v>
      </c>
      <c r="R165" s="38">
        <f>SUM(R122:R146)</f>
        <v>0</v>
      </c>
      <c r="S165" s="38">
        <f>SUM(S122:S164)</f>
        <v>154859.5</v>
      </c>
      <c r="T165" s="4"/>
      <c r="U165" s="41">
        <f>SUM(U122:U164)</f>
        <v>359</v>
      </c>
      <c r="V165" s="41">
        <f>SUM(V122:V146)</f>
        <v>-8373</v>
      </c>
      <c r="W165" s="42">
        <f>SUM(W122:W164)</f>
        <v>146845.5</v>
      </c>
      <c r="Z165" s="57"/>
      <c r="AA165" s="57"/>
      <c r="AB165" s="38">
        <f>SUM(AB122:AB164)</f>
        <v>123704</v>
      </c>
      <c r="AC165" s="38">
        <f>SUM(AC122:AC146)</f>
        <v>-636</v>
      </c>
      <c r="AD165" s="38">
        <f>SUM(AD122:AD146)</f>
        <v>0</v>
      </c>
      <c r="AE165" s="38">
        <f>SUM(AE122:AE164)</f>
        <v>123068</v>
      </c>
      <c r="AF165" s="4"/>
      <c r="AG165" s="41">
        <f>SUM(AG122:AG164)</f>
        <v>107.5</v>
      </c>
      <c r="AH165" s="41">
        <f>SUM(AH122:AH146)</f>
        <v>0</v>
      </c>
      <c r="AI165" s="42">
        <f>SUM(AI122:AI164)</f>
        <v>123175.5</v>
      </c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</row>
    <row r="166" spans="1:5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</row>
    <row r="167" spans="1:52" x14ac:dyDescent="0.25">
      <c r="A167" t="s">
        <v>0</v>
      </c>
      <c r="B167" s="57"/>
      <c r="C167" s="57"/>
      <c r="D167" s="57"/>
      <c r="E167" s="57"/>
      <c r="G167" s="57"/>
      <c r="M167" t="s">
        <v>0</v>
      </c>
      <c r="N167" s="57"/>
      <c r="O167" s="57"/>
      <c r="P167" s="57"/>
      <c r="Q167" s="57"/>
      <c r="R167" s="57"/>
      <c r="S167" s="57"/>
      <c r="Y167" t="s">
        <v>0</v>
      </c>
      <c r="Z167" s="57"/>
      <c r="AA167" s="57"/>
      <c r="AB167" s="57"/>
      <c r="AC167" s="57"/>
      <c r="AD167" s="57"/>
      <c r="AE167" s="57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</row>
    <row r="168" spans="1:52" x14ac:dyDescent="0.25">
      <c r="A168" t="s">
        <v>29</v>
      </c>
      <c r="B168" s="57"/>
      <c r="C168" s="57"/>
      <c r="D168" s="57"/>
      <c r="E168" s="57"/>
      <c r="G168" s="57"/>
      <c r="M168" t="s">
        <v>29</v>
      </c>
      <c r="N168" s="57"/>
      <c r="O168" s="57"/>
      <c r="P168" s="57"/>
      <c r="Q168" s="57"/>
      <c r="R168" s="57"/>
      <c r="S168" s="57"/>
      <c r="Y168" t="s">
        <v>29</v>
      </c>
      <c r="Z168" s="57"/>
      <c r="AA168" s="57"/>
      <c r="AB168" s="57"/>
      <c r="AC168" s="57"/>
      <c r="AD168" s="57"/>
      <c r="AE168" s="57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</row>
    <row r="169" spans="1:52" x14ac:dyDescent="0.25">
      <c r="B169" s="57"/>
      <c r="C169" s="57"/>
      <c r="D169" s="57"/>
      <c r="E169" s="57"/>
      <c r="G169" s="57"/>
      <c r="N169" s="57"/>
      <c r="O169" s="57"/>
      <c r="P169" s="57"/>
      <c r="Q169" s="57"/>
      <c r="R169" s="57"/>
      <c r="S169" s="57"/>
      <c r="Z169" s="57"/>
      <c r="AA169" s="57"/>
      <c r="AB169" s="57"/>
      <c r="AC169" s="57"/>
      <c r="AD169" s="57"/>
      <c r="AE169" s="57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</row>
    <row r="170" spans="1:52" x14ac:dyDescent="0.25">
      <c r="A170" s="4" t="s">
        <v>15</v>
      </c>
      <c r="B170" s="57"/>
      <c r="C170" s="57"/>
      <c r="D170" s="57"/>
      <c r="E170" s="57"/>
      <c r="G170" s="57"/>
      <c r="M170" s="4" t="s">
        <v>15</v>
      </c>
      <c r="N170" s="57"/>
      <c r="O170" s="57"/>
      <c r="P170" s="57"/>
      <c r="Q170" s="57"/>
      <c r="R170" s="57"/>
      <c r="S170" s="57"/>
      <c r="Y170" s="4" t="s">
        <v>15</v>
      </c>
      <c r="Z170" s="57"/>
      <c r="AA170" s="57"/>
      <c r="AB170" s="57"/>
      <c r="AC170" s="57"/>
      <c r="AD170" s="57"/>
      <c r="AE170" s="57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</row>
    <row r="171" spans="1:52" x14ac:dyDescent="0.25">
      <c r="B171" s="57"/>
      <c r="C171" s="57"/>
      <c r="D171" s="57"/>
      <c r="E171" s="57"/>
      <c r="G171" s="57"/>
      <c r="N171" s="57"/>
      <c r="O171" s="57"/>
      <c r="P171" s="57"/>
      <c r="Q171" s="57"/>
      <c r="R171" s="57"/>
      <c r="S171" s="57"/>
      <c r="Z171" s="57"/>
      <c r="AA171" s="57"/>
      <c r="AB171" s="57"/>
      <c r="AC171" s="57"/>
      <c r="AD171" s="57"/>
      <c r="AE171" s="57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</row>
    <row r="172" spans="1:52" ht="15.75" x14ac:dyDescent="0.25">
      <c r="A172" t="s">
        <v>47</v>
      </c>
      <c r="B172" s="57"/>
      <c r="C172" s="57"/>
      <c r="D172" s="57"/>
      <c r="E172" s="57"/>
      <c r="G172" s="57"/>
      <c r="I172" s="57" t="s">
        <v>16</v>
      </c>
      <c r="J172" s="19">
        <v>1</v>
      </c>
      <c r="M172" t="s">
        <v>47</v>
      </c>
      <c r="N172" s="57"/>
      <c r="O172" s="57"/>
      <c r="P172" s="57"/>
      <c r="Q172" s="57"/>
      <c r="R172" s="57"/>
      <c r="S172" s="57"/>
      <c r="U172" s="57" t="s">
        <v>16</v>
      </c>
      <c r="V172" s="19">
        <v>2</v>
      </c>
      <c r="Y172" t="s">
        <v>47</v>
      </c>
      <c r="Z172" s="57"/>
      <c r="AA172" s="57"/>
      <c r="AB172" s="57"/>
      <c r="AC172" s="57"/>
      <c r="AD172" s="57"/>
      <c r="AE172" s="57"/>
      <c r="AG172" s="57" t="s">
        <v>16</v>
      </c>
      <c r="AH172" s="20">
        <v>3</v>
      </c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</row>
    <row r="173" spans="1:52" x14ac:dyDescent="0.25">
      <c r="A173" s="21" t="s">
        <v>48</v>
      </c>
      <c r="B173" s="20"/>
      <c r="C173" s="57"/>
      <c r="D173" s="57"/>
      <c r="E173" s="57"/>
      <c r="G173" s="57"/>
      <c r="I173" s="22" t="s">
        <v>17</v>
      </c>
      <c r="J173" s="23" t="s">
        <v>33</v>
      </c>
      <c r="K173" s="24"/>
      <c r="M173" s="21" t="s">
        <v>48</v>
      </c>
      <c r="N173" s="20"/>
      <c r="O173" s="57"/>
      <c r="P173" s="57"/>
      <c r="Q173" s="57"/>
      <c r="R173" s="57"/>
      <c r="S173" s="57"/>
      <c r="U173" s="22" t="s">
        <v>17</v>
      </c>
      <c r="V173" s="23" t="s">
        <v>34</v>
      </c>
      <c r="W173" s="24"/>
      <c r="Y173" s="21" t="s">
        <v>48</v>
      </c>
      <c r="Z173" s="20"/>
      <c r="AA173" s="57"/>
      <c r="AB173" s="57"/>
      <c r="AC173" s="57"/>
      <c r="AD173" s="57"/>
      <c r="AE173" s="57"/>
      <c r="AG173" s="22" t="s">
        <v>17</v>
      </c>
      <c r="AH173" s="23" t="s">
        <v>35</v>
      </c>
      <c r="AI173" s="24"/>
      <c r="AK173" s="62"/>
      <c r="AL173" s="63"/>
      <c r="AM173" s="63"/>
      <c r="AN173" s="63"/>
      <c r="AO173" s="63"/>
      <c r="AP173" s="63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</row>
    <row r="174" spans="1:52" x14ac:dyDescent="0.25">
      <c r="B174" s="57"/>
      <c r="C174" s="57"/>
      <c r="D174" s="57"/>
      <c r="E174" s="57"/>
      <c r="G174" s="57"/>
      <c r="N174" s="57"/>
      <c r="O174" s="57"/>
      <c r="P174" s="57"/>
      <c r="Q174" s="57"/>
      <c r="R174" s="57"/>
      <c r="S174" s="57"/>
      <c r="Z174" s="57"/>
      <c r="AA174" s="57"/>
      <c r="AB174" s="57"/>
      <c r="AC174" s="57"/>
      <c r="AD174" s="57"/>
      <c r="AE174" s="57"/>
      <c r="AK174" s="62"/>
      <c r="AL174" s="63"/>
      <c r="AM174" s="63"/>
      <c r="AN174" s="63"/>
      <c r="AO174" s="63"/>
      <c r="AP174" s="63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</row>
    <row r="175" spans="1:52" ht="15" customHeight="1" x14ac:dyDescent="0.25">
      <c r="B175" s="25"/>
      <c r="C175" s="26"/>
      <c r="D175" s="121" t="s">
        <v>18</v>
      </c>
      <c r="E175" s="121"/>
      <c r="F175" s="93"/>
      <c r="G175" s="27"/>
      <c r="I175" s="119" t="s">
        <v>19</v>
      </c>
      <c r="J175" s="120"/>
      <c r="K175" s="117" t="s">
        <v>20</v>
      </c>
      <c r="N175" s="25"/>
      <c r="O175" s="26"/>
      <c r="P175" s="121" t="s">
        <v>18</v>
      </c>
      <c r="Q175" s="121"/>
      <c r="R175" s="94"/>
      <c r="S175" s="27"/>
      <c r="U175" s="119" t="s">
        <v>19</v>
      </c>
      <c r="V175" s="120"/>
      <c r="W175" s="117" t="s">
        <v>20</v>
      </c>
      <c r="Z175" s="25"/>
      <c r="AA175" s="26"/>
      <c r="AB175" s="121" t="s">
        <v>18</v>
      </c>
      <c r="AC175" s="121"/>
      <c r="AD175" s="93"/>
      <c r="AE175" s="27"/>
      <c r="AG175" s="119" t="s">
        <v>19</v>
      </c>
      <c r="AH175" s="120"/>
      <c r="AI175" s="117" t="s">
        <v>20</v>
      </c>
      <c r="AK175" s="62"/>
      <c r="AL175" s="63"/>
      <c r="AM175" s="63"/>
      <c r="AN175" s="63"/>
      <c r="AO175" s="63"/>
      <c r="AP175" s="63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</row>
    <row r="176" spans="1:52" ht="30" x14ac:dyDescent="0.25">
      <c r="B176" s="28" t="s">
        <v>21</v>
      </c>
      <c r="C176" s="28" t="s">
        <v>22</v>
      </c>
      <c r="D176" s="83" t="s">
        <v>23</v>
      </c>
      <c r="E176" s="82" t="s">
        <v>24</v>
      </c>
      <c r="F176" s="84" t="s">
        <v>36</v>
      </c>
      <c r="G176" s="84" t="s">
        <v>25</v>
      </c>
      <c r="I176" s="29" t="s">
        <v>26</v>
      </c>
      <c r="J176" s="29" t="s">
        <v>27</v>
      </c>
      <c r="K176" s="118"/>
      <c r="N176" s="28" t="s">
        <v>21</v>
      </c>
      <c r="O176" s="28" t="s">
        <v>22</v>
      </c>
      <c r="P176" s="83" t="s">
        <v>23</v>
      </c>
      <c r="Q176" s="84" t="s">
        <v>24</v>
      </c>
      <c r="R176" s="84" t="s">
        <v>36</v>
      </c>
      <c r="S176" s="84" t="s">
        <v>25</v>
      </c>
      <c r="U176" s="29" t="s">
        <v>26</v>
      </c>
      <c r="V176" s="29" t="s">
        <v>27</v>
      </c>
      <c r="W176" s="118"/>
      <c r="Z176" s="28" t="s">
        <v>21</v>
      </c>
      <c r="AA176" s="28" t="s">
        <v>22</v>
      </c>
      <c r="AB176" s="83" t="s">
        <v>23</v>
      </c>
      <c r="AC176" s="84" t="s">
        <v>24</v>
      </c>
      <c r="AD176" s="84" t="s">
        <v>36</v>
      </c>
      <c r="AE176" s="84" t="s">
        <v>25</v>
      </c>
      <c r="AG176" s="29" t="s">
        <v>26</v>
      </c>
      <c r="AH176" s="29" t="s">
        <v>27</v>
      </c>
      <c r="AI176" s="118"/>
      <c r="AK176" s="64"/>
      <c r="AL176" s="63"/>
      <c r="AM176" s="63"/>
      <c r="AN176" s="63"/>
      <c r="AO176" s="63"/>
      <c r="AP176" s="63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</row>
    <row r="177" spans="1:52" x14ac:dyDescent="0.25">
      <c r="A177" s="10">
        <v>1</v>
      </c>
      <c r="B177" s="30">
        <v>45785</v>
      </c>
      <c r="C177" s="31">
        <v>4951</v>
      </c>
      <c r="D177" s="32">
        <f>1878+29</f>
        <v>1907</v>
      </c>
      <c r="E177" s="32"/>
      <c r="F177" s="32"/>
      <c r="G177" s="32">
        <f t="shared" ref="G177:G210" si="55">SUM(D177:E177)</f>
        <v>1907</v>
      </c>
      <c r="H177" s="12"/>
      <c r="I177" s="12"/>
      <c r="J177" s="12"/>
      <c r="K177" s="12">
        <f t="shared" ref="K177:K210" si="56">SUM(G177:J177)</f>
        <v>1907</v>
      </c>
      <c r="M177" s="10">
        <v>1</v>
      </c>
      <c r="N177" s="30">
        <v>45785</v>
      </c>
      <c r="O177" s="31">
        <f>4646</f>
        <v>4646</v>
      </c>
      <c r="P177" s="32">
        <f>3130</f>
        <v>3130</v>
      </c>
      <c r="Q177" s="32"/>
      <c r="R177" s="32"/>
      <c r="S177" s="32">
        <f>SUM(P177:Q177)</f>
        <v>3130</v>
      </c>
      <c r="T177" s="12"/>
      <c r="U177" s="12"/>
      <c r="V177" s="12"/>
      <c r="W177" s="12">
        <f>SUM(S177:V177)</f>
        <v>3130</v>
      </c>
      <c r="Y177" s="10">
        <v>1</v>
      </c>
      <c r="Z177" s="30">
        <v>45785</v>
      </c>
      <c r="AA177" s="31">
        <v>4851</v>
      </c>
      <c r="AB177" s="32">
        <f>3130+47</f>
        <v>3177</v>
      </c>
      <c r="AC177" s="32"/>
      <c r="AD177" s="32"/>
      <c r="AE177" s="32">
        <f>SUM(AB177:AC177)</f>
        <v>3177</v>
      </c>
      <c r="AF177" s="12"/>
      <c r="AG177" s="12">
        <f>4.5+7</f>
        <v>11.5</v>
      </c>
      <c r="AH177" s="12"/>
      <c r="AI177" s="12">
        <f>SUM(AE177:AH177)</f>
        <v>3188.5</v>
      </c>
      <c r="AK177" s="62"/>
      <c r="AL177" s="63"/>
      <c r="AM177" s="63"/>
      <c r="AN177" s="63"/>
      <c r="AO177" s="63"/>
      <c r="AP177" s="63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</row>
    <row r="178" spans="1:52" x14ac:dyDescent="0.25">
      <c r="A178" s="10">
        <v>2</v>
      </c>
      <c r="B178" s="30">
        <v>45785</v>
      </c>
      <c r="C178" s="31">
        <f>C177+1</f>
        <v>4952</v>
      </c>
      <c r="D178" s="32">
        <f>6260+1228+596+105</f>
        <v>8189</v>
      </c>
      <c r="E178" s="32"/>
      <c r="F178" s="32"/>
      <c r="G178" s="32">
        <f t="shared" si="55"/>
        <v>8189</v>
      </c>
      <c r="H178" s="12"/>
      <c r="I178" s="12">
        <f>63+25</f>
        <v>88</v>
      </c>
      <c r="J178" s="12"/>
      <c r="K178" s="12">
        <f t="shared" si="56"/>
        <v>8277</v>
      </c>
      <c r="M178" s="10">
        <v>2</v>
      </c>
      <c r="N178" s="30">
        <v>45785</v>
      </c>
      <c r="O178" s="31">
        <f>O177+1</f>
        <v>4647</v>
      </c>
      <c r="P178" s="32">
        <f>20658</f>
        <v>20658</v>
      </c>
      <c r="Q178" s="32"/>
      <c r="R178" s="32"/>
      <c r="S178" s="32">
        <f t="shared" ref="S178:S191" si="57">SUM(P178:Q178)</f>
        <v>20658</v>
      </c>
      <c r="T178" s="12"/>
      <c r="U178" s="12"/>
      <c r="V178" s="12"/>
      <c r="W178" s="12">
        <f t="shared" ref="W178:W191" si="58">SUM(S178:V178)</f>
        <v>20658</v>
      </c>
      <c r="Y178" s="10">
        <v>2</v>
      </c>
      <c r="Z178" s="30">
        <v>45785</v>
      </c>
      <c r="AA178" s="31">
        <f>AA177+1</f>
        <v>4852</v>
      </c>
      <c r="AB178" s="32">
        <f>28170+3370+5960+458</f>
        <v>37958</v>
      </c>
      <c r="AC178" s="32"/>
      <c r="AD178" s="32"/>
      <c r="AE178" s="32">
        <f t="shared" ref="AE178:AE209" si="59">SUM(AB178:AC178)</f>
        <v>37958</v>
      </c>
      <c r="AF178" s="12"/>
      <c r="AG178" s="12">
        <f>6660+156</f>
        <v>6816</v>
      </c>
      <c r="AH178" s="12"/>
      <c r="AI178" s="12">
        <f t="shared" ref="AI178:AI209" si="60">SUM(AE178:AH178)</f>
        <v>44774</v>
      </c>
      <c r="AK178" s="62"/>
      <c r="AL178" s="63"/>
      <c r="AM178" s="63"/>
      <c r="AN178" s="63"/>
      <c r="AO178" s="63"/>
      <c r="AP178" s="63"/>
      <c r="AQ178" s="62"/>
      <c r="AR178" s="63"/>
      <c r="AS178" s="63"/>
      <c r="AT178" s="62"/>
      <c r="AU178" s="62"/>
      <c r="AV178" s="62"/>
      <c r="AW178" s="62"/>
      <c r="AX178" s="62"/>
      <c r="AY178" s="62"/>
      <c r="AZ178" s="62"/>
    </row>
    <row r="179" spans="1:52" x14ac:dyDescent="0.25">
      <c r="A179" s="10">
        <v>3</v>
      </c>
      <c r="B179" s="30">
        <v>45785</v>
      </c>
      <c r="C179" s="31">
        <f t="shared" ref="C179:C196" si="61">C178+1</f>
        <v>4953</v>
      </c>
      <c r="D179" s="33">
        <f>1252+19</f>
        <v>1271</v>
      </c>
      <c r="E179" s="33"/>
      <c r="F179" s="33"/>
      <c r="G179" s="33">
        <f t="shared" si="55"/>
        <v>1271</v>
      </c>
      <c r="H179" s="34"/>
      <c r="I179" s="34"/>
      <c r="J179" s="34"/>
      <c r="K179" s="34">
        <f t="shared" si="56"/>
        <v>1271</v>
      </c>
      <c r="M179" s="10">
        <v>3</v>
      </c>
      <c r="N179" s="30">
        <v>45785</v>
      </c>
      <c r="O179" s="31">
        <f t="shared" ref="O179:O183" si="62">O178+1</f>
        <v>4648</v>
      </c>
      <c r="P179" s="32">
        <f>34430+8940</f>
        <v>43370</v>
      </c>
      <c r="Q179" s="32">
        <v>-560</v>
      </c>
      <c r="R179" s="32"/>
      <c r="S179" s="32">
        <f t="shared" si="57"/>
        <v>42810</v>
      </c>
      <c r="T179" s="12"/>
      <c r="U179" s="12"/>
      <c r="V179" s="12"/>
      <c r="W179" s="12">
        <f t="shared" si="58"/>
        <v>42810</v>
      </c>
      <c r="Y179" s="10">
        <v>3</v>
      </c>
      <c r="Z179" s="30">
        <v>45785</v>
      </c>
      <c r="AA179" s="31">
        <f t="shared" ref="AA179:AA187" si="63">AA178+1</f>
        <v>4853</v>
      </c>
      <c r="AB179" s="33">
        <f>5634+1842+85</f>
        <v>7561</v>
      </c>
      <c r="AC179" s="33"/>
      <c r="AD179" s="32"/>
      <c r="AE179" s="32">
        <f t="shared" si="59"/>
        <v>7561</v>
      </c>
      <c r="AF179" s="12"/>
      <c r="AG179" s="12"/>
      <c r="AH179" s="12"/>
      <c r="AI179" s="12">
        <f t="shared" si="60"/>
        <v>7561</v>
      </c>
      <c r="AK179" s="65"/>
      <c r="AL179" s="63"/>
      <c r="AM179" s="63"/>
      <c r="AN179" s="63"/>
      <c r="AO179" s="63"/>
      <c r="AP179" s="63"/>
      <c r="AQ179" s="62"/>
      <c r="AR179" s="66"/>
      <c r="AS179" s="66"/>
      <c r="AT179" s="62"/>
      <c r="AU179" s="62"/>
      <c r="AV179" s="62"/>
      <c r="AW179" s="62"/>
      <c r="AX179" s="62"/>
      <c r="AY179" s="62"/>
      <c r="AZ179" s="62"/>
    </row>
    <row r="180" spans="1:52" x14ac:dyDescent="0.25">
      <c r="A180" s="10">
        <v>4</v>
      </c>
      <c r="B180" s="30">
        <v>45785</v>
      </c>
      <c r="C180" s="31">
        <f t="shared" si="61"/>
        <v>4954</v>
      </c>
      <c r="D180" s="32">
        <f>3756+57</f>
        <v>3813</v>
      </c>
      <c r="E180" s="32"/>
      <c r="F180" s="32"/>
      <c r="G180" s="32">
        <f t="shared" si="55"/>
        <v>3813</v>
      </c>
      <c r="H180" s="12"/>
      <c r="I180" s="12"/>
      <c r="J180" s="12"/>
      <c r="K180" s="12">
        <f t="shared" si="56"/>
        <v>3813</v>
      </c>
      <c r="M180" s="10">
        <v>4</v>
      </c>
      <c r="N180" s="30">
        <v>45785</v>
      </c>
      <c r="O180" s="31">
        <f t="shared" si="62"/>
        <v>4649</v>
      </c>
      <c r="P180" s="32">
        <f>5008+76</f>
        <v>5084</v>
      </c>
      <c r="Q180" s="32"/>
      <c r="R180" s="32"/>
      <c r="S180" s="32">
        <f t="shared" si="57"/>
        <v>5084</v>
      </c>
      <c r="T180" s="12"/>
      <c r="U180" s="12"/>
      <c r="V180" s="12"/>
      <c r="W180" s="12">
        <f t="shared" si="58"/>
        <v>5084</v>
      </c>
      <c r="Y180" s="10">
        <v>4</v>
      </c>
      <c r="Z180" s="30">
        <v>45785</v>
      </c>
      <c r="AA180" s="31">
        <f t="shared" si="63"/>
        <v>4854</v>
      </c>
      <c r="AB180" s="32">
        <f>31300+1842+4172+458</f>
        <v>37772</v>
      </c>
      <c r="AC180" s="32">
        <v>-372</v>
      </c>
      <c r="AD180" s="32"/>
      <c r="AE180" s="32">
        <f t="shared" si="59"/>
        <v>37400</v>
      </c>
      <c r="AF180" s="12"/>
      <c r="AH180" s="12"/>
      <c r="AI180" s="12">
        <f t="shared" si="60"/>
        <v>37400</v>
      </c>
      <c r="AK180" s="62"/>
      <c r="AL180" s="63"/>
      <c r="AM180" s="63"/>
      <c r="AN180" s="63"/>
      <c r="AO180" s="63"/>
      <c r="AP180" s="63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25">
      <c r="A181" s="10">
        <v>5</v>
      </c>
      <c r="B181" s="30">
        <v>45785</v>
      </c>
      <c r="C181" s="31">
        <f t="shared" si="61"/>
        <v>4955</v>
      </c>
      <c r="D181" s="32">
        <f>4382+1788+95</f>
        <v>6265</v>
      </c>
      <c r="E181" s="32"/>
      <c r="F181" s="32"/>
      <c r="G181" s="32">
        <f t="shared" si="55"/>
        <v>6265</v>
      </c>
      <c r="H181" s="12"/>
      <c r="I181" s="12"/>
      <c r="J181" s="12"/>
      <c r="K181" s="12">
        <f t="shared" si="56"/>
        <v>6265</v>
      </c>
      <c r="M181" s="10">
        <v>5</v>
      </c>
      <c r="N181" s="30">
        <v>45785</v>
      </c>
      <c r="O181" s="31">
        <f t="shared" si="62"/>
        <v>4650</v>
      </c>
      <c r="P181" s="32">
        <f>4382+66.5</f>
        <v>4448.5</v>
      </c>
      <c r="Q181" s="32"/>
      <c r="R181" s="32"/>
      <c r="S181" s="32">
        <f t="shared" si="57"/>
        <v>4448.5</v>
      </c>
      <c r="T181" s="12"/>
      <c r="U181" s="12"/>
      <c r="V181" s="12"/>
      <c r="W181" s="12">
        <f t="shared" si="58"/>
        <v>4448.5</v>
      </c>
      <c r="Y181" s="10">
        <v>5</v>
      </c>
      <c r="Z181" s="30">
        <v>45785</v>
      </c>
      <c r="AA181" s="31">
        <f t="shared" si="63"/>
        <v>4855</v>
      </c>
      <c r="AB181" s="32">
        <f>626+1228+596+19</f>
        <v>2469</v>
      </c>
      <c r="AC181" s="32"/>
      <c r="AD181" s="32"/>
      <c r="AE181" s="32">
        <f t="shared" si="59"/>
        <v>2469</v>
      </c>
      <c r="AF181" s="12"/>
      <c r="AG181" s="12">
        <v>11</v>
      </c>
      <c r="AH181" s="12"/>
      <c r="AI181" s="12">
        <f t="shared" si="60"/>
        <v>2480</v>
      </c>
      <c r="AK181" s="62"/>
      <c r="AL181" s="66"/>
      <c r="AM181" s="63"/>
      <c r="AN181" s="116"/>
      <c r="AO181" s="116"/>
      <c r="AP181" s="63"/>
      <c r="AQ181" s="62"/>
      <c r="AR181" s="116"/>
      <c r="AS181" s="116"/>
      <c r="AT181" s="115"/>
      <c r="AU181" s="62"/>
      <c r="AV181" s="62"/>
      <c r="AW181" s="62"/>
      <c r="AX181" s="62"/>
      <c r="AY181" s="62"/>
      <c r="AZ181" s="62"/>
    </row>
    <row r="182" spans="1:52" x14ac:dyDescent="0.25">
      <c r="A182" s="10">
        <v>6</v>
      </c>
      <c r="B182" s="30">
        <v>45785</v>
      </c>
      <c r="C182" s="31">
        <f t="shared" si="61"/>
        <v>4956</v>
      </c>
      <c r="D182" s="32">
        <f>2504+38</f>
        <v>2542</v>
      </c>
      <c r="E182" s="32"/>
      <c r="F182" s="32"/>
      <c r="G182" s="32">
        <f t="shared" si="55"/>
        <v>2542</v>
      </c>
      <c r="H182" s="12"/>
      <c r="I182" s="12"/>
      <c r="J182" s="12"/>
      <c r="K182" s="12">
        <f t="shared" si="56"/>
        <v>2542</v>
      </c>
      <c r="M182" s="10">
        <v>6</v>
      </c>
      <c r="N182" s="30">
        <v>45785</v>
      </c>
      <c r="O182" s="31">
        <v>4901</v>
      </c>
      <c r="P182" s="32">
        <f>9390+2980+190</f>
        <v>12560</v>
      </c>
      <c r="Q182" s="32"/>
      <c r="R182" s="32"/>
      <c r="S182" s="32">
        <f t="shared" si="57"/>
        <v>12560</v>
      </c>
      <c r="T182" s="12"/>
      <c r="U182" s="12"/>
      <c r="V182" s="10"/>
      <c r="W182" s="12">
        <f t="shared" si="58"/>
        <v>12560</v>
      </c>
      <c r="Y182" s="10">
        <v>6</v>
      </c>
      <c r="Z182" s="30">
        <v>45785</v>
      </c>
      <c r="AA182" s="31">
        <f t="shared" si="63"/>
        <v>4856</v>
      </c>
      <c r="AB182" s="32">
        <f>12520+614+674+2980+832+229</f>
        <v>17849</v>
      </c>
      <c r="AC182" s="32"/>
      <c r="AD182" s="32"/>
      <c r="AE182" s="32">
        <f t="shared" si="59"/>
        <v>17849</v>
      </c>
      <c r="AF182" s="12"/>
      <c r="AG182" s="12">
        <v>25</v>
      </c>
      <c r="AH182" s="10"/>
      <c r="AI182" s="12">
        <f t="shared" si="60"/>
        <v>17874</v>
      </c>
      <c r="AK182" s="62"/>
      <c r="AL182" s="63"/>
      <c r="AM182" s="63"/>
      <c r="AN182" s="63"/>
      <c r="AO182" s="67"/>
      <c r="AP182" s="67"/>
      <c r="AQ182" s="62"/>
      <c r="AR182" s="67"/>
      <c r="AS182" s="67"/>
      <c r="AT182" s="115"/>
      <c r="AU182" s="62"/>
      <c r="AV182" s="62"/>
      <c r="AW182" s="62"/>
      <c r="AX182" s="62"/>
      <c r="AY182" s="62"/>
      <c r="AZ182" s="62"/>
    </row>
    <row r="183" spans="1:52" x14ac:dyDescent="0.25">
      <c r="A183" s="10">
        <v>7</v>
      </c>
      <c r="B183" s="30">
        <v>45785</v>
      </c>
      <c r="C183" s="31">
        <f t="shared" si="61"/>
        <v>4957</v>
      </c>
      <c r="D183" s="32">
        <f>626+10</f>
        <v>636</v>
      </c>
      <c r="E183" s="32"/>
      <c r="F183" s="32"/>
      <c r="G183" s="32">
        <f t="shared" si="55"/>
        <v>636</v>
      </c>
      <c r="H183" s="12"/>
      <c r="I183" s="12"/>
      <c r="J183" s="12"/>
      <c r="K183" s="12">
        <f t="shared" si="56"/>
        <v>636</v>
      </c>
      <c r="M183" s="10">
        <v>7</v>
      </c>
      <c r="N183" s="30">
        <v>45785</v>
      </c>
      <c r="O183" s="31">
        <f t="shared" si="62"/>
        <v>4902</v>
      </c>
      <c r="P183" s="32">
        <f>106420+17880+1832</f>
        <v>126132</v>
      </c>
      <c r="Q183" s="32">
        <v>-1872</v>
      </c>
      <c r="R183" s="32"/>
      <c r="S183" s="32">
        <f t="shared" si="57"/>
        <v>124260</v>
      </c>
      <c r="T183" s="12"/>
      <c r="U183" s="12">
        <v>234</v>
      </c>
      <c r="V183" s="12">
        <f>-120+-5883+-252+-252</f>
        <v>-6507</v>
      </c>
      <c r="W183" s="12">
        <f t="shared" si="58"/>
        <v>117987</v>
      </c>
      <c r="Y183" s="10">
        <v>7</v>
      </c>
      <c r="Z183" s="30">
        <v>45785</v>
      </c>
      <c r="AA183" s="31">
        <f t="shared" si="63"/>
        <v>4857</v>
      </c>
      <c r="AB183" s="32">
        <f>4382+674+66</f>
        <v>5122</v>
      </c>
      <c r="AC183" s="32"/>
      <c r="AD183" s="32"/>
      <c r="AE183" s="32">
        <f t="shared" si="59"/>
        <v>5122</v>
      </c>
      <c r="AF183" s="12"/>
      <c r="AG183" s="58"/>
      <c r="AH183" s="12"/>
      <c r="AI183" s="12">
        <f t="shared" si="60"/>
        <v>5122</v>
      </c>
      <c r="AK183" s="62"/>
      <c r="AL183" s="68"/>
      <c r="AM183" s="63"/>
      <c r="AN183" s="60"/>
      <c r="AO183" s="60"/>
      <c r="AP183" s="60"/>
      <c r="AQ183" s="61"/>
      <c r="AR183" s="61"/>
      <c r="AS183" s="61"/>
      <c r="AT183" s="61"/>
      <c r="AU183" s="62"/>
      <c r="AV183" s="62"/>
      <c r="AW183" s="62"/>
      <c r="AX183" s="62"/>
      <c r="AY183" s="62"/>
      <c r="AZ183" s="62"/>
    </row>
    <row r="184" spans="1:52" x14ac:dyDescent="0.25">
      <c r="A184" s="10">
        <v>8</v>
      </c>
      <c r="B184" s="30">
        <v>45785</v>
      </c>
      <c r="C184" s="31">
        <f t="shared" si="61"/>
        <v>4958</v>
      </c>
      <c r="D184" s="32">
        <f>2504+38</f>
        <v>2542</v>
      </c>
      <c r="E184" s="32"/>
      <c r="F184" s="32"/>
      <c r="G184" s="32">
        <f t="shared" si="55"/>
        <v>2542</v>
      </c>
      <c r="H184" s="12"/>
      <c r="I184" s="12"/>
      <c r="J184" s="12"/>
      <c r="K184" s="12">
        <f t="shared" si="56"/>
        <v>2542</v>
      </c>
      <c r="M184" s="10">
        <v>8</v>
      </c>
      <c r="N184" s="30"/>
      <c r="O184" s="11" t="s">
        <v>28</v>
      </c>
      <c r="P184" s="32"/>
      <c r="Q184" s="32"/>
      <c r="R184" s="32"/>
      <c r="S184" s="32">
        <f t="shared" si="57"/>
        <v>0</v>
      </c>
      <c r="T184" s="12"/>
      <c r="U184" s="12"/>
      <c r="V184" s="12"/>
      <c r="W184" s="12">
        <f t="shared" si="58"/>
        <v>0</v>
      </c>
      <c r="Y184" s="10">
        <v>8</v>
      </c>
      <c r="Z184" s="30">
        <v>45785</v>
      </c>
      <c r="AA184" s="31">
        <f t="shared" si="63"/>
        <v>4858</v>
      </c>
      <c r="AB184" s="32">
        <f>626+9.5</f>
        <v>635.5</v>
      </c>
      <c r="AC184" s="32"/>
      <c r="AE184" s="32">
        <f t="shared" si="59"/>
        <v>635.5</v>
      </c>
      <c r="AF184" s="12"/>
      <c r="AG184" s="12"/>
      <c r="AH184" s="12"/>
      <c r="AI184" s="12">
        <f t="shared" si="60"/>
        <v>635.5</v>
      </c>
      <c r="AK184" s="62"/>
      <c r="AL184" s="68"/>
      <c r="AM184" s="63"/>
      <c r="AN184" s="60"/>
      <c r="AO184" s="60"/>
      <c r="AP184" s="60"/>
      <c r="AQ184" s="61"/>
      <c r="AR184" s="61"/>
      <c r="AS184" s="61"/>
      <c r="AT184" s="61"/>
      <c r="AU184" s="62"/>
      <c r="AV184" s="62"/>
      <c r="AW184" s="62"/>
      <c r="AX184" s="62"/>
      <c r="AY184" s="62"/>
      <c r="AZ184" s="62"/>
    </row>
    <row r="185" spans="1:52" x14ac:dyDescent="0.25">
      <c r="A185" s="10">
        <v>9</v>
      </c>
      <c r="B185" s="30">
        <v>45785</v>
      </c>
      <c r="C185" s="31">
        <f t="shared" si="61"/>
        <v>4959</v>
      </c>
      <c r="D185" s="32">
        <f>8138+124</f>
        <v>8262</v>
      </c>
      <c r="E185" s="32"/>
      <c r="F185" s="32"/>
      <c r="G185" s="32">
        <f t="shared" si="55"/>
        <v>8262</v>
      </c>
      <c r="H185" s="12"/>
      <c r="I185" s="12"/>
      <c r="J185" s="12"/>
      <c r="K185" s="12">
        <f t="shared" si="56"/>
        <v>8262</v>
      </c>
      <c r="M185" s="10">
        <v>9</v>
      </c>
      <c r="N185" s="30"/>
      <c r="O185" s="31"/>
      <c r="P185" s="32"/>
      <c r="Q185" s="32"/>
      <c r="R185" s="32"/>
      <c r="S185" s="32">
        <f t="shared" si="57"/>
        <v>0</v>
      </c>
      <c r="T185" s="12"/>
      <c r="U185" s="12"/>
      <c r="V185" s="12"/>
      <c r="W185" s="12">
        <f t="shared" si="58"/>
        <v>0</v>
      </c>
      <c r="Y185" s="10">
        <v>9</v>
      </c>
      <c r="Z185" s="30">
        <v>45785</v>
      </c>
      <c r="AA185" s="31">
        <f t="shared" si="63"/>
        <v>4859</v>
      </c>
      <c r="AB185">
        <f>125200+3070+11920+1603</f>
        <v>141793</v>
      </c>
      <c r="AC185" s="32"/>
      <c r="AD185" s="32"/>
      <c r="AE185" s="32">
        <f t="shared" si="59"/>
        <v>141793</v>
      </c>
      <c r="AF185" s="12"/>
      <c r="AG185">
        <f>24975+546</f>
        <v>25521</v>
      </c>
      <c r="AH185" s="12"/>
      <c r="AI185" s="12">
        <f t="shared" si="60"/>
        <v>167314</v>
      </c>
      <c r="AK185" s="62"/>
      <c r="AL185" s="68"/>
      <c r="AM185" s="66"/>
      <c r="AN185" s="60"/>
      <c r="AO185" s="60"/>
      <c r="AP185" s="60"/>
      <c r="AQ185" s="61"/>
      <c r="AR185" s="61"/>
      <c r="AS185" s="61"/>
      <c r="AT185" s="61"/>
      <c r="AU185" s="62"/>
      <c r="AV185" s="62"/>
      <c r="AW185" s="62"/>
      <c r="AX185" s="62"/>
      <c r="AY185" s="62"/>
      <c r="AZ185" s="62"/>
    </row>
    <row r="186" spans="1:52" x14ac:dyDescent="0.25">
      <c r="A186" s="10">
        <v>10</v>
      </c>
      <c r="B186" s="30">
        <v>45785</v>
      </c>
      <c r="C186" s="31">
        <f t="shared" si="61"/>
        <v>4960</v>
      </c>
      <c r="D186" s="32">
        <f>11268+171</f>
        <v>11439</v>
      </c>
      <c r="E186" s="32"/>
      <c r="F186" s="32"/>
      <c r="G186" s="32">
        <f t="shared" si="55"/>
        <v>11439</v>
      </c>
      <c r="H186" s="12"/>
      <c r="I186" s="12"/>
      <c r="J186" s="12"/>
      <c r="K186" s="12">
        <f t="shared" si="56"/>
        <v>11439</v>
      </c>
      <c r="M186" s="10">
        <v>10</v>
      </c>
      <c r="N186" s="30"/>
      <c r="O186" s="31"/>
      <c r="P186" s="32"/>
      <c r="Q186" s="32"/>
      <c r="R186" s="32"/>
      <c r="S186" s="32">
        <f t="shared" si="57"/>
        <v>0</v>
      </c>
      <c r="T186" s="12"/>
      <c r="U186" s="12"/>
      <c r="V186" s="12"/>
      <c r="W186" s="12">
        <f t="shared" si="58"/>
        <v>0</v>
      </c>
      <c r="Y186" s="10">
        <v>10</v>
      </c>
      <c r="Z186" s="30">
        <v>45785</v>
      </c>
      <c r="AA186" s="31">
        <f t="shared" si="63"/>
        <v>4860</v>
      </c>
      <c r="AB186" s="32">
        <f>3756+750+2080+57+5200</f>
        <v>11843</v>
      </c>
      <c r="AC186" s="32"/>
      <c r="AD186" s="32"/>
      <c r="AE186" s="32">
        <f t="shared" si="59"/>
        <v>11843</v>
      </c>
      <c r="AF186" s="12"/>
      <c r="AG186" s="12"/>
      <c r="AH186" s="12"/>
      <c r="AI186" s="12">
        <f t="shared" si="60"/>
        <v>11843</v>
      </c>
      <c r="AK186" s="62"/>
      <c r="AL186" s="68"/>
      <c r="AM186" s="63"/>
      <c r="AN186" s="62"/>
      <c r="AO186" s="60"/>
      <c r="AP186" s="60"/>
      <c r="AQ186" s="61"/>
      <c r="AR186" s="62"/>
      <c r="AS186" s="61"/>
      <c r="AT186" s="61"/>
      <c r="AU186" s="62"/>
      <c r="AV186" s="62"/>
      <c r="AW186" s="62"/>
      <c r="AX186" s="62"/>
      <c r="AY186" s="62"/>
      <c r="AZ186" s="62"/>
    </row>
    <row r="187" spans="1:52" x14ac:dyDescent="0.25">
      <c r="A187" s="10">
        <v>11</v>
      </c>
      <c r="B187" s="30">
        <v>45785</v>
      </c>
      <c r="C187" s="31">
        <f t="shared" si="61"/>
        <v>4961</v>
      </c>
      <c r="D187" s="32">
        <f>1252+19</f>
        <v>1271</v>
      </c>
      <c r="E187" s="32"/>
      <c r="F187" s="32"/>
      <c r="G187" s="32">
        <f t="shared" si="55"/>
        <v>1271</v>
      </c>
      <c r="H187" s="12"/>
      <c r="I187" s="12"/>
      <c r="J187" s="12"/>
      <c r="K187" s="12">
        <f t="shared" si="56"/>
        <v>1271</v>
      </c>
      <c r="M187" s="10">
        <v>11</v>
      </c>
      <c r="N187" s="30"/>
      <c r="O187" s="31"/>
      <c r="P187" s="32"/>
      <c r="Q187" s="32"/>
      <c r="R187" s="32"/>
      <c r="S187" s="32">
        <f t="shared" si="57"/>
        <v>0</v>
      </c>
      <c r="T187" s="12"/>
      <c r="U187" s="12"/>
      <c r="V187" s="12"/>
      <c r="W187" s="12">
        <f t="shared" si="58"/>
        <v>0</v>
      </c>
      <c r="Y187" s="10">
        <v>11</v>
      </c>
      <c r="Z187" s="30">
        <v>45785</v>
      </c>
      <c r="AA187" s="31">
        <f t="shared" si="63"/>
        <v>4861</v>
      </c>
      <c r="AB187" s="32">
        <f>3370</f>
        <v>3370</v>
      </c>
      <c r="AC187" s="32"/>
      <c r="AD187" s="32"/>
      <c r="AE187" s="32">
        <f t="shared" si="59"/>
        <v>3370</v>
      </c>
      <c r="AF187" s="12"/>
      <c r="AG187" s="12"/>
      <c r="AH187" s="12"/>
      <c r="AI187" s="12">
        <f t="shared" si="60"/>
        <v>3370</v>
      </c>
      <c r="AK187" s="62"/>
      <c r="AL187" s="68"/>
      <c r="AM187" s="63"/>
      <c r="AN187" s="60"/>
      <c r="AO187" s="60"/>
      <c r="AP187" s="60"/>
      <c r="AQ187" s="61"/>
      <c r="AR187" s="61"/>
      <c r="AS187" s="61"/>
      <c r="AT187" s="61"/>
      <c r="AU187" s="62"/>
      <c r="AV187" s="62"/>
      <c r="AW187" s="62"/>
      <c r="AX187" s="62"/>
      <c r="AY187" s="62"/>
      <c r="AZ187" s="62"/>
    </row>
    <row r="188" spans="1:52" x14ac:dyDescent="0.25">
      <c r="A188" s="10">
        <v>12</v>
      </c>
      <c r="B188" s="30">
        <v>45785</v>
      </c>
      <c r="C188" s="31">
        <f t="shared" si="61"/>
        <v>4962</v>
      </c>
      <c r="D188" s="32">
        <f>2504+38</f>
        <v>2542</v>
      </c>
      <c r="E188" s="32"/>
      <c r="F188" s="32"/>
      <c r="G188" s="32">
        <f t="shared" si="55"/>
        <v>2542</v>
      </c>
      <c r="H188" s="12"/>
      <c r="I188" s="12"/>
      <c r="J188" s="10"/>
      <c r="K188" s="12">
        <f t="shared" si="56"/>
        <v>2542</v>
      </c>
      <c r="M188" s="10">
        <v>12</v>
      </c>
      <c r="N188" s="30"/>
      <c r="O188" s="31"/>
      <c r="P188" s="32"/>
      <c r="Q188" s="32"/>
      <c r="R188" s="32"/>
      <c r="S188" s="32">
        <f t="shared" si="57"/>
        <v>0</v>
      </c>
      <c r="T188" s="12"/>
      <c r="U188" s="12"/>
      <c r="V188" s="12"/>
      <c r="W188" s="12">
        <f t="shared" si="58"/>
        <v>0</v>
      </c>
      <c r="Y188" s="10">
        <v>12</v>
      </c>
      <c r="Z188" s="30"/>
      <c r="AA188" s="11" t="s">
        <v>28</v>
      </c>
      <c r="AB188" s="32"/>
      <c r="AC188" s="32"/>
      <c r="AD188" s="32"/>
      <c r="AE188" s="32">
        <f t="shared" si="59"/>
        <v>0</v>
      </c>
      <c r="AF188" s="12"/>
      <c r="AG188" s="12"/>
      <c r="AH188" s="12"/>
      <c r="AI188" s="12">
        <f t="shared" si="60"/>
        <v>0</v>
      </c>
      <c r="AK188" s="62"/>
      <c r="AL188" s="68"/>
      <c r="AM188" s="63"/>
      <c r="AN188" s="60"/>
      <c r="AO188" s="60"/>
      <c r="AP188" s="60"/>
      <c r="AQ188" s="61"/>
      <c r="AR188" s="61"/>
      <c r="AS188" s="62"/>
      <c r="AT188" s="61"/>
      <c r="AU188" s="62"/>
      <c r="AV188" s="62"/>
      <c r="AW188" s="62"/>
      <c r="AX188" s="62"/>
      <c r="AY188" s="62"/>
      <c r="AZ188" s="62"/>
    </row>
    <row r="189" spans="1:52" x14ac:dyDescent="0.25">
      <c r="A189" s="10">
        <v>13</v>
      </c>
      <c r="B189" s="30">
        <v>45785</v>
      </c>
      <c r="C189" s="31">
        <f t="shared" si="61"/>
        <v>4963</v>
      </c>
      <c r="D189" s="32">
        <f>4382+67</f>
        <v>4449</v>
      </c>
      <c r="E189" s="32"/>
      <c r="F189" s="32"/>
      <c r="G189" s="32">
        <f t="shared" si="55"/>
        <v>4449</v>
      </c>
      <c r="H189" s="12"/>
      <c r="I189" s="12"/>
      <c r="J189" s="12"/>
      <c r="K189" s="12">
        <f t="shared" si="56"/>
        <v>4449</v>
      </c>
      <c r="M189" s="10">
        <v>13</v>
      </c>
      <c r="N189" s="30"/>
      <c r="O189" s="31"/>
      <c r="P189" s="32"/>
      <c r="Q189" s="32"/>
      <c r="R189" s="32"/>
      <c r="S189" s="32">
        <f t="shared" si="57"/>
        <v>0</v>
      </c>
      <c r="T189" s="12"/>
      <c r="U189" s="12"/>
      <c r="V189" s="12"/>
      <c r="W189" s="12">
        <f t="shared" si="58"/>
        <v>0</v>
      </c>
      <c r="Y189" s="10">
        <v>13</v>
      </c>
      <c r="Z189" s="30"/>
      <c r="AA189" s="31"/>
      <c r="AB189" s="32"/>
      <c r="AC189" s="32"/>
      <c r="AD189" s="32"/>
      <c r="AE189" s="32">
        <f t="shared" si="59"/>
        <v>0</v>
      </c>
      <c r="AF189" s="12"/>
      <c r="AG189" s="12"/>
      <c r="AH189" s="12"/>
      <c r="AI189" s="12">
        <f t="shared" si="60"/>
        <v>0</v>
      </c>
      <c r="AK189" s="62"/>
      <c r="AL189" s="68"/>
      <c r="AM189" s="63"/>
      <c r="AN189" s="60"/>
      <c r="AO189" s="60"/>
      <c r="AP189" s="60"/>
      <c r="AQ189" s="61"/>
      <c r="AR189" s="61"/>
      <c r="AS189" s="61"/>
      <c r="AT189" s="61"/>
      <c r="AU189" s="62"/>
      <c r="AV189" s="62"/>
      <c r="AW189" s="62"/>
      <c r="AX189" s="62"/>
      <c r="AY189" s="62"/>
      <c r="AZ189" s="62"/>
    </row>
    <row r="190" spans="1:52" x14ac:dyDescent="0.25">
      <c r="A190" s="10">
        <v>14</v>
      </c>
      <c r="B190" s="30">
        <v>45785</v>
      </c>
      <c r="C190" s="31">
        <f t="shared" si="61"/>
        <v>4964</v>
      </c>
      <c r="D190" s="32">
        <f>5634+614+1788+124</f>
        <v>8160</v>
      </c>
      <c r="E190" s="32"/>
      <c r="F190" s="32"/>
      <c r="G190" s="32">
        <f t="shared" si="55"/>
        <v>8160</v>
      </c>
      <c r="H190" s="12"/>
      <c r="I190" s="12"/>
      <c r="J190" s="12"/>
      <c r="K190" s="12">
        <f t="shared" si="56"/>
        <v>8160</v>
      </c>
      <c r="M190" s="10">
        <v>14</v>
      </c>
      <c r="N190" s="30"/>
      <c r="O190" s="31"/>
      <c r="P190" s="32"/>
      <c r="Q190" s="32"/>
      <c r="R190" s="32"/>
      <c r="S190" s="32">
        <f t="shared" si="57"/>
        <v>0</v>
      </c>
      <c r="T190" s="12"/>
      <c r="U190" s="12"/>
      <c r="V190" s="12"/>
      <c r="W190" s="12">
        <f t="shared" si="58"/>
        <v>0</v>
      </c>
      <c r="Y190" s="10">
        <v>14</v>
      </c>
      <c r="Z190" s="30"/>
      <c r="AA190" s="31"/>
      <c r="AB190" s="32"/>
      <c r="AC190" s="32"/>
      <c r="AD190" s="32"/>
      <c r="AE190" s="32">
        <f t="shared" si="59"/>
        <v>0</v>
      </c>
      <c r="AF190" s="12"/>
      <c r="AG190" s="12"/>
      <c r="AH190" s="12"/>
      <c r="AI190" s="12">
        <f t="shared" si="60"/>
        <v>0</v>
      </c>
      <c r="AK190" s="62"/>
      <c r="AL190" s="68"/>
      <c r="AM190" s="62"/>
      <c r="AN190" s="60"/>
      <c r="AO190" s="62"/>
      <c r="AP190" s="60"/>
      <c r="AQ190" s="61"/>
      <c r="AR190" s="61"/>
      <c r="AS190" s="61"/>
      <c r="AT190" s="61"/>
      <c r="AU190" s="62"/>
      <c r="AV190" s="62"/>
      <c r="AW190" s="62"/>
      <c r="AX190" s="62"/>
      <c r="AY190" s="62"/>
      <c r="AZ190" s="62"/>
    </row>
    <row r="191" spans="1:52" x14ac:dyDescent="0.25">
      <c r="A191" s="10">
        <v>15</v>
      </c>
      <c r="B191" s="30">
        <v>45785</v>
      </c>
      <c r="C191" s="31">
        <f t="shared" si="61"/>
        <v>4965</v>
      </c>
      <c r="D191" s="32">
        <f>28796+458</f>
        <v>29254</v>
      </c>
      <c r="E191" s="32"/>
      <c r="F191" s="32"/>
      <c r="G191" s="32">
        <f t="shared" si="55"/>
        <v>29254</v>
      </c>
      <c r="H191" s="12"/>
      <c r="I191" s="12"/>
      <c r="J191" s="12"/>
      <c r="K191" s="12">
        <f t="shared" si="56"/>
        <v>29254</v>
      </c>
      <c r="M191" s="10">
        <v>15</v>
      </c>
      <c r="N191" s="30"/>
      <c r="O191" s="31"/>
      <c r="R191" s="32"/>
      <c r="S191" s="32">
        <f t="shared" si="57"/>
        <v>0</v>
      </c>
      <c r="T191" s="12"/>
      <c r="W191" s="12">
        <f t="shared" si="58"/>
        <v>0</v>
      </c>
      <c r="Y191" s="10">
        <v>15</v>
      </c>
      <c r="Z191" s="30"/>
      <c r="AA191" s="31"/>
      <c r="AB191" s="32"/>
      <c r="AC191" s="32"/>
      <c r="AD191" s="32"/>
      <c r="AE191" s="32">
        <f t="shared" si="59"/>
        <v>0</v>
      </c>
      <c r="AF191" s="12"/>
      <c r="AG191" s="12"/>
      <c r="AH191" s="12"/>
      <c r="AI191" s="12">
        <f t="shared" si="60"/>
        <v>0</v>
      </c>
      <c r="AK191" s="62"/>
      <c r="AL191" s="68"/>
      <c r="AM191" s="63"/>
      <c r="AN191" s="62"/>
      <c r="AO191" s="60"/>
      <c r="AP191" s="60"/>
      <c r="AQ191" s="61"/>
      <c r="AR191" s="62"/>
      <c r="AS191" s="61"/>
      <c r="AT191" s="61"/>
      <c r="AU191" s="62"/>
      <c r="AV191" s="62"/>
      <c r="AW191" s="62"/>
      <c r="AX191" s="62"/>
      <c r="AY191" s="62"/>
      <c r="AZ191" s="62"/>
    </row>
    <row r="192" spans="1:52" x14ac:dyDescent="0.25">
      <c r="A192" s="10">
        <v>16</v>
      </c>
      <c r="B192" s="30">
        <v>45785</v>
      </c>
      <c r="C192" s="31">
        <f t="shared" si="61"/>
        <v>4966</v>
      </c>
      <c r="D192" s="32">
        <f>1252+19</f>
        <v>1271</v>
      </c>
      <c r="E192" s="32"/>
      <c r="F192" s="32"/>
      <c r="G192" s="32">
        <f t="shared" si="55"/>
        <v>1271</v>
      </c>
      <c r="H192" s="12"/>
      <c r="I192" s="12"/>
      <c r="J192" s="12"/>
      <c r="K192" s="12">
        <f t="shared" si="56"/>
        <v>1271</v>
      </c>
      <c r="M192" s="10">
        <v>16</v>
      </c>
      <c r="N192" s="30"/>
      <c r="O192" s="31"/>
      <c r="P192" s="32"/>
      <c r="Q192" s="32"/>
      <c r="R192" s="32"/>
      <c r="S192" s="32">
        <f>SUM(P192:Q192)</f>
        <v>0</v>
      </c>
      <c r="T192" s="12"/>
      <c r="U192" s="12"/>
      <c r="V192" s="12"/>
      <c r="W192" s="12">
        <f>SUM(S192:V192)</f>
        <v>0</v>
      </c>
      <c r="Y192" s="10">
        <v>16</v>
      </c>
      <c r="Z192" s="30"/>
      <c r="AA192" s="31"/>
      <c r="AB192" s="32"/>
      <c r="AC192" s="32"/>
      <c r="AD192" s="32"/>
      <c r="AE192" s="32">
        <f t="shared" si="59"/>
        <v>0</v>
      </c>
      <c r="AF192" s="12"/>
      <c r="AG192" s="12"/>
      <c r="AH192" s="12"/>
      <c r="AI192" s="12">
        <f t="shared" si="60"/>
        <v>0</v>
      </c>
      <c r="AK192" s="62"/>
      <c r="AL192" s="68"/>
      <c r="AM192" s="63"/>
      <c r="AN192" s="60"/>
      <c r="AO192" s="60"/>
      <c r="AP192" s="60"/>
      <c r="AQ192" s="61"/>
      <c r="AR192" s="61"/>
      <c r="AS192" s="61"/>
      <c r="AT192" s="61"/>
      <c r="AU192" s="62"/>
      <c r="AV192" s="62"/>
      <c r="AW192" s="62"/>
      <c r="AX192" s="62"/>
      <c r="AY192" s="62"/>
      <c r="AZ192" s="62"/>
    </row>
    <row r="193" spans="1:52" x14ac:dyDescent="0.25">
      <c r="A193" s="10">
        <v>17</v>
      </c>
      <c r="B193" s="30">
        <v>45785</v>
      </c>
      <c r="C193" s="31">
        <f t="shared" si="61"/>
        <v>4967</v>
      </c>
      <c r="D193" s="32">
        <f>1878+29</f>
        <v>1907</v>
      </c>
      <c r="E193" s="32"/>
      <c r="F193" s="32"/>
      <c r="G193" s="32">
        <f t="shared" si="55"/>
        <v>1907</v>
      </c>
      <c r="H193" s="12"/>
      <c r="I193" s="12"/>
      <c r="J193" s="12"/>
      <c r="K193" s="12">
        <f t="shared" si="56"/>
        <v>1907</v>
      </c>
      <c r="M193" s="10">
        <v>17</v>
      </c>
      <c r="N193" s="30"/>
      <c r="P193" s="35"/>
      <c r="Q193" s="32"/>
      <c r="R193" s="32"/>
      <c r="S193" s="32">
        <f t="shared" ref="S193:S209" si="64">SUM(P193:Q193)</f>
        <v>0</v>
      </c>
      <c r="T193" s="12"/>
      <c r="U193" s="12"/>
      <c r="V193" s="12"/>
      <c r="W193" s="12">
        <f t="shared" ref="W193:W209" si="65">SUM(S193:V193)</f>
        <v>0</v>
      </c>
      <c r="Y193" s="10">
        <v>17</v>
      </c>
      <c r="Z193" s="30"/>
      <c r="AA193" s="31"/>
      <c r="AB193" s="35"/>
      <c r="AC193" s="32"/>
      <c r="AD193" s="32"/>
      <c r="AE193" s="32">
        <f t="shared" si="59"/>
        <v>0</v>
      </c>
      <c r="AF193" s="12"/>
      <c r="AG193" s="12"/>
      <c r="AH193" s="12"/>
      <c r="AI193" s="12">
        <f t="shared" si="60"/>
        <v>0</v>
      </c>
      <c r="AK193" s="62"/>
      <c r="AL193" s="68"/>
      <c r="AM193" s="63"/>
      <c r="AN193" s="60"/>
      <c r="AO193" s="60"/>
      <c r="AP193" s="60"/>
      <c r="AQ193" s="61"/>
      <c r="AR193" s="61"/>
      <c r="AS193" s="61"/>
      <c r="AT193" s="61"/>
      <c r="AU193" s="62"/>
      <c r="AV193" s="62"/>
      <c r="AW193" s="62"/>
      <c r="AX193" s="62"/>
      <c r="AY193" s="62"/>
      <c r="AZ193" s="62"/>
    </row>
    <row r="194" spans="1:52" x14ac:dyDescent="0.25">
      <c r="A194" s="10">
        <v>18</v>
      </c>
      <c r="B194" s="30">
        <v>45785</v>
      </c>
      <c r="C194" s="31">
        <f t="shared" si="61"/>
        <v>4968</v>
      </c>
      <c r="D194" s="32">
        <f>42568+5960+458</f>
        <v>48986</v>
      </c>
      <c r="E194" s="32"/>
      <c r="F194" s="32"/>
      <c r="G194" s="32">
        <f t="shared" si="55"/>
        <v>48986</v>
      </c>
      <c r="H194" s="12"/>
      <c r="I194" s="12"/>
      <c r="J194" s="12"/>
      <c r="K194" s="12">
        <f t="shared" si="56"/>
        <v>48986</v>
      </c>
      <c r="M194" s="10">
        <v>18</v>
      </c>
      <c r="N194" s="30"/>
      <c r="O194" s="31"/>
      <c r="P194" s="32"/>
      <c r="Q194" s="32"/>
      <c r="R194" s="32"/>
      <c r="S194" s="32">
        <f t="shared" si="64"/>
        <v>0</v>
      </c>
      <c r="T194" s="12"/>
      <c r="U194" s="12"/>
      <c r="V194" s="12"/>
      <c r="W194" s="12">
        <f t="shared" si="65"/>
        <v>0</v>
      </c>
      <c r="Y194" s="10">
        <v>18</v>
      </c>
      <c r="Z194" s="30"/>
      <c r="AA194" s="31"/>
      <c r="AB194" s="32"/>
      <c r="AC194" s="32"/>
      <c r="AD194" s="32"/>
      <c r="AE194" s="32">
        <f t="shared" si="59"/>
        <v>0</v>
      </c>
      <c r="AF194" s="12"/>
      <c r="AG194" s="12"/>
      <c r="AH194" s="12"/>
      <c r="AI194" s="12">
        <f t="shared" si="60"/>
        <v>0</v>
      </c>
      <c r="AK194" s="62"/>
      <c r="AL194" s="68"/>
      <c r="AM194" s="63"/>
      <c r="AN194" s="60"/>
      <c r="AO194" s="60"/>
      <c r="AP194" s="60"/>
      <c r="AQ194" s="61"/>
      <c r="AR194" s="61"/>
      <c r="AS194" s="61"/>
      <c r="AT194" s="61"/>
      <c r="AU194" s="62"/>
      <c r="AV194" s="62"/>
      <c r="AW194" s="62"/>
      <c r="AX194" s="62"/>
      <c r="AY194" s="62"/>
      <c r="AZ194" s="62"/>
    </row>
    <row r="195" spans="1:52" x14ac:dyDescent="0.25">
      <c r="A195" s="10">
        <v>19</v>
      </c>
      <c r="B195" s="30">
        <v>45785</v>
      </c>
      <c r="C195" s="31">
        <f t="shared" si="61"/>
        <v>4969</v>
      </c>
      <c r="D195" s="32">
        <f>2504+38</f>
        <v>2542</v>
      </c>
      <c r="E195" s="32"/>
      <c r="F195" s="32"/>
      <c r="G195" s="32">
        <f t="shared" si="55"/>
        <v>2542</v>
      </c>
      <c r="H195" s="12"/>
      <c r="I195" s="12"/>
      <c r="J195" s="12"/>
      <c r="K195" s="12">
        <f t="shared" si="56"/>
        <v>2542</v>
      </c>
      <c r="M195" s="10">
        <v>19</v>
      </c>
      <c r="N195" s="30"/>
      <c r="O195" s="31"/>
      <c r="P195" s="32"/>
      <c r="Q195" s="32"/>
      <c r="R195" s="32"/>
      <c r="S195" s="32">
        <f t="shared" si="64"/>
        <v>0</v>
      </c>
      <c r="T195" s="12"/>
      <c r="U195" s="12"/>
      <c r="V195" s="12"/>
      <c r="W195" s="12">
        <f t="shared" si="65"/>
        <v>0</v>
      </c>
      <c r="Y195" s="10">
        <v>19</v>
      </c>
      <c r="Z195" s="30"/>
      <c r="AA195" s="31"/>
      <c r="AB195" s="32"/>
      <c r="AC195" s="32"/>
      <c r="AD195" s="32"/>
      <c r="AE195" s="32">
        <f t="shared" si="59"/>
        <v>0</v>
      </c>
      <c r="AF195" s="12"/>
      <c r="AG195" s="12"/>
      <c r="AH195" s="12"/>
      <c r="AI195" s="12">
        <f t="shared" si="60"/>
        <v>0</v>
      </c>
      <c r="AK195" s="62"/>
      <c r="AL195" s="68"/>
      <c r="AM195" s="63"/>
      <c r="AN195" s="60"/>
      <c r="AO195" s="60"/>
      <c r="AP195" s="60"/>
      <c r="AQ195" s="61"/>
      <c r="AR195" s="61"/>
      <c r="AS195" s="61"/>
      <c r="AT195" s="61"/>
      <c r="AU195" s="62"/>
      <c r="AV195" s="62"/>
      <c r="AW195" s="62"/>
      <c r="AX195" s="62"/>
      <c r="AY195" s="62"/>
      <c r="AZ195" s="62"/>
    </row>
    <row r="196" spans="1:52" x14ac:dyDescent="0.25">
      <c r="A196" s="10">
        <v>20</v>
      </c>
      <c r="B196" s="30">
        <v>45785</v>
      </c>
      <c r="C196" s="31">
        <f t="shared" si="61"/>
        <v>4970</v>
      </c>
      <c r="D196" s="32">
        <f>62600+1228+6740+2980+852+2010+1664+2290+1000</f>
        <v>81364</v>
      </c>
      <c r="E196" s="32"/>
      <c r="F196" s="32"/>
      <c r="G196" s="32">
        <f t="shared" si="55"/>
        <v>81364</v>
      </c>
      <c r="H196" s="12"/>
      <c r="I196" s="12">
        <v>2442</v>
      </c>
      <c r="J196" s="12"/>
      <c r="K196" s="12">
        <f t="shared" si="56"/>
        <v>83806</v>
      </c>
      <c r="M196" s="10">
        <v>20</v>
      </c>
      <c r="N196" s="30"/>
      <c r="O196" s="31"/>
      <c r="P196" s="32"/>
      <c r="Q196" s="32"/>
      <c r="R196" s="32"/>
      <c r="S196" s="32">
        <f t="shared" si="64"/>
        <v>0</v>
      </c>
      <c r="T196" s="12"/>
      <c r="U196" s="12"/>
      <c r="V196" s="12"/>
      <c r="W196" s="12">
        <f t="shared" si="65"/>
        <v>0</v>
      </c>
      <c r="Y196" s="10">
        <v>20</v>
      </c>
      <c r="Z196" s="30"/>
      <c r="AA196" s="31"/>
      <c r="AB196" s="32"/>
      <c r="AC196" s="32"/>
      <c r="AD196" s="32"/>
      <c r="AE196" s="32">
        <f t="shared" si="59"/>
        <v>0</v>
      </c>
      <c r="AF196" s="12"/>
      <c r="AG196" s="12"/>
      <c r="AH196" s="12"/>
      <c r="AI196" s="12">
        <f t="shared" si="60"/>
        <v>0</v>
      </c>
      <c r="AK196" s="62"/>
      <c r="AL196" s="68"/>
      <c r="AM196" s="63"/>
      <c r="AN196" s="60"/>
      <c r="AO196" s="60"/>
      <c r="AP196" s="60"/>
      <c r="AQ196" s="61"/>
      <c r="AR196" s="61"/>
      <c r="AS196" s="61"/>
      <c r="AT196" s="61"/>
      <c r="AU196" s="62"/>
      <c r="AV196" s="62"/>
      <c r="AW196" s="62"/>
      <c r="AX196" s="62"/>
      <c r="AY196" s="62"/>
      <c r="AZ196" s="62"/>
    </row>
    <row r="197" spans="1:52" x14ac:dyDescent="0.25">
      <c r="A197" s="10">
        <v>21</v>
      </c>
      <c r="B197" s="30"/>
      <c r="C197" s="11" t="s">
        <v>28</v>
      </c>
      <c r="D197" s="32"/>
      <c r="E197" s="32"/>
      <c r="F197" s="32"/>
      <c r="G197" s="32">
        <f t="shared" si="55"/>
        <v>0</v>
      </c>
      <c r="H197" s="10"/>
      <c r="I197" s="10"/>
      <c r="J197" s="10"/>
      <c r="K197" s="12">
        <f t="shared" si="56"/>
        <v>0</v>
      </c>
      <c r="M197" s="10">
        <v>21</v>
      </c>
      <c r="N197" s="30"/>
      <c r="O197" s="31"/>
      <c r="P197" s="46"/>
      <c r="Q197" s="31"/>
      <c r="R197" s="31"/>
      <c r="S197" s="32">
        <f t="shared" si="64"/>
        <v>0</v>
      </c>
      <c r="T197" s="10"/>
      <c r="U197" s="10"/>
      <c r="V197" s="10"/>
      <c r="W197" s="12">
        <f t="shared" si="65"/>
        <v>0</v>
      </c>
      <c r="Y197" s="10">
        <v>21</v>
      </c>
      <c r="Z197" s="30"/>
      <c r="AB197" s="46"/>
      <c r="AC197" s="31"/>
      <c r="AD197" s="31"/>
      <c r="AE197" s="32">
        <f t="shared" si="59"/>
        <v>0</v>
      </c>
      <c r="AF197" s="10"/>
      <c r="AG197" s="10"/>
      <c r="AH197" s="10"/>
      <c r="AI197" s="12">
        <f t="shared" si="60"/>
        <v>0</v>
      </c>
      <c r="AK197" s="62"/>
      <c r="AL197" s="68"/>
      <c r="AM197" s="63"/>
      <c r="AN197" s="60"/>
      <c r="AO197" s="60"/>
      <c r="AP197" s="60"/>
      <c r="AQ197" s="61"/>
      <c r="AR197" s="61"/>
      <c r="AS197" s="61"/>
      <c r="AT197" s="61"/>
      <c r="AU197" s="62"/>
      <c r="AV197" s="62"/>
      <c r="AW197" s="62"/>
      <c r="AX197" s="62"/>
      <c r="AY197" s="62"/>
      <c r="AZ197" s="62"/>
    </row>
    <row r="198" spans="1:52" x14ac:dyDescent="0.25">
      <c r="A198" s="10">
        <v>22</v>
      </c>
      <c r="B198" s="30"/>
      <c r="C198" s="31"/>
      <c r="D198" s="32"/>
      <c r="E198" s="32"/>
      <c r="F198" s="32"/>
      <c r="G198" s="32">
        <f t="shared" si="55"/>
        <v>0</v>
      </c>
      <c r="H198" s="10"/>
      <c r="I198" s="10"/>
      <c r="J198" s="10"/>
      <c r="K198" s="12">
        <f t="shared" si="56"/>
        <v>0</v>
      </c>
      <c r="M198" s="10">
        <v>22</v>
      </c>
      <c r="N198" s="30"/>
      <c r="O198" s="31"/>
      <c r="P198" s="45"/>
      <c r="Q198" s="31"/>
      <c r="R198" s="31"/>
      <c r="S198" s="32">
        <f t="shared" si="64"/>
        <v>0</v>
      </c>
      <c r="T198" s="10"/>
      <c r="U198" s="10"/>
      <c r="V198" s="10"/>
      <c r="W198" s="12">
        <f t="shared" si="65"/>
        <v>0</v>
      </c>
      <c r="Y198" s="10">
        <v>22</v>
      </c>
      <c r="Z198" s="30"/>
      <c r="AB198" s="45"/>
      <c r="AC198" s="31"/>
      <c r="AD198" s="31"/>
      <c r="AE198" s="32">
        <f t="shared" si="59"/>
        <v>0</v>
      </c>
      <c r="AF198" s="10"/>
      <c r="AG198" s="10"/>
      <c r="AH198" s="10"/>
      <c r="AI198" s="12">
        <f t="shared" si="60"/>
        <v>0</v>
      </c>
      <c r="AK198" s="62"/>
      <c r="AL198" s="68"/>
      <c r="AM198" s="63"/>
      <c r="AN198" s="60"/>
      <c r="AO198" s="60"/>
      <c r="AP198" s="60"/>
      <c r="AQ198" s="61"/>
      <c r="AR198" s="61"/>
      <c r="AS198" s="61"/>
      <c r="AT198" s="61"/>
      <c r="AU198" s="62"/>
      <c r="AV198" s="62"/>
      <c r="AW198" s="62"/>
      <c r="AX198" s="62"/>
      <c r="AY198" s="62"/>
      <c r="AZ198" s="62"/>
    </row>
    <row r="199" spans="1:52" x14ac:dyDescent="0.25">
      <c r="A199" s="10">
        <v>23</v>
      </c>
      <c r="B199" s="30"/>
      <c r="C199" s="31"/>
      <c r="D199" s="32"/>
      <c r="E199" s="32"/>
      <c r="F199" s="32"/>
      <c r="G199" s="32">
        <f t="shared" si="55"/>
        <v>0</v>
      </c>
      <c r="H199" s="10"/>
      <c r="I199" s="10"/>
      <c r="J199" s="12"/>
      <c r="K199" s="12">
        <f t="shared" si="56"/>
        <v>0</v>
      </c>
      <c r="M199" s="10">
        <v>23</v>
      </c>
      <c r="N199" s="30"/>
      <c r="O199" s="31"/>
      <c r="P199" s="47"/>
      <c r="S199" s="32">
        <f t="shared" si="64"/>
        <v>0</v>
      </c>
      <c r="T199" s="10"/>
      <c r="U199" s="10"/>
      <c r="V199" s="10"/>
      <c r="W199" s="12">
        <f t="shared" si="65"/>
        <v>0</v>
      </c>
      <c r="Y199" s="10">
        <v>23</v>
      </c>
      <c r="Z199" s="30"/>
      <c r="AA199" s="31"/>
      <c r="AB199" s="47"/>
      <c r="AE199" s="32">
        <f t="shared" si="59"/>
        <v>0</v>
      </c>
      <c r="AF199" s="10"/>
      <c r="AG199" s="10"/>
      <c r="AH199" s="10"/>
      <c r="AI199" s="12">
        <f t="shared" si="60"/>
        <v>0</v>
      </c>
      <c r="AK199" s="62"/>
      <c r="AL199" s="68"/>
      <c r="AM199" s="63"/>
      <c r="AN199" s="60"/>
      <c r="AO199" s="60"/>
      <c r="AP199" s="60"/>
      <c r="AQ199" s="61"/>
      <c r="AR199" s="61"/>
      <c r="AS199" s="61"/>
      <c r="AT199" s="61"/>
      <c r="AU199" s="62"/>
      <c r="AV199" s="62"/>
      <c r="AW199" s="62"/>
      <c r="AX199" s="62"/>
      <c r="AY199" s="62"/>
      <c r="AZ199" s="62"/>
    </row>
    <row r="200" spans="1:52" x14ac:dyDescent="0.25">
      <c r="A200" s="10">
        <v>24</v>
      </c>
      <c r="B200" s="30"/>
      <c r="C200" s="31"/>
      <c r="D200" s="32"/>
      <c r="E200" s="32"/>
      <c r="F200" s="32"/>
      <c r="G200" s="32">
        <f t="shared" si="55"/>
        <v>0</v>
      </c>
      <c r="H200" s="10"/>
      <c r="I200" s="10"/>
      <c r="J200" s="10"/>
      <c r="K200" s="12">
        <f t="shared" si="56"/>
        <v>0</v>
      </c>
      <c r="M200" s="10">
        <v>24</v>
      </c>
      <c r="N200" s="30"/>
      <c r="O200" s="31"/>
      <c r="P200" s="47"/>
      <c r="Q200" s="31"/>
      <c r="R200" s="31"/>
      <c r="S200" s="32">
        <f t="shared" si="64"/>
        <v>0</v>
      </c>
      <c r="T200" s="10"/>
      <c r="U200" s="10"/>
      <c r="V200" s="10"/>
      <c r="W200" s="12">
        <f t="shared" si="65"/>
        <v>0</v>
      </c>
      <c r="Y200" s="10">
        <v>24</v>
      </c>
      <c r="Z200" s="30"/>
      <c r="AA200" s="31"/>
      <c r="AB200" s="47"/>
      <c r="AC200" s="31"/>
      <c r="AD200" s="31"/>
      <c r="AE200" s="32">
        <f t="shared" si="59"/>
        <v>0</v>
      </c>
      <c r="AF200" s="10"/>
      <c r="AG200" s="10"/>
      <c r="AH200" s="10"/>
      <c r="AI200" s="12">
        <f t="shared" si="60"/>
        <v>0</v>
      </c>
      <c r="AK200" s="62"/>
      <c r="AL200" s="68"/>
      <c r="AM200" s="63"/>
      <c r="AN200" s="60"/>
      <c r="AO200" s="60"/>
      <c r="AP200" s="60"/>
      <c r="AQ200" s="61"/>
      <c r="AR200" s="61"/>
      <c r="AS200" s="61"/>
      <c r="AT200" s="61"/>
      <c r="AU200" s="62"/>
      <c r="AV200" s="62"/>
      <c r="AW200" s="62"/>
      <c r="AX200" s="62"/>
      <c r="AY200" s="62"/>
      <c r="AZ200" s="62"/>
    </row>
    <row r="201" spans="1:52" x14ac:dyDescent="0.25">
      <c r="A201" s="10">
        <v>25</v>
      </c>
      <c r="B201" s="30"/>
      <c r="C201" s="31"/>
      <c r="D201" s="32"/>
      <c r="E201" s="32"/>
      <c r="F201" s="32"/>
      <c r="G201" s="32">
        <f t="shared" si="55"/>
        <v>0</v>
      </c>
      <c r="H201" s="10"/>
      <c r="I201" s="10"/>
      <c r="J201" s="10"/>
      <c r="K201" s="12">
        <f t="shared" si="56"/>
        <v>0</v>
      </c>
      <c r="M201" s="10">
        <v>25</v>
      </c>
      <c r="N201" s="30"/>
      <c r="O201" s="31"/>
      <c r="P201" s="47"/>
      <c r="Q201" s="31"/>
      <c r="R201" s="31"/>
      <c r="S201" s="32">
        <f t="shared" si="64"/>
        <v>0</v>
      </c>
      <c r="T201" s="10"/>
      <c r="U201" s="10"/>
      <c r="V201" s="10"/>
      <c r="W201" s="12">
        <f t="shared" si="65"/>
        <v>0</v>
      </c>
      <c r="Y201" s="10">
        <v>25</v>
      </c>
      <c r="Z201" s="30"/>
      <c r="AA201" s="31"/>
      <c r="AB201" s="47"/>
      <c r="AC201" s="31"/>
      <c r="AD201" s="31"/>
      <c r="AE201" s="32">
        <f t="shared" si="59"/>
        <v>0</v>
      </c>
      <c r="AF201" s="10"/>
      <c r="AG201" s="10"/>
      <c r="AH201" s="10"/>
      <c r="AI201" s="12">
        <f t="shared" si="60"/>
        <v>0</v>
      </c>
      <c r="AK201" s="62"/>
      <c r="AL201" s="68"/>
      <c r="AM201" s="63"/>
      <c r="AN201" s="60"/>
      <c r="AO201" s="60"/>
      <c r="AP201" s="60"/>
      <c r="AQ201" s="61"/>
      <c r="AR201" s="61"/>
      <c r="AS201" s="61"/>
      <c r="AT201" s="61"/>
      <c r="AU201" s="62"/>
      <c r="AV201" s="62"/>
      <c r="AW201" s="62"/>
      <c r="AX201" s="62"/>
      <c r="AY201" s="62"/>
      <c r="AZ201" s="62"/>
    </row>
    <row r="202" spans="1:52" x14ac:dyDescent="0.25">
      <c r="A202" s="10">
        <v>26</v>
      </c>
      <c r="B202" s="30"/>
      <c r="C202" s="31"/>
      <c r="D202" s="32"/>
      <c r="E202" s="32"/>
      <c r="F202" s="32"/>
      <c r="G202" s="32">
        <f t="shared" si="55"/>
        <v>0</v>
      </c>
      <c r="H202" s="10"/>
      <c r="I202" s="10"/>
      <c r="J202" s="10"/>
      <c r="K202" s="12">
        <f t="shared" si="56"/>
        <v>0</v>
      </c>
      <c r="M202" s="10">
        <v>26</v>
      </c>
      <c r="N202" s="30"/>
      <c r="O202" s="31"/>
      <c r="P202" s="47"/>
      <c r="Q202" s="31"/>
      <c r="R202" s="31"/>
      <c r="S202" s="32">
        <f t="shared" si="64"/>
        <v>0</v>
      </c>
      <c r="T202" s="10"/>
      <c r="U202" s="10"/>
      <c r="V202" s="10"/>
      <c r="W202" s="12">
        <f t="shared" si="65"/>
        <v>0</v>
      </c>
      <c r="Y202" s="10">
        <v>26</v>
      </c>
      <c r="Z202" s="30"/>
      <c r="AA202" s="31"/>
      <c r="AB202" s="47"/>
      <c r="AC202" s="31"/>
      <c r="AD202" s="31"/>
      <c r="AE202" s="32">
        <f t="shared" si="59"/>
        <v>0</v>
      </c>
      <c r="AF202" s="10"/>
      <c r="AG202" s="10"/>
      <c r="AH202" s="10"/>
      <c r="AI202" s="12">
        <f t="shared" si="60"/>
        <v>0</v>
      </c>
      <c r="AK202" s="62"/>
      <c r="AL202" s="68"/>
      <c r="AM202" s="63"/>
      <c r="AN202" s="60"/>
      <c r="AO202" s="60"/>
      <c r="AP202" s="60"/>
      <c r="AQ202" s="61"/>
      <c r="AR202" s="61"/>
      <c r="AS202" s="61"/>
      <c r="AT202" s="61"/>
      <c r="AU202" s="62"/>
      <c r="AV202" s="62"/>
      <c r="AW202" s="62"/>
      <c r="AX202" s="62"/>
      <c r="AY202" s="62"/>
      <c r="AZ202" s="62"/>
    </row>
    <row r="203" spans="1:52" x14ac:dyDescent="0.25">
      <c r="A203" s="10">
        <v>27</v>
      </c>
      <c r="B203" s="30"/>
      <c r="C203" s="31"/>
      <c r="D203" s="32"/>
      <c r="E203" s="32"/>
      <c r="F203" s="32"/>
      <c r="G203" s="32">
        <f t="shared" si="55"/>
        <v>0</v>
      </c>
      <c r="H203" s="10"/>
      <c r="I203" s="10"/>
      <c r="J203" s="10"/>
      <c r="K203" s="12">
        <f t="shared" si="56"/>
        <v>0</v>
      </c>
      <c r="M203" s="10">
        <v>27</v>
      </c>
      <c r="N203" s="30"/>
      <c r="O203" s="31"/>
      <c r="P203" s="47"/>
      <c r="Q203" s="31"/>
      <c r="R203" s="31"/>
      <c r="S203" s="32">
        <f t="shared" si="64"/>
        <v>0</v>
      </c>
      <c r="T203" s="10"/>
      <c r="U203" s="10"/>
      <c r="V203" s="10"/>
      <c r="W203" s="12">
        <f t="shared" si="65"/>
        <v>0</v>
      </c>
      <c r="Y203" s="10">
        <v>27</v>
      </c>
      <c r="Z203" s="30"/>
      <c r="AA203" s="31"/>
      <c r="AB203" s="47"/>
      <c r="AC203" s="31"/>
      <c r="AD203" s="31"/>
      <c r="AE203" s="32">
        <f t="shared" si="59"/>
        <v>0</v>
      </c>
      <c r="AF203" s="10"/>
      <c r="AG203" s="10"/>
      <c r="AH203" s="10"/>
      <c r="AI203" s="12">
        <f t="shared" si="60"/>
        <v>0</v>
      </c>
      <c r="AK203" s="62"/>
      <c r="AL203" s="68"/>
      <c r="AM203" s="63"/>
      <c r="AN203" s="69"/>
      <c r="AO203" s="63"/>
      <c r="AP203" s="60"/>
      <c r="AQ203" s="62"/>
      <c r="AR203" s="62"/>
      <c r="AS203" s="62"/>
      <c r="AT203" s="61"/>
      <c r="AU203" s="62"/>
      <c r="AV203" s="62"/>
      <c r="AW203" s="62"/>
      <c r="AX203" s="62"/>
      <c r="AY203" s="62"/>
      <c r="AZ203" s="62"/>
    </row>
    <row r="204" spans="1:52" x14ac:dyDescent="0.25">
      <c r="A204" s="10">
        <v>28</v>
      </c>
      <c r="B204" s="30"/>
      <c r="C204" s="31"/>
      <c r="D204" s="32"/>
      <c r="E204" s="32"/>
      <c r="F204" s="32"/>
      <c r="G204" s="32">
        <f t="shared" si="55"/>
        <v>0</v>
      </c>
      <c r="H204" s="10"/>
      <c r="I204" s="10"/>
      <c r="J204" s="10"/>
      <c r="K204" s="12">
        <f t="shared" si="56"/>
        <v>0</v>
      </c>
      <c r="M204" s="10">
        <v>28</v>
      </c>
      <c r="N204" s="30"/>
      <c r="O204" s="31"/>
      <c r="P204" s="47"/>
      <c r="Q204" s="31"/>
      <c r="R204" s="31"/>
      <c r="S204" s="32">
        <f t="shared" si="64"/>
        <v>0</v>
      </c>
      <c r="T204" s="10"/>
      <c r="U204" s="10"/>
      <c r="V204" s="10"/>
      <c r="W204" s="12">
        <f t="shared" si="65"/>
        <v>0</v>
      </c>
      <c r="Y204" s="10">
        <v>28</v>
      </c>
      <c r="Z204" s="30"/>
      <c r="AA204" s="31"/>
      <c r="AB204" s="47"/>
      <c r="AC204" s="31"/>
      <c r="AD204" s="31"/>
      <c r="AE204" s="32">
        <f t="shared" si="59"/>
        <v>0</v>
      </c>
      <c r="AF204" s="10"/>
      <c r="AG204" s="10"/>
      <c r="AH204" s="10"/>
      <c r="AI204" s="12">
        <f t="shared" si="60"/>
        <v>0</v>
      </c>
      <c r="AK204" s="62"/>
      <c r="AL204" s="68"/>
      <c r="AM204" s="63"/>
      <c r="AN204" s="70"/>
      <c r="AO204" s="63"/>
      <c r="AP204" s="60"/>
      <c r="AQ204" s="62"/>
      <c r="AR204" s="62"/>
      <c r="AS204" s="62"/>
      <c r="AT204" s="61"/>
      <c r="AU204" s="62"/>
      <c r="AV204" s="62"/>
      <c r="AW204" s="62"/>
      <c r="AX204" s="62"/>
      <c r="AY204" s="62"/>
      <c r="AZ204" s="62"/>
    </row>
    <row r="205" spans="1:52" x14ac:dyDescent="0.25">
      <c r="A205" s="10">
        <v>29</v>
      </c>
      <c r="B205" s="30"/>
      <c r="C205" s="31"/>
      <c r="D205" s="32"/>
      <c r="E205" s="32"/>
      <c r="F205" s="32"/>
      <c r="G205" s="32">
        <f t="shared" si="55"/>
        <v>0</v>
      </c>
      <c r="H205" s="10"/>
      <c r="I205" s="10"/>
      <c r="J205" s="10"/>
      <c r="K205" s="12">
        <f t="shared" si="56"/>
        <v>0</v>
      </c>
      <c r="M205" s="10">
        <v>29</v>
      </c>
      <c r="N205" s="30"/>
      <c r="O205" s="31"/>
      <c r="P205" s="47"/>
      <c r="Q205" s="31"/>
      <c r="R205" s="31"/>
      <c r="S205" s="32">
        <f t="shared" si="64"/>
        <v>0</v>
      </c>
      <c r="T205" s="10"/>
      <c r="U205" s="10"/>
      <c r="V205" s="10"/>
      <c r="W205" s="12">
        <f t="shared" si="65"/>
        <v>0</v>
      </c>
      <c r="Y205" s="10">
        <v>29</v>
      </c>
      <c r="Z205" s="30"/>
      <c r="AA205" s="31"/>
      <c r="AB205" s="47"/>
      <c r="AC205" s="31"/>
      <c r="AD205" s="31"/>
      <c r="AE205" s="32">
        <f t="shared" si="59"/>
        <v>0</v>
      </c>
      <c r="AF205" s="10"/>
      <c r="AG205" s="10"/>
      <c r="AH205" s="10"/>
      <c r="AI205" s="12">
        <f t="shared" si="60"/>
        <v>0</v>
      </c>
      <c r="AK205" s="62"/>
      <c r="AL205" s="68"/>
      <c r="AM205" s="62"/>
      <c r="AN205" s="71"/>
      <c r="AO205" s="62"/>
      <c r="AP205" s="60"/>
      <c r="AQ205" s="62"/>
      <c r="AR205" s="62"/>
      <c r="AS205" s="62"/>
      <c r="AT205" s="61"/>
      <c r="AU205" s="62"/>
      <c r="AV205" s="62"/>
      <c r="AW205" s="62"/>
      <c r="AX205" s="62"/>
      <c r="AY205" s="62"/>
      <c r="AZ205" s="62"/>
    </row>
    <row r="206" spans="1:52" x14ac:dyDescent="0.25">
      <c r="A206" s="10">
        <v>30</v>
      </c>
      <c r="B206" s="30"/>
      <c r="C206" s="31"/>
      <c r="D206" s="32"/>
      <c r="E206" s="32"/>
      <c r="F206" s="32"/>
      <c r="G206" s="32">
        <f t="shared" si="55"/>
        <v>0</v>
      </c>
      <c r="H206" s="10"/>
      <c r="I206" s="10"/>
      <c r="J206" s="10"/>
      <c r="K206" s="12">
        <f t="shared" si="56"/>
        <v>0</v>
      </c>
      <c r="M206" s="10">
        <v>30</v>
      </c>
      <c r="N206" s="30"/>
      <c r="O206" s="31"/>
      <c r="P206" s="47"/>
      <c r="Q206" s="31"/>
      <c r="R206" s="31"/>
      <c r="S206" s="32">
        <f t="shared" si="64"/>
        <v>0</v>
      </c>
      <c r="T206" s="10"/>
      <c r="U206" s="10"/>
      <c r="V206" s="10"/>
      <c r="W206" s="12">
        <f t="shared" si="65"/>
        <v>0</v>
      </c>
      <c r="Y206" s="10">
        <v>30</v>
      </c>
      <c r="Z206" s="30"/>
      <c r="AA206" s="31"/>
      <c r="AB206" s="47"/>
      <c r="AC206" s="31"/>
      <c r="AD206" s="31"/>
      <c r="AE206" s="32">
        <f t="shared" si="59"/>
        <v>0</v>
      </c>
      <c r="AF206" s="10"/>
      <c r="AG206" s="10"/>
      <c r="AH206" s="10"/>
      <c r="AI206" s="12">
        <f t="shared" si="60"/>
        <v>0</v>
      </c>
      <c r="AK206" s="62"/>
      <c r="AL206" s="68"/>
      <c r="AM206" s="63"/>
      <c r="AN206" s="71"/>
      <c r="AO206" s="63"/>
      <c r="AP206" s="60"/>
      <c r="AQ206" s="62"/>
      <c r="AR206" s="62"/>
      <c r="AS206" s="62"/>
      <c r="AT206" s="61"/>
      <c r="AU206" s="62"/>
      <c r="AV206" s="62"/>
      <c r="AW206" s="62"/>
      <c r="AX206" s="62"/>
      <c r="AY206" s="62"/>
      <c r="AZ206" s="62"/>
    </row>
    <row r="207" spans="1:52" x14ac:dyDescent="0.25">
      <c r="A207" s="10">
        <v>31</v>
      </c>
      <c r="B207" s="30"/>
      <c r="C207" s="31"/>
      <c r="D207" s="32"/>
      <c r="E207" s="32"/>
      <c r="F207" s="32"/>
      <c r="G207" s="32">
        <f t="shared" si="55"/>
        <v>0</v>
      </c>
      <c r="H207" s="10"/>
      <c r="I207" s="10"/>
      <c r="J207" s="10"/>
      <c r="K207" s="12">
        <f t="shared" si="56"/>
        <v>0</v>
      </c>
      <c r="M207" s="10">
        <v>31</v>
      </c>
      <c r="N207" s="30"/>
      <c r="P207" s="47"/>
      <c r="Q207" s="31"/>
      <c r="R207" s="31"/>
      <c r="S207" s="32">
        <f t="shared" si="64"/>
        <v>0</v>
      </c>
      <c r="T207" s="10"/>
      <c r="U207" s="10"/>
      <c r="V207" s="10"/>
      <c r="W207" s="12">
        <f t="shared" si="65"/>
        <v>0</v>
      </c>
      <c r="Y207" s="10">
        <v>31</v>
      </c>
      <c r="Z207" s="30"/>
      <c r="AB207" s="47"/>
      <c r="AC207" s="31"/>
      <c r="AD207" s="31"/>
      <c r="AE207" s="32">
        <f t="shared" si="59"/>
        <v>0</v>
      </c>
      <c r="AF207" s="10"/>
      <c r="AG207" s="10"/>
      <c r="AH207" s="10"/>
      <c r="AI207" s="12">
        <f t="shared" si="60"/>
        <v>0</v>
      </c>
      <c r="AK207" s="62"/>
      <c r="AL207" s="68"/>
      <c r="AM207" s="63"/>
      <c r="AN207" s="71"/>
      <c r="AO207" s="63"/>
      <c r="AP207" s="60"/>
      <c r="AQ207" s="62"/>
      <c r="AR207" s="62"/>
      <c r="AS207" s="62"/>
      <c r="AT207" s="61"/>
      <c r="AU207" s="62"/>
      <c r="AV207" s="62"/>
      <c r="AW207" s="62"/>
      <c r="AX207" s="62"/>
      <c r="AY207" s="62"/>
      <c r="AZ207" s="62"/>
    </row>
    <row r="208" spans="1:52" x14ac:dyDescent="0.25">
      <c r="A208" s="10">
        <v>32</v>
      </c>
      <c r="B208" s="30"/>
      <c r="C208" s="31"/>
      <c r="D208" s="32"/>
      <c r="E208" s="32"/>
      <c r="F208" s="32"/>
      <c r="G208" s="32">
        <f t="shared" si="55"/>
        <v>0</v>
      </c>
      <c r="H208" s="10"/>
      <c r="I208" s="10"/>
      <c r="J208" s="10"/>
      <c r="K208" s="12">
        <f t="shared" si="56"/>
        <v>0</v>
      </c>
      <c r="M208" s="10">
        <v>32</v>
      </c>
      <c r="N208" s="30"/>
      <c r="P208" s="47"/>
      <c r="Q208" s="31"/>
      <c r="R208" s="31"/>
      <c r="S208" s="32">
        <f t="shared" si="64"/>
        <v>0</v>
      </c>
      <c r="T208" s="10"/>
      <c r="U208" s="10"/>
      <c r="V208" s="10"/>
      <c r="W208" s="12">
        <f t="shared" si="65"/>
        <v>0</v>
      </c>
      <c r="Y208" s="10">
        <v>32</v>
      </c>
      <c r="Z208" s="30"/>
      <c r="AA208" s="31"/>
      <c r="AB208" s="47"/>
      <c r="AC208" s="31"/>
      <c r="AD208" s="31"/>
      <c r="AE208" s="32">
        <f t="shared" si="59"/>
        <v>0</v>
      </c>
      <c r="AF208" s="10"/>
      <c r="AG208" s="10"/>
      <c r="AH208" s="10"/>
      <c r="AI208" s="12">
        <f t="shared" si="60"/>
        <v>0</v>
      </c>
      <c r="AK208" s="62"/>
      <c r="AL208" s="68"/>
      <c r="AM208" s="62"/>
      <c r="AN208" s="71"/>
      <c r="AO208" s="63"/>
      <c r="AP208" s="60"/>
      <c r="AQ208" s="62"/>
      <c r="AR208" s="62"/>
      <c r="AS208" s="62"/>
      <c r="AT208" s="61"/>
      <c r="AU208" s="62"/>
      <c r="AV208" s="62"/>
      <c r="AW208" s="62"/>
      <c r="AX208" s="62"/>
      <c r="AY208" s="62"/>
      <c r="AZ208" s="62"/>
    </row>
    <row r="209" spans="1:52" x14ac:dyDescent="0.25">
      <c r="A209" s="10">
        <v>33</v>
      </c>
      <c r="B209" s="30"/>
      <c r="C209" s="31"/>
      <c r="D209" s="32"/>
      <c r="E209" s="32"/>
      <c r="F209" s="32"/>
      <c r="G209" s="32">
        <f t="shared" si="55"/>
        <v>0</v>
      </c>
      <c r="H209" s="10"/>
      <c r="I209" s="10"/>
      <c r="J209" s="10"/>
      <c r="K209" s="12">
        <f t="shared" si="56"/>
        <v>0</v>
      </c>
      <c r="M209" s="10">
        <v>33</v>
      </c>
      <c r="N209" s="30"/>
      <c r="O209" s="31"/>
      <c r="P209" s="47"/>
      <c r="Q209" s="31"/>
      <c r="R209" s="31"/>
      <c r="S209" s="32">
        <f t="shared" si="64"/>
        <v>0</v>
      </c>
      <c r="T209" s="10"/>
      <c r="U209" s="10"/>
      <c r="V209" s="10"/>
      <c r="W209" s="12">
        <f t="shared" si="65"/>
        <v>0</v>
      </c>
      <c r="Y209" s="10">
        <v>33</v>
      </c>
      <c r="Z209" s="30"/>
      <c r="AA209" s="31"/>
      <c r="AB209" s="47"/>
      <c r="AC209" s="31"/>
      <c r="AD209" s="31"/>
      <c r="AE209" s="32">
        <f t="shared" si="59"/>
        <v>0</v>
      </c>
      <c r="AF209" s="10"/>
      <c r="AG209" s="10"/>
      <c r="AH209" s="10"/>
      <c r="AI209" s="12">
        <f t="shared" si="60"/>
        <v>0</v>
      </c>
      <c r="AK209" s="62"/>
      <c r="AL209" s="68"/>
      <c r="AM209" s="63"/>
      <c r="AN209" s="71"/>
      <c r="AO209" s="63"/>
      <c r="AP209" s="60"/>
      <c r="AQ209" s="62"/>
      <c r="AR209" s="62"/>
      <c r="AS209" s="62"/>
      <c r="AT209" s="61"/>
      <c r="AU209" s="62"/>
      <c r="AV209" s="62"/>
      <c r="AW209" s="62"/>
      <c r="AX209" s="62"/>
      <c r="AY209" s="62"/>
      <c r="AZ209" s="62"/>
    </row>
    <row r="210" spans="1:52" x14ac:dyDescent="0.25">
      <c r="A210" s="10"/>
      <c r="B210" s="30"/>
      <c r="C210" s="31"/>
      <c r="D210" s="32"/>
      <c r="E210" s="32"/>
      <c r="F210" s="32"/>
      <c r="G210" s="32">
        <f t="shared" si="55"/>
        <v>0</v>
      </c>
      <c r="H210" s="10"/>
      <c r="I210" s="10"/>
      <c r="J210" s="10"/>
      <c r="K210" s="12">
        <f t="shared" si="56"/>
        <v>0</v>
      </c>
      <c r="M210" s="10">
        <v>34</v>
      </c>
      <c r="N210" s="30"/>
      <c r="O210" s="31"/>
      <c r="P210" s="47"/>
      <c r="Q210" s="31"/>
      <c r="R210" s="31"/>
      <c r="S210" s="32">
        <f t="shared" ref="S210:S215" si="66">SUM(P210:Q210)</f>
        <v>0</v>
      </c>
      <c r="T210" s="10"/>
      <c r="U210" s="10"/>
      <c r="V210" s="10"/>
      <c r="W210" s="12">
        <f t="shared" ref="W210:W218" si="67">SUM(S210:V210)</f>
        <v>0</v>
      </c>
      <c r="Y210" s="10">
        <v>34</v>
      </c>
      <c r="Z210" s="30"/>
      <c r="AB210" s="47"/>
      <c r="AC210" s="31"/>
      <c r="AD210" s="31"/>
      <c r="AE210" s="32">
        <f t="shared" ref="AE210:AE215" si="68">SUM(AB210:AC210)</f>
        <v>0</v>
      </c>
      <c r="AF210" s="10"/>
      <c r="AG210" s="10"/>
      <c r="AH210" s="10"/>
      <c r="AI210" s="12">
        <f t="shared" ref="AI210:AI218" si="69">SUM(AE210:AH210)</f>
        <v>0</v>
      </c>
      <c r="AK210" s="62"/>
      <c r="AL210" s="68"/>
      <c r="AM210" s="63"/>
      <c r="AN210" s="71"/>
      <c r="AO210" s="63"/>
      <c r="AP210" s="60"/>
      <c r="AQ210" s="62"/>
      <c r="AR210" s="62"/>
      <c r="AS210" s="62"/>
      <c r="AT210" s="61"/>
      <c r="AU210" s="62"/>
      <c r="AV210" s="62"/>
      <c r="AW210" s="62"/>
      <c r="AX210" s="62"/>
      <c r="AY210" s="62"/>
      <c r="AZ210" s="62"/>
    </row>
    <row r="211" spans="1:52" x14ac:dyDescent="0.25">
      <c r="A211" s="10"/>
      <c r="B211" s="30"/>
      <c r="C211" s="31"/>
      <c r="D211" s="32"/>
      <c r="E211" s="32"/>
      <c r="F211" s="32"/>
      <c r="G211" s="32"/>
      <c r="H211" s="10"/>
      <c r="I211" s="10"/>
      <c r="J211" s="10"/>
      <c r="K211" s="12"/>
      <c r="M211" s="10">
        <v>35</v>
      </c>
      <c r="N211" s="30"/>
      <c r="O211" s="31"/>
      <c r="P211" s="47"/>
      <c r="Q211" s="31"/>
      <c r="R211" s="31"/>
      <c r="S211" s="32">
        <f t="shared" si="66"/>
        <v>0</v>
      </c>
      <c r="T211" s="10"/>
      <c r="U211" s="10"/>
      <c r="V211" s="10"/>
      <c r="W211" s="12">
        <f t="shared" si="67"/>
        <v>0</v>
      </c>
      <c r="Y211" s="10">
        <v>35</v>
      </c>
      <c r="Z211" s="30"/>
      <c r="AA211" s="31"/>
      <c r="AB211" s="47"/>
      <c r="AC211" s="31"/>
      <c r="AD211" s="31"/>
      <c r="AE211" s="32">
        <f t="shared" si="68"/>
        <v>0</v>
      </c>
      <c r="AF211" s="10"/>
      <c r="AG211" s="10"/>
      <c r="AH211" s="10"/>
      <c r="AI211" s="12">
        <f t="shared" si="69"/>
        <v>0</v>
      </c>
      <c r="AK211" s="62"/>
      <c r="AL211" s="68"/>
      <c r="AM211" s="63"/>
      <c r="AN211" s="71"/>
      <c r="AO211" s="63"/>
      <c r="AP211" s="60"/>
      <c r="AQ211" s="62"/>
      <c r="AR211" s="62"/>
      <c r="AS211" s="62"/>
      <c r="AT211" s="61"/>
      <c r="AU211" s="62"/>
      <c r="AV211" s="62"/>
      <c r="AW211" s="62"/>
      <c r="AX211" s="62"/>
      <c r="AY211" s="62"/>
      <c r="AZ211" s="62"/>
    </row>
    <row r="212" spans="1:52" x14ac:dyDescent="0.25">
      <c r="A212" s="10"/>
      <c r="B212" s="30"/>
      <c r="C212" s="31"/>
      <c r="D212" s="32"/>
      <c r="E212" s="32"/>
      <c r="F212" s="32"/>
      <c r="G212" s="32"/>
      <c r="H212" s="10"/>
      <c r="I212" s="10"/>
      <c r="J212" s="10"/>
      <c r="K212" s="12"/>
      <c r="M212" s="10">
        <v>36</v>
      </c>
      <c r="N212" s="30"/>
      <c r="O212" s="31"/>
      <c r="P212" s="47"/>
      <c r="Q212" s="31"/>
      <c r="R212" s="31"/>
      <c r="S212" s="32">
        <f t="shared" si="66"/>
        <v>0</v>
      </c>
      <c r="T212" s="10"/>
      <c r="U212" s="10"/>
      <c r="V212" s="10"/>
      <c r="W212" s="12">
        <f t="shared" si="67"/>
        <v>0</v>
      </c>
      <c r="Y212" s="10">
        <v>36</v>
      </c>
      <c r="Z212" s="30"/>
      <c r="AA212" s="31"/>
      <c r="AB212" s="47"/>
      <c r="AC212" s="31"/>
      <c r="AD212" s="31"/>
      <c r="AE212" s="32">
        <f t="shared" si="68"/>
        <v>0</v>
      </c>
      <c r="AF212" s="10"/>
      <c r="AG212" s="10"/>
      <c r="AH212" s="10"/>
      <c r="AI212" s="12">
        <f t="shared" si="69"/>
        <v>0</v>
      </c>
      <c r="AK212" s="62"/>
      <c r="AL212" s="68"/>
      <c r="AM212" s="63"/>
      <c r="AN212" s="71"/>
      <c r="AO212" s="63"/>
      <c r="AP212" s="60"/>
      <c r="AQ212" s="62"/>
      <c r="AR212" s="62"/>
      <c r="AS212" s="62"/>
      <c r="AT212" s="61"/>
      <c r="AU212" s="62"/>
      <c r="AV212" s="62"/>
      <c r="AW212" s="62"/>
      <c r="AX212" s="62"/>
      <c r="AY212" s="62"/>
      <c r="AZ212" s="62"/>
    </row>
    <row r="213" spans="1:52" x14ac:dyDescent="0.25">
      <c r="A213" s="10"/>
      <c r="B213" s="30"/>
      <c r="C213" s="57"/>
      <c r="D213" s="32"/>
      <c r="E213" s="32"/>
      <c r="F213" s="32"/>
      <c r="G213" s="32"/>
      <c r="H213" s="10"/>
      <c r="I213" s="10"/>
      <c r="J213" s="10"/>
      <c r="K213" s="12"/>
      <c r="M213" s="10">
        <v>37</v>
      </c>
      <c r="N213" s="30"/>
      <c r="P213" s="47"/>
      <c r="Q213" s="31"/>
      <c r="R213" s="31"/>
      <c r="S213" s="32">
        <f t="shared" si="66"/>
        <v>0</v>
      </c>
      <c r="T213" s="10"/>
      <c r="U213" s="10"/>
      <c r="V213" s="10"/>
      <c r="W213" s="12">
        <f t="shared" si="67"/>
        <v>0</v>
      </c>
      <c r="Y213" s="10">
        <v>37</v>
      </c>
      <c r="Z213" s="30"/>
      <c r="AA213" s="31"/>
      <c r="AB213" s="47"/>
      <c r="AC213" s="31"/>
      <c r="AD213" s="31"/>
      <c r="AE213" s="32">
        <f t="shared" si="68"/>
        <v>0</v>
      </c>
      <c r="AF213" s="10"/>
      <c r="AG213" s="10"/>
      <c r="AH213" s="10"/>
      <c r="AI213" s="12">
        <f t="shared" si="69"/>
        <v>0</v>
      </c>
      <c r="AK213" s="62"/>
      <c r="AL213" s="68"/>
      <c r="AM213" s="63"/>
      <c r="AN213" s="71"/>
      <c r="AO213" s="63"/>
      <c r="AP213" s="60"/>
      <c r="AQ213" s="62"/>
      <c r="AR213" s="62"/>
      <c r="AS213" s="62"/>
      <c r="AT213" s="61"/>
      <c r="AU213" s="62"/>
      <c r="AV213" s="62"/>
      <c r="AW213" s="62"/>
      <c r="AX213" s="62"/>
      <c r="AY213" s="62"/>
      <c r="AZ213" s="62"/>
    </row>
    <row r="214" spans="1:52" x14ac:dyDescent="0.25">
      <c r="A214" s="10"/>
      <c r="B214" s="30"/>
      <c r="C214" s="31"/>
      <c r="D214" s="32"/>
      <c r="E214" s="32"/>
      <c r="F214" s="32"/>
      <c r="G214" s="32"/>
      <c r="H214" s="10"/>
      <c r="I214" s="10"/>
      <c r="J214" s="10"/>
      <c r="K214" s="12"/>
      <c r="M214" s="10">
        <v>38</v>
      </c>
      <c r="N214" s="30"/>
      <c r="O214" s="31"/>
      <c r="P214" s="47"/>
      <c r="Q214" s="31"/>
      <c r="R214" s="31"/>
      <c r="S214" s="32">
        <f t="shared" si="66"/>
        <v>0</v>
      </c>
      <c r="T214" s="10"/>
      <c r="U214" s="10"/>
      <c r="V214" s="10"/>
      <c r="W214" s="12">
        <f t="shared" si="67"/>
        <v>0</v>
      </c>
      <c r="Y214" s="10">
        <v>38</v>
      </c>
      <c r="Z214" s="30"/>
      <c r="AA214" s="31"/>
      <c r="AB214" s="47"/>
      <c r="AC214" s="31"/>
      <c r="AD214" s="31"/>
      <c r="AE214" s="32">
        <f t="shared" si="68"/>
        <v>0</v>
      </c>
      <c r="AF214" s="10"/>
      <c r="AG214" s="10"/>
      <c r="AH214" s="10"/>
      <c r="AI214" s="12">
        <f t="shared" si="69"/>
        <v>0</v>
      </c>
      <c r="AK214" s="62"/>
      <c r="AL214" s="68"/>
      <c r="AM214" s="63"/>
      <c r="AN214" s="71"/>
      <c r="AO214" s="63"/>
      <c r="AP214" s="60"/>
      <c r="AQ214" s="62"/>
      <c r="AR214" s="62"/>
      <c r="AS214" s="62"/>
      <c r="AT214" s="61"/>
      <c r="AU214" s="62"/>
      <c r="AV214" s="62"/>
      <c r="AW214" s="62"/>
      <c r="AX214" s="62"/>
      <c r="AY214" s="62"/>
      <c r="AZ214" s="62"/>
    </row>
    <row r="215" spans="1:52" x14ac:dyDescent="0.25">
      <c r="A215" s="10"/>
      <c r="B215" s="30"/>
      <c r="C215" s="57"/>
      <c r="D215" s="32"/>
      <c r="E215" s="32"/>
      <c r="F215" s="32"/>
      <c r="G215" s="32"/>
      <c r="H215" s="10"/>
      <c r="I215" s="10"/>
      <c r="J215" s="10"/>
      <c r="K215" s="12"/>
      <c r="M215" s="10">
        <v>39</v>
      </c>
      <c r="N215" s="30"/>
      <c r="O215" s="31"/>
      <c r="P215" s="47"/>
      <c r="Q215" s="31"/>
      <c r="R215" s="31"/>
      <c r="S215" s="32">
        <f t="shared" si="66"/>
        <v>0</v>
      </c>
      <c r="T215" s="10"/>
      <c r="U215" s="10"/>
      <c r="V215" s="10"/>
      <c r="W215" s="12">
        <f t="shared" si="67"/>
        <v>0</v>
      </c>
      <c r="Y215" s="10">
        <v>39</v>
      </c>
      <c r="Z215" s="30"/>
      <c r="AA215" s="31"/>
      <c r="AB215" s="47"/>
      <c r="AC215" s="31"/>
      <c r="AD215" s="31"/>
      <c r="AE215" s="32">
        <f t="shared" si="68"/>
        <v>0</v>
      </c>
      <c r="AF215" s="10"/>
      <c r="AG215" s="10"/>
      <c r="AH215" s="10"/>
      <c r="AI215" s="12">
        <f t="shared" si="69"/>
        <v>0</v>
      </c>
      <c r="AK215" s="62"/>
      <c r="AL215" s="68"/>
      <c r="AM215" s="63"/>
      <c r="AN215" s="71"/>
      <c r="AO215" s="63"/>
      <c r="AP215" s="60"/>
      <c r="AQ215" s="62"/>
      <c r="AR215" s="62"/>
      <c r="AS215" s="62"/>
      <c r="AT215" s="61"/>
      <c r="AU215" s="62"/>
      <c r="AV215" s="62"/>
      <c r="AW215" s="62"/>
      <c r="AX215" s="62"/>
      <c r="AY215" s="62"/>
      <c r="AZ215" s="62"/>
    </row>
    <row r="216" spans="1:52" x14ac:dyDescent="0.25">
      <c r="A216" s="10"/>
      <c r="B216" s="30"/>
      <c r="C216" s="31"/>
      <c r="D216" s="32"/>
      <c r="E216" s="32"/>
      <c r="F216" s="32"/>
      <c r="G216" s="32"/>
      <c r="H216" s="10"/>
      <c r="I216" s="10"/>
      <c r="J216" s="10"/>
      <c r="K216" s="12"/>
      <c r="M216" s="10"/>
      <c r="N216" s="30"/>
      <c r="P216" s="47"/>
      <c r="Q216" s="31"/>
      <c r="R216" s="31"/>
      <c r="S216" s="32"/>
      <c r="T216" s="10"/>
      <c r="U216" s="10"/>
      <c r="V216" s="10"/>
      <c r="W216" s="12">
        <f t="shared" si="67"/>
        <v>0</v>
      </c>
      <c r="Y216" s="10"/>
      <c r="Z216" s="30"/>
      <c r="AB216" s="47"/>
      <c r="AC216" s="31"/>
      <c r="AD216" s="31"/>
      <c r="AE216" s="32"/>
      <c r="AF216" s="10"/>
      <c r="AG216" s="10"/>
      <c r="AH216" s="10"/>
      <c r="AI216" s="12">
        <f t="shared" si="69"/>
        <v>0</v>
      </c>
      <c r="AK216" s="62"/>
      <c r="AL216" s="68"/>
      <c r="AM216" s="63"/>
      <c r="AN216" s="71"/>
      <c r="AO216" s="63"/>
      <c r="AP216" s="60"/>
      <c r="AQ216" s="62"/>
      <c r="AR216" s="62"/>
      <c r="AS216" s="62"/>
      <c r="AT216" s="61"/>
      <c r="AU216" s="62"/>
      <c r="AV216" s="62"/>
      <c r="AW216" s="62"/>
      <c r="AX216" s="62"/>
      <c r="AY216" s="62"/>
      <c r="AZ216" s="62"/>
    </row>
    <row r="217" spans="1:52" x14ac:dyDescent="0.25">
      <c r="A217" s="10"/>
      <c r="B217" s="30"/>
      <c r="C217" s="31"/>
      <c r="D217" s="32"/>
      <c r="E217" s="32"/>
      <c r="F217" s="32"/>
      <c r="G217" s="32">
        <f t="shared" ref="G217" si="70">SUM(D217:E217)</f>
        <v>0</v>
      </c>
      <c r="H217" s="10"/>
      <c r="I217" s="10"/>
      <c r="J217" s="10"/>
      <c r="K217" s="12">
        <f t="shared" ref="K217" si="71">SUM(G217:J217)</f>
        <v>0</v>
      </c>
      <c r="M217" s="10"/>
      <c r="N217" s="30"/>
      <c r="O217" s="31"/>
      <c r="P217" s="47"/>
      <c r="Q217" s="31"/>
      <c r="R217" s="31"/>
      <c r="S217" s="32">
        <f t="shared" ref="S217" si="72">SUM(P217:Q217)</f>
        <v>0</v>
      </c>
      <c r="T217" s="10"/>
      <c r="U217" s="10"/>
      <c r="V217" s="10"/>
      <c r="W217" s="12">
        <f t="shared" si="67"/>
        <v>0</v>
      </c>
      <c r="Y217" s="10"/>
      <c r="Z217" s="30"/>
      <c r="AA217" s="31"/>
      <c r="AB217" s="47"/>
      <c r="AC217" s="31"/>
      <c r="AD217" s="31"/>
      <c r="AE217" s="32">
        <f t="shared" ref="AE217" si="73">SUM(AB217:AC217)</f>
        <v>0</v>
      </c>
      <c r="AF217" s="10"/>
      <c r="AG217" s="10"/>
      <c r="AH217" s="10"/>
      <c r="AI217" s="12">
        <f t="shared" si="69"/>
        <v>0</v>
      </c>
      <c r="AK217" s="62"/>
      <c r="AL217" s="68"/>
      <c r="AM217" s="63"/>
      <c r="AN217" s="71"/>
      <c r="AO217" s="63"/>
      <c r="AP217" s="60"/>
      <c r="AQ217" s="62"/>
      <c r="AR217" s="62"/>
      <c r="AS217" s="62"/>
      <c r="AT217" s="61"/>
      <c r="AU217" s="62"/>
      <c r="AV217" s="62"/>
      <c r="AW217" s="62"/>
      <c r="AX217" s="62"/>
      <c r="AY217" s="62"/>
      <c r="AZ217" s="62"/>
    </row>
    <row r="218" spans="1:52" x14ac:dyDescent="0.25">
      <c r="A218" s="10"/>
      <c r="B218" s="30"/>
      <c r="C218" s="30"/>
      <c r="D218" s="32"/>
      <c r="E218" s="32"/>
      <c r="F218" s="32"/>
      <c r="G218" s="32"/>
      <c r="H218" s="10"/>
      <c r="I218" s="10"/>
      <c r="J218" s="10"/>
      <c r="K218" s="12"/>
      <c r="M218" s="10"/>
      <c r="N218" s="31"/>
      <c r="O218" s="31"/>
      <c r="P218" s="31"/>
      <c r="Q218" s="31"/>
      <c r="R218" s="31"/>
      <c r="S218" s="31"/>
      <c r="T218" s="10"/>
      <c r="U218" s="10"/>
      <c r="V218" s="10"/>
      <c r="W218" s="12">
        <f t="shared" si="67"/>
        <v>0</v>
      </c>
      <c r="Y218" s="10"/>
      <c r="Z218" s="31"/>
      <c r="AA218" s="31"/>
      <c r="AB218" s="31"/>
      <c r="AC218" s="31"/>
      <c r="AD218" s="31"/>
      <c r="AE218" s="31"/>
      <c r="AF218" s="10"/>
      <c r="AG218" s="10"/>
      <c r="AH218" s="10"/>
      <c r="AI218" s="12">
        <f t="shared" si="69"/>
        <v>0</v>
      </c>
      <c r="AK218" s="62"/>
      <c r="AL218" s="68"/>
      <c r="AM218" s="63"/>
      <c r="AN218" s="71"/>
      <c r="AO218" s="63"/>
      <c r="AP218" s="60"/>
      <c r="AQ218" s="62"/>
      <c r="AR218" s="62"/>
      <c r="AS218" s="62"/>
      <c r="AT218" s="61"/>
      <c r="AU218" s="62"/>
      <c r="AV218" s="62"/>
      <c r="AW218" s="62"/>
      <c r="AX218" s="62"/>
      <c r="AY218" s="62"/>
      <c r="AZ218" s="62"/>
    </row>
    <row r="219" spans="1:52" x14ac:dyDescent="0.25">
      <c r="B219" s="57"/>
      <c r="C219" s="57"/>
      <c r="D219" s="36"/>
      <c r="E219" s="36"/>
      <c r="F219" s="36"/>
      <c r="G219" s="36"/>
      <c r="H219" s="37"/>
      <c r="I219" s="37"/>
      <c r="J219" s="37"/>
      <c r="K219" s="37"/>
      <c r="N219" s="57"/>
      <c r="O219" s="57"/>
      <c r="P219" s="36"/>
      <c r="Q219" s="36"/>
      <c r="R219" s="36"/>
      <c r="S219" s="36"/>
      <c r="T219" s="37"/>
      <c r="U219" s="37"/>
      <c r="V219" s="37"/>
      <c r="W219" s="37"/>
      <c r="Z219" s="57"/>
      <c r="AA219" s="57"/>
      <c r="AB219" s="36"/>
      <c r="AC219" s="36"/>
      <c r="AD219" s="36"/>
      <c r="AE219" s="36"/>
      <c r="AF219" s="37"/>
      <c r="AG219" s="37"/>
      <c r="AH219" s="37"/>
      <c r="AI219" s="37"/>
      <c r="AK219" s="62"/>
      <c r="AL219" s="68"/>
      <c r="AM219" s="63"/>
      <c r="AN219" s="71"/>
      <c r="AO219" s="63"/>
      <c r="AP219" s="60"/>
      <c r="AQ219" s="62"/>
      <c r="AR219" s="62"/>
      <c r="AS219" s="62"/>
      <c r="AT219" s="61"/>
      <c r="AU219" s="62"/>
      <c r="AV219" s="62"/>
      <c r="AW219" s="62"/>
      <c r="AX219" s="62"/>
      <c r="AY219" s="62"/>
      <c r="AZ219" s="62"/>
    </row>
    <row r="220" spans="1:52" x14ac:dyDescent="0.25">
      <c r="B220" s="57"/>
      <c r="C220" s="57"/>
      <c r="D220" s="38">
        <f>SUM(D177:D219)</f>
        <v>228612</v>
      </c>
      <c r="E220" s="38">
        <f t="shared" ref="E220:F220" si="74">SUM(E177:E217)</f>
        <v>0</v>
      </c>
      <c r="F220" s="38">
        <f t="shared" si="74"/>
        <v>0</v>
      </c>
      <c r="G220" s="38">
        <f>SUM(G177:G219)</f>
        <v>228612</v>
      </c>
      <c r="H220" s="4"/>
      <c r="I220" s="39">
        <f>SUM(I177:I219)</f>
        <v>2530</v>
      </c>
      <c r="J220" s="39">
        <f>SUM(J177:J219)</f>
        <v>0</v>
      </c>
      <c r="K220" s="40">
        <f>SUM(K177:K219)</f>
        <v>231142</v>
      </c>
      <c r="N220" s="57"/>
      <c r="O220" s="57"/>
      <c r="P220" s="38">
        <f>SUM(P177:P219)</f>
        <v>215382.5</v>
      </c>
      <c r="Q220" s="38">
        <f>SUM(Q177:Q201)</f>
        <v>-2432</v>
      </c>
      <c r="R220" s="38">
        <f>SUM(R177:R201)</f>
        <v>0</v>
      </c>
      <c r="S220" s="38">
        <f>SUM(S177:S219)</f>
        <v>212950.5</v>
      </c>
      <c r="T220" s="4"/>
      <c r="U220" s="41">
        <f>SUM(U177:U219)</f>
        <v>234</v>
      </c>
      <c r="V220" s="41">
        <f>SUM(V177:V201)</f>
        <v>-6507</v>
      </c>
      <c r="W220" s="42">
        <f>SUM(W177:W219)</f>
        <v>206677.5</v>
      </c>
      <c r="Z220" s="57"/>
      <c r="AA220" s="57"/>
      <c r="AB220" s="38">
        <f>SUM(AB177:AB219)</f>
        <v>269549.5</v>
      </c>
      <c r="AC220" s="38">
        <f>SUM(AC177:AC201)</f>
        <v>-372</v>
      </c>
      <c r="AD220" s="38">
        <f>SUM(AD177:AD201)</f>
        <v>0</v>
      </c>
      <c r="AE220" s="38">
        <f>SUM(AE177:AE219)</f>
        <v>269177.5</v>
      </c>
      <c r="AF220" s="4"/>
      <c r="AG220" s="41">
        <f>SUM(AG177:AG219)</f>
        <v>32384.5</v>
      </c>
      <c r="AH220" s="41">
        <f>SUM(AH177:AH201)</f>
        <v>0</v>
      </c>
      <c r="AI220" s="42">
        <f>SUM(AI177:AI219)</f>
        <v>301562</v>
      </c>
      <c r="AK220" s="62"/>
      <c r="AL220" s="68"/>
      <c r="AM220" s="63"/>
      <c r="AN220" s="71"/>
      <c r="AO220" s="63"/>
      <c r="AP220" s="60"/>
      <c r="AQ220" s="62"/>
      <c r="AR220" s="62"/>
      <c r="AS220" s="62"/>
      <c r="AT220" s="61"/>
      <c r="AU220" s="62"/>
      <c r="AV220" s="62"/>
      <c r="AW220" s="62"/>
      <c r="AX220" s="62"/>
      <c r="AY220" s="62"/>
      <c r="AZ220" s="62"/>
    </row>
    <row r="221" spans="1:52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K221" s="62"/>
      <c r="AL221" s="68"/>
      <c r="AM221" s="63"/>
      <c r="AN221" s="71"/>
      <c r="AO221" s="63"/>
      <c r="AP221" s="60"/>
      <c r="AQ221" s="62"/>
      <c r="AR221" s="62"/>
      <c r="AS221" s="62"/>
      <c r="AT221" s="61"/>
      <c r="AU221" s="62"/>
      <c r="AV221" s="62"/>
      <c r="AW221" s="62"/>
      <c r="AX221" s="62"/>
      <c r="AY221" s="62"/>
      <c r="AZ221" s="62"/>
    </row>
    <row r="222" spans="1:52" x14ac:dyDescent="0.25">
      <c r="A222" t="s">
        <v>0</v>
      </c>
      <c r="B222" s="57"/>
      <c r="C222" s="57"/>
      <c r="D222" s="57"/>
      <c r="E222" s="57"/>
      <c r="G222" s="57"/>
      <c r="M222" t="s">
        <v>0</v>
      </c>
      <c r="N222" s="57"/>
      <c r="O222" s="57"/>
      <c r="P222" s="57"/>
      <c r="Q222" s="57"/>
      <c r="R222" s="57"/>
      <c r="S222" s="57"/>
      <c r="Y222" t="s">
        <v>0</v>
      </c>
      <c r="Z222" s="57"/>
      <c r="AA222" s="57"/>
      <c r="AB222" s="57"/>
      <c r="AC222" s="57"/>
      <c r="AD222" s="57"/>
      <c r="AE222" s="57"/>
      <c r="AK222" s="62"/>
      <c r="AL222" s="68"/>
      <c r="AM222" s="62"/>
      <c r="AN222" s="71"/>
      <c r="AO222" s="63"/>
      <c r="AP222" s="60"/>
      <c r="AQ222" s="62"/>
      <c r="AR222" s="62"/>
      <c r="AS222" s="62"/>
      <c r="AT222" s="61"/>
      <c r="AU222" s="62"/>
      <c r="AV222" s="62"/>
      <c r="AW222" s="62"/>
      <c r="AX222" s="62"/>
      <c r="AY222" s="62"/>
      <c r="AZ222" s="62"/>
    </row>
    <row r="223" spans="1:52" x14ac:dyDescent="0.25">
      <c r="A223" t="s">
        <v>29</v>
      </c>
      <c r="B223" s="57"/>
      <c r="C223" s="57"/>
      <c r="D223" s="57"/>
      <c r="E223" s="57"/>
      <c r="G223" s="57"/>
      <c r="M223" t="s">
        <v>29</v>
      </c>
      <c r="N223" s="57"/>
      <c r="O223" s="57"/>
      <c r="P223" s="57"/>
      <c r="Q223" s="57"/>
      <c r="R223" s="57"/>
      <c r="S223" s="57"/>
      <c r="Y223" t="s">
        <v>29</v>
      </c>
      <c r="Z223" s="57"/>
      <c r="AA223" s="57"/>
      <c r="AB223" s="57"/>
      <c r="AC223" s="57"/>
      <c r="AD223" s="57"/>
      <c r="AE223" s="57"/>
      <c r="AK223" s="62"/>
      <c r="AL223" s="68"/>
      <c r="AM223" s="63"/>
      <c r="AN223" s="71"/>
      <c r="AO223" s="63"/>
      <c r="AP223" s="60"/>
      <c r="AQ223" s="62"/>
      <c r="AR223" s="62"/>
      <c r="AS223" s="62"/>
      <c r="AT223" s="61"/>
      <c r="AU223" s="62"/>
      <c r="AV223" s="62"/>
      <c r="AW223" s="62"/>
      <c r="AX223" s="62"/>
      <c r="AY223" s="62"/>
      <c r="AZ223" s="62"/>
    </row>
    <row r="224" spans="1:52" x14ac:dyDescent="0.25">
      <c r="B224" s="57"/>
      <c r="C224" s="57"/>
      <c r="D224" s="57"/>
      <c r="E224" s="57"/>
      <c r="G224" s="57"/>
      <c r="N224" s="57"/>
      <c r="O224" s="57"/>
      <c r="P224" s="57"/>
      <c r="Q224" s="57"/>
      <c r="R224" s="57"/>
      <c r="S224" s="57"/>
      <c r="Z224" s="57"/>
      <c r="AA224" s="57"/>
      <c r="AB224" s="57"/>
      <c r="AC224" s="57"/>
      <c r="AD224" s="57"/>
      <c r="AE224" s="57"/>
      <c r="AK224" s="62"/>
      <c r="AL224" s="63"/>
      <c r="AM224" s="63"/>
      <c r="AN224" s="63"/>
      <c r="AO224" s="63"/>
      <c r="AP224" s="63"/>
      <c r="AQ224" s="62"/>
      <c r="AR224" s="62"/>
      <c r="AS224" s="62"/>
      <c r="AT224" s="61"/>
      <c r="AU224" s="62"/>
      <c r="AV224" s="62"/>
      <c r="AW224" s="62"/>
      <c r="AX224" s="62"/>
      <c r="AY224" s="62"/>
      <c r="AZ224" s="62"/>
    </row>
    <row r="225" spans="1:52" x14ac:dyDescent="0.25">
      <c r="A225" s="4" t="s">
        <v>15</v>
      </c>
      <c r="B225" s="57"/>
      <c r="C225" s="57"/>
      <c r="D225" s="57"/>
      <c r="E225" s="57"/>
      <c r="G225" s="57"/>
      <c r="M225" s="4" t="s">
        <v>15</v>
      </c>
      <c r="N225" s="57"/>
      <c r="O225" s="57"/>
      <c r="P225" s="57"/>
      <c r="Q225" s="57"/>
      <c r="R225" s="57"/>
      <c r="S225" s="57"/>
      <c r="Y225" s="4" t="s">
        <v>15</v>
      </c>
      <c r="Z225" s="57"/>
      <c r="AA225" s="57"/>
      <c r="AB225" s="57"/>
      <c r="AC225" s="57"/>
      <c r="AD225" s="57"/>
      <c r="AE225" s="57"/>
      <c r="AK225" s="62"/>
      <c r="AL225" s="63"/>
      <c r="AM225" s="63"/>
      <c r="AN225" s="63"/>
      <c r="AO225" s="63"/>
      <c r="AP225" s="63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</row>
    <row r="226" spans="1:52" x14ac:dyDescent="0.25">
      <c r="B226" s="57"/>
      <c r="C226" s="57"/>
      <c r="D226" s="57"/>
      <c r="E226" s="57"/>
      <c r="G226" s="57"/>
      <c r="N226" s="57"/>
      <c r="O226" s="57"/>
      <c r="P226" s="57"/>
      <c r="Q226" s="57"/>
      <c r="R226" s="57"/>
      <c r="S226" s="57"/>
      <c r="Z226" s="57"/>
      <c r="AA226" s="57"/>
      <c r="AB226" s="57"/>
      <c r="AC226" s="57"/>
      <c r="AD226" s="57"/>
      <c r="AE226" s="57"/>
      <c r="AK226" s="62"/>
      <c r="AL226" s="63"/>
      <c r="AM226" s="63"/>
      <c r="AN226" s="72"/>
      <c r="AO226" s="72"/>
      <c r="AP226" s="72"/>
      <c r="AQ226" s="64"/>
      <c r="AR226" s="73"/>
      <c r="AS226" s="73"/>
      <c r="AT226" s="73"/>
      <c r="AU226" s="62"/>
      <c r="AV226" s="62"/>
      <c r="AW226" s="62"/>
      <c r="AX226" s="62"/>
      <c r="AY226" s="62"/>
      <c r="AZ226" s="62"/>
    </row>
    <row r="227" spans="1:52" ht="15.75" x14ac:dyDescent="0.25">
      <c r="A227" t="s">
        <v>50</v>
      </c>
      <c r="B227" s="57"/>
      <c r="C227" s="57"/>
      <c r="D227" s="57"/>
      <c r="E227" s="57"/>
      <c r="G227" s="57"/>
      <c r="I227" s="57" t="s">
        <v>16</v>
      </c>
      <c r="J227" s="19">
        <v>1</v>
      </c>
      <c r="M227" t="s">
        <v>50</v>
      </c>
      <c r="N227" s="57"/>
      <c r="O227" s="57"/>
      <c r="P227" s="57"/>
      <c r="Q227" s="57"/>
      <c r="R227" s="57"/>
      <c r="S227" s="57"/>
      <c r="U227" s="57" t="s">
        <v>16</v>
      </c>
      <c r="V227" s="19">
        <v>2</v>
      </c>
      <c r="Y227" t="s">
        <v>50</v>
      </c>
      <c r="Z227" s="57"/>
      <c r="AA227" s="57"/>
      <c r="AB227" s="57"/>
      <c r="AC227" s="57"/>
      <c r="AD227" s="57"/>
      <c r="AE227" s="57"/>
      <c r="AG227" s="57" t="s">
        <v>16</v>
      </c>
      <c r="AH227" s="20">
        <v>3</v>
      </c>
      <c r="AK227" s="62"/>
      <c r="AL227" s="63"/>
      <c r="AM227" s="63"/>
      <c r="AN227" s="74"/>
      <c r="AO227" s="63"/>
      <c r="AP227" s="63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</row>
    <row r="228" spans="1:52" x14ac:dyDescent="0.25">
      <c r="A228" s="21" t="s">
        <v>51</v>
      </c>
      <c r="B228" s="20"/>
      <c r="C228" s="57"/>
      <c r="D228" s="57"/>
      <c r="E228" s="57"/>
      <c r="G228" s="57"/>
      <c r="I228" s="22" t="s">
        <v>17</v>
      </c>
      <c r="J228" s="23" t="s">
        <v>33</v>
      </c>
      <c r="K228" s="24"/>
      <c r="M228" s="21" t="s">
        <v>51</v>
      </c>
      <c r="N228" s="20"/>
      <c r="O228" s="57"/>
      <c r="P228" s="57"/>
      <c r="Q228" s="57"/>
      <c r="R228" s="57"/>
      <c r="S228" s="57"/>
      <c r="U228" s="22" t="s">
        <v>17</v>
      </c>
      <c r="V228" s="23" t="s">
        <v>34</v>
      </c>
      <c r="W228" s="24"/>
      <c r="Y228" s="21" t="s">
        <v>51</v>
      </c>
      <c r="Z228" s="20"/>
      <c r="AA228" s="57"/>
      <c r="AB228" s="57"/>
      <c r="AC228" s="57"/>
      <c r="AD228" s="57"/>
      <c r="AE228" s="57"/>
      <c r="AG228" s="22" t="s">
        <v>17</v>
      </c>
      <c r="AH228" s="23" t="s">
        <v>35</v>
      </c>
      <c r="AI228" s="24"/>
      <c r="AK228" s="62"/>
      <c r="AL228" s="63"/>
      <c r="AM228" s="63"/>
      <c r="AN228" s="63"/>
      <c r="AO228" s="63"/>
      <c r="AP228" s="63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</row>
    <row r="229" spans="1:52" x14ac:dyDescent="0.25">
      <c r="B229" s="57"/>
      <c r="C229" s="57"/>
      <c r="D229" s="57"/>
      <c r="E229" s="57"/>
      <c r="G229" s="57"/>
      <c r="N229" s="57"/>
      <c r="O229" s="57"/>
      <c r="P229" s="57"/>
      <c r="Q229" s="57"/>
      <c r="R229" s="57"/>
      <c r="S229" s="57"/>
      <c r="Z229" s="57"/>
      <c r="AA229" s="57"/>
      <c r="AB229" s="57"/>
      <c r="AC229" s="57"/>
      <c r="AD229" s="57"/>
      <c r="AE229" s="57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</row>
    <row r="230" spans="1:52" x14ac:dyDescent="0.25">
      <c r="B230" s="25"/>
      <c r="C230" s="26"/>
      <c r="D230" s="121" t="s">
        <v>18</v>
      </c>
      <c r="E230" s="121"/>
      <c r="F230" s="95"/>
      <c r="G230" s="27"/>
      <c r="I230" s="119" t="s">
        <v>19</v>
      </c>
      <c r="J230" s="120"/>
      <c r="K230" s="117" t="s">
        <v>20</v>
      </c>
      <c r="N230" s="25"/>
      <c r="O230" s="26"/>
      <c r="P230" s="121" t="s">
        <v>18</v>
      </c>
      <c r="Q230" s="121"/>
      <c r="R230" s="95"/>
      <c r="S230" s="27"/>
      <c r="U230" s="119" t="s">
        <v>19</v>
      </c>
      <c r="V230" s="120"/>
      <c r="W230" s="117" t="s">
        <v>20</v>
      </c>
      <c r="Z230" s="25"/>
      <c r="AA230" s="26"/>
      <c r="AB230" s="121" t="s">
        <v>18</v>
      </c>
      <c r="AC230" s="121"/>
      <c r="AD230" s="95"/>
      <c r="AE230" s="27"/>
      <c r="AG230" s="119" t="s">
        <v>19</v>
      </c>
      <c r="AH230" s="120"/>
      <c r="AI230" s="117" t="s">
        <v>20</v>
      </c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</row>
    <row r="231" spans="1:52" ht="30" x14ac:dyDescent="0.25">
      <c r="B231" s="28" t="s">
        <v>21</v>
      </c>
      <c r="C231" s="28" t="s">
        <v>22</v>
      </c>
      <c r="D231" s="83" t="s">
        <v>23</v>
      </c>
      <c r="E231" s="82" t="s">
        <v>24</v>
      </c>
      <c r="F231" s="84" t="s">
        <v>36</v>
      </c>
      <c r="G231" s="84" t="s">
        <v>25</v>
      </c>
      <c r="I231" s="29" t="s">
        <v>26</v>
      </c>
      <c r="J231" s="29" t="s">
        <v>27</v>
      </c>
      <c r="K231" s="118"/>
      <c r="N231" s="28" t="s">
        <v>21</v>
      </c>
      <c r="O231" s="28" t="s">
        <v>22</v>
      </c>
      <c r="P231" s="83" t="s">
        <v>23</v>
      </c>
      <c r="Q231" s="84" t="s">
        <v>24</v>
      </c>
      <c r="R231" s="84" t="s">
        <v>36</v>
      </c>
      <c r="S231" s="84" t="s">
        <v>25</v>
      </c>
      <c r="U231" s="29" t="s">
        <v>26</v>
      </c>
      <c r="V231" s="29" t="s">
        <v>27</v>
      </c>
      <c r="W231" s="118"/>
      <c r="Z231" s="28" t="s">
        <v>21</v>
      </c>
      <c r="AA231" s="28" t="s">
        <v>22</v>
      </c>
      <c r="AB231" s="83" t="s">
        <v>23</v>
      </c>
      <c r="AC231" s="84" t="s">
        <v>24</v>
      </c>
      <c r="AD231" s="84" t="s">
        <v>36</v>
      </c>
      <c r="AE231" s="84" t="s">
        <v>25</v>
      </c>
      <c r="AG231" s="29" t="s">
        <v>26</v>
      </c>
      <c r="AH231" s="29" t="s">
        <v>27</v>
      </c>
      <c r="AI231" s="118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</row>
    <row r="232" spans="1:52" x14ac:dyDescent="0.25">
      <c r="A232" s="10">
        <v>1</v>
      </c>
      <c r="B232" s="30">
        <v>45846</v>
      </c>
      <c r="C232" s="31">
        <v>4971</v>
      </c>
      <c r="D232" s="32">
        <f>2504+38</f>
        <v>2542</v>
      </c>
      <c r="E232" s="32"/>
      <c r="F232" s="32"/>
      <c r="G232" s="32">
        <f t="shared" ref="G232:G265" si="75">SUM(D232:E232)</f>
        <v>2542</v>
      </c>
      <c r="H232" s="12"/>
      <c r="I232" s="12"/>
      <c r="J232" s="12"/>
      <c r="K232" s="12">
        <f t="shared" ref="K232:K265" si="76">SUM(G232:J232)</f>
        <v>2542</v>
      </c>
      <c r="M232" s="10">
        <v>1</v>
      </c>
      <c r="N232" s="30">
        <v>45846</v>
      </c>
      <c r="O232" s="31">
        <v>4903</v>
      </c>
      <c r="P232" s="32">
        <f>8764+596+142.5+674</f>
        <v>10176.5</v>
      </c>
      <c r="Q232" s="32"/>
      <c r="R232" s="32"/>
      <c r="S232" s="32">
        <f>SUM(P232:Q232)</f>
        <v>10176.5</v>
      </c>
      <c r="T232" s="12"/>
      <c r="U232" s="12"/>
      <c r="V232" s="12"/>
      <c r="W232" s="12">
        <f>SUM(S232:V232)</f>
        <v>10176.5</v>
      </c>
      <c r="Y232" s="10">
        <v>1</v>
      </c>
      <c r="Z232" s="30">
        <v>45846</v>
      </c>
      <c r="AA232" s="31">
        <v>4862</v>
      </c>
      <c r="AB232" s="32">
        <f>626*40+614*2+596*10+229*2</f>
        <v>32686</v>
      </c>
      <c r="AC232" s="32">
        <v>-324</v>
      </c>
      <c r="AD232" s="32"/>
      <c r="AE232" s="32">
        <f>SUM(AB232:AC232)</f>
        <v>32362</v>
      </c>
      <c r="AF232" s="12"/>
      <c r="AG232" s="12"/>
      <c r="AH232" s="12"/>
      <c r="AI232" s="12">
        <f>SUM(AE232:AH232)</f>
        <v>32362</v>
      </c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</row>
    <row r="233" spans="1:52" x14ac:dyDescent="0.25">
      <c r="A233" s="10">
        <v>2</v>
      </c>
      <c r="B233" s="30">
        <v>45846</v>
      </c>
      <c r="C233" s="31">
        <f>C232+1</f>
        <v>4972</v>
      </c>
      <c r="D233" s="32">
        <f>626+596+19</f>
        <v>1241</v>
      </c>
      <c r="E233" s="32"/>
      <c r="F233" s="32"/>
      <c r="G233" s="32">
        <f t="shared" si="75"/>
        <v>1241</v>
      </c>
      <c r="H233" s="12"/>
      <c r="I233" s="12"/>
      <c r="J233" s="12"/>
      <c r="K233" s="12">
        <f t="shared" si="76"/>
        <v>1241</v>
      </c>
      <c r="M233" s="10">
        <v>2</v>
      </c>
      <c r="N233" s="30">
        <v>45846</v>
      </c>
      <c r="O233" s="31">
        <f>O232+1</f>
        <v>4904</v>
      </c>
      <c r="P233" s="32">
        <f>1252+19</f>
        <v>1271</v>
      </c>
      <c r="Q233" s="32"/>
      <c r="R233" s="32"/>
      <c r="S233" s="32">
        <f t="shared" ref="S233:S246" si="77">SUM(P233:Q233)</f>
        <v>1271</v>
      </c>
      <c r="T233" s="12"/>
      <c r="U233" s="12"/>
      <c r="V233" s="12"/>
      <c r="W233" s="12">
        <f t="shared" ref="W233:W246" si="78">SUM(S233:V233)</f>
        <v>1271</v>
      </c>
      <c r="Y233" s="10">
        <v>2</v>
      </c>
      <c r="Z233" s="30">
        <v>45846</v>
      </c>
      <c r="AA233" s="31">
        <f>AA232+1</f>
        <v>4863</v>
      </c>
      <c r="AB233" s="32">
        <f>1252+614+19</f>
        <v>1885</v>
      </c>
      <c r="AC233" s="32"/>
      <c r="AD233" s="32"/>
      <c r="AE233" s="32">
        <f t="shared" ref="AE233:AE264" si="79">SUM(AB233:AC233)</f>
        <v>1885</v>
      </c>
      <c r="AF233" s="12"/>
      <c r="AG233" s="12"/>
      <c r="AH233" s="12"/>
      <c r="AI233" s="12">
        <f t="shared" ref="AI233:AI264" si="80">SUM(AE233:AH233)</f>
        <v>1885</v>
      </c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</row>
    <row r="234" spans="1:52" x14ac:dyDescent="0.25">
      <c r="A234" s="10">
        <v>3</v>
      </c>
      <c r="B234" s="30">
        <v>45846</v>
      </c>
      <c r="C234" s="31">
        <f t="shared" ref="C234:C249" si="81">C233+1</f>
        <v>4973</v>
      </c>
      <c r="D234" s="33">
        <f>1878+1788+57</f>
        <v>3723</v>
      </c>
      <c r="E234" s="33"/>
      <c r="F234" s="33"/>
      <c r="G234" s="33">
        <f t="shared" si="75"/>
        <v>3723</v>
      </c>
      <c r="H234" s="34"/>
      <c r="I234" s="34"/>
      <c r="J234" s="34"/>
      <c r="K234" s="34">
        <f t="shared" si="76"/>
        <v>3723</v>
      </c>
      <c r="M234" s="10">
        <v>3</v>
      </c>
      <c r="N234" s="30">
        <v>45846</v>
      </c>
      <c r="O234" s="31">
        <f t="shared" ref="O234:O248" si="82">O233+1</f>
        <v>4905</v>
      </c>
      <c r="P234" s="32">
        <f>5008+76</f>
        <v>5084</v>
      </c>
      <c r="Q234" s="32"/>
      <c r="R234" s="32"/>
      <c r="S234" s="32">
        <f t="shared" si="77"/>
        <v>5084</v>
      </c>
      <c r="T234" s="12"/>
      <c r="U234" s="12"/>
      <c r="V234" s="12"/>
      <c r="W234" s="12">
        <f t="shared" si="78"/>
        <v>5084</v>
      </c>
      <c r="Y234" s="10">
        <v>3</v>
      </c>
      <c r="Z234" s="30">
        <v>45846</v>
      </c>
      <c r="AA234" s="31">
        <f t="shared" ref="AA234:AA241" si="83">AA233+1</f>
        <v>4864</v>
      </c>
      <c r="AB234" s="33">
        <f>3756+2980+104</f>
        <v>6840</v>
      </c>
      <c r="AC234" s="33"/>
      <c r="AD234" s="32"/>
      <c r="AE234" s="32">
        <f t="shared" si="79"/>
        <v>6840</v>
      </c>
      <c r="AF234" s="12"/>
      <c r="AG234" s="12"/>
      <c r="AH234" s="12"/>
      <c r="AI234" s="12">
        <f t="shared" si="80"/>
        <v>6840</v>
      </c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</row>
    <row r="235" spans="1:52" x14ac:dyDescent="0.25">
      <c r="A235" s="10">
        <v>4</v>
      </c>
      <c r="B235" s="30">
        <v>45846</v>
      </c>
      <c r="C235" s="31">
        <f t="shared" si="81"/>
        <v>4974</v>
      </c>
      <c r="D235" s="32">
        <f>1878+1192+48</f>
        <v>3118</v>
      </c>
      <c r="E235" s="32"/>
      <c r="F235" s="32"/>
      <c r="G235" s="32">
        <f t="shared" si="75"/>
        <v>3118</v>
      </c>
      <c r="H235" s="12"/>
      <c r="I235" s="12"/>
      <c r="J235" s="12"/>
      <c r="K235" s="12">
        <f t="shared" si="76"/>
        <v>3118</v>
      </c>
      <c r="M235" s="10">
        <v>4</v>
      </c>
      <c r="N235" s="30">
        <v>45846</v>
      </c>
      <c r="O235" s="31">
        <f t="shared" si="82"/>
        <v>4906</v>
      </c>
      <c r="P235" s="32">
        <f>1252+19+1348</f>
        <v>2619</v>
      </c>
      <c r="Q235" s="32"/>
      <c r="R235" s="32"/>
      <c r="S235" s="32">
        <f t="shared" si="77"/>
        <v>2619</v>
      </c>
      <c r="T235" s="12"/>
      <c r="U235" s="12"/>
      <c r="V235" s="12"/>
      <c r="W235" s="12">
        <f t="shared" si="78"/>
        <v>2619</v>
      </c>
      <c r="Y235" s="10">
        <v>4</v>
      </c>
      <c r="Z235" s="30">
        <v>45846</v>
      </c>
      <c r="AA235" s="31">
        <f t="shared" si="83"/>
        <v>4865</v>
      </c>
      <c r="AB235" s="32">
        <f>9390+1842+2980+229</f>
        <v>14441</v>
      </c>
      <c r="AC235" s="32"/>
      <c r="AD235" s="32"/>
      <c r="AE235" s="32">
        <f t="shared" si="79"/>
        <v>14441</v>
      </c>
      <c r="AF235" s="12"/>
      <c r="AH235" s="12"/>
      <c r="AI235" s="12">
        <f t="shared" si="80"/>
        <v>14441</v>
      </c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</row>
    <row r="236" spans="1:52" x14ac:dyDescent="0.25">
      <c r="A236" s="10">
        <v>5</v>
      </c>
      <c r="B236" s="30">
        <v>45846</v>
      </c>
      <c r="C236" s="31">
        <f t="shared" si="81"/>
        <v>4975</v>
      </c>
      <c r="D236" s="32">
        <v>636</v>
      </c>
      <c r="E236" s="32"/>
      <c r="F236" s="32"/>
      <c r="G236" s="32">
        <f t="shared" si="75"/>
        <v>636</v>
      </c>
      <c r="H236" s="12"/>
      <c r="I236" s="12"/>
      <c r="J236" s="12"/>
      <c r="K236" s="12">
        <f t="shared" si="76"/>
        <v>636</v>
      </c>
      <c r="M236" s="10">
        <v>5</v>
      </c>
      <c r="N236" s="30">
        <v>45846</v>
      </c>
      <c r="O236" s="31">
        <f t="shared" si="82"/>
        <v>4907</v>
      </c>
      <c r="P236" s="32">
        <f>3756+57</f>
        <v>3813</v>
      </c>
      <c r="Q236" s="32"/>
      <c r="R236" s="32"/>
      <c r="S236" s="32">
        <f t="shared" si="77"/>
        <v>3813</v>
      </c>
      <c r="T236" s="12"/>
      <c r="U236" s="12"/>
      <c r="V236" s="12"/>
      <c r="W236" s="12">
        <f t="shared" si="78"/>
        <v>3813</v>
      </c>
      <c r="Y236" s="10">
        <v>5</v>
      </c>
      <c r="Z236" s="30">
        <v>45846</v>
      </c>
      <c r="AA236" s="31">
        <f t="shared" si="83"/>
        <v>4866</v>
      </c>
      <c r="AB236" s="32">
        <f>5008+76</f>
        <v>5084</v>
      </c>
      <c r="AC236" s="32"/>
      <c r="AD236" s="32"/>
      <c r="AE236" s="32">
        <f t="shared" si="79"/>
        <v>5084</v>
      </c>
      <c r="AF236" s="12"/>
      <c r="AG236" s="12"/>
      <c r="AH236" s="12"/>
      <c r="AI236" s="12">
        <f t="shared" si="80"/>
        <v>5084</v>
      </c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25">
      <c r="A237" s="10">
        <v>6</v>
      </c>
      <c r="B237" s="30">
        <v>45846</v>
      </c>
      <c r="C237" s="31">
        <f t="shared" si="81"/>
        <v>4976</v>
      </c>
      <c r="D237" s="32">
        <f>4382+2980+114+229</f>
        <v>7705</v>
      </c>
      <c r="E237" s="32"/>
      <c r="F237" s="32"/>
      <c r="G237" s="32">
        <f t="shared" si="75"/>
        <v>7705</v>
      </c>
      <c r="H237" s="12"/>
      <c r="I237" s="12"/>
      <c r="J237" s="12"/>
      <c r="K237" s="12">
        <f t="shared" si="76"/>
        <v>7705</v>
      </c>
      <c r="M237" s="10">
        <v>6</v>
      </c>
      <c r="N237" s="30">
        <v>45846</v>
      </c>
      <c r="O237" s="31">
        <f t="shared" si="82"/>
        <v>4908</v>
      </c>
      <c r="P237" s="32">
        <f>2504+38</f>
        <v>2542</v>
      </c>
      <c r="Q237" s="32"/>
      <c r="R237" s="32"/>
      <c r="S237" s="32">
        <f t="shared" si="77"/>
        <v>2542</v>
      </c>
      <c r="T237" s="12"/>
      <c r="U237" s="12"/>
      <c r="V237" s="10"/>
      <c r="W237" s="12">
        <f t="shared" si="78"/>
        <v>2542</v>
      </c>
      <c r="Y237" s="10">
        <v>6</v>
      </c>
      <c r="Z237" s="30">
        <v>45846</v>
      </c>
      <c r="AA237" s="31">
        <f t="shared" si="83"/>
        <v>4867</v>
      </c>
      <c r="AB237" s="32">
        <f>1252+596+229</f>
        <v>2077</v>
      </c>
      <c r="AC237" s="32"/>
      <c r="AD237" s="32"/>
      <c r="AE237" s="32">
        <f t="shared" si="79"/>
        <v>2077</v>
      </c>
      <c r="AF237" s="12"/>
      <c r="AG237" s="12"/>
      <c r="AH237" s="10"/>
      <c r="AI237" s="12">
        <f t="shared" si="80"/>
        <v>2077</v>
      </c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</row>
    <row r="238" spans="1:52" x14ac:dyDescent="0.25">
      <c r="A238" s="10">
        <v>7</v>
      </c>
      <c r="B238" s="30">
        <v>45846</v>
      </c>
      <c r="C238" s="31">
        <f t="shared" si="81"/>
        <v>4977</v>
      </c>
      <c r="D238" s="32">
        <f>626+596+19</f>
        <v>1241</v>
      </c>
      <c r="E238" s="32"/>
      <c r="F238" s="32"/>
      <c r="G238" s="32">
        <f t="shared" si="75"/>
        <v>1241</v>
      </c>
      <c r="H238" s="12"/>
      <c r="I238" s="12"/>
      <c r="J238" s="12"/>
      <c r="K238" s="12">
        <f t="shared" si="76"/>
        <v>1241</v>
      </c>
      <c r="M238" s="10">
        <v>7</v>
      </c>
      <c r="N238" s="30">
        <v>45846</v>
      </c>
      <c r="O238" s="31">
        <f t="shared" si="82"/>
        <v>4909</v>
      </c>
      <c r="P238" s="32">
        <f>11268+1192+229</f>
        <v>12689</v>
      </c>
      <c r="Q238" s="32"/>
      <c r="R238" s="32"/>
      <c r="S238" s="32">
        <f t="shared" si="77"/>
        <v>12689</v>
      </c>
      <c r="T238" s="12"/>
      <c r="U238" s="12">
        <v>22</v>
      </c>
      <c r="V238" s="12"/>
      <c r="W238" s="12">
        <f t="shared" si="78"/>
        <v>12711</v>
      </c>
      <c r="Y238" s="10">
        <v>7</v>
      </c>
      <c r="Z238" s="30">
        <v>45846</v>
      </c>
      <c r="AA238" s="31">
        <f t="shared" si="83"/>
        <v>4868</v>
      </c>
      <c r="AB238" s="32">
        <f>3130+47</f>
        <v>3177</v>
      </c>
      <c r="AC238" s="32"/>
      <c r="AD238" s="32"/>
      <c r="AE238" s="32">
        <f t="shared" si="79"/>
        <v>3177</v>
      </c>
      <c r="AF238" s="12"/>
      <c r="AG238" s="58"/>
      <c r="AH238" s="12"/>
      <c r="AI238" s="12">
        <f t="shared" si="80"/>
        <v>3177</v>
      </c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</row>
    <row r="239" spans="1:52" x14ac:dyDescent="0.25">
      <c r="A239" s="10">
        <v>8</v>
      </c>
      <c r="B239" s="30">
        <v>45846</v>
      </c>
      <c r="C239" s="31">
        <f t="shared" si="81"/>
        <v>4978</v>
      </c>
      <c r="D239" s="32">
        <f>3130+48+650</f>
        <v>3828</v>
      </c>
      <c r="E239" s="32"/>
      <c r="F239" s="32"/>
      <c r="G239" s="32">
        <f t="shared" si="75"/>
        <v>3828</v>
      </c>
      <c r="H239" s="12"/>
      <c r="I239" s="12"/>
      <c r="J239" s="12"/>
      <c r="K239" s="12">
        <f t="shared" si="76"/>
        <v>3828</v>
      </c>
      <c r="M239" s="10">
        <v>8</v>
      </c>
      <c r="N239" s="30">
        <v>45846</v>
      </c>
      <c r="O239" s="31">
        <f t="shared" si="82"/>
        <v>4910</v>
      </c>
      <c r="P239" s="32">
        <f>19406+229</f>
        <v>19635</v>
      </c>
      <c r="Q239" s="32">
        <v>-256</v>
      </c>
      <c r="R239" s="32"/>
      <c r="S239" s="32">
        <f t="shared" si="77"/>
        <v>19379</v>
      </c>
      <c r="T239" s="12"/>
      <c r="U239" s="12">
        <v>36</v>
      </c>
      <c r="V239" s="12"/>
      <c r="W239" s="12">
        <f t="shared" si="78"/>
        <v>19415</v>
      </c>
      <c r="Y239" s="10">
        <v>8</v>
      </c>
      <c r="Z239" s="30">
        <v>45846</v>
      </c>
      <c r="AA239" s="31">
        <f t="shared" si="83"/>
        <v>4869</v>
      </c>
      <c r="AB239" s="32">
        <f>4382+2384+104</f>
        <v>6870</v>
      </c>
      <c r="AC239" s="32"/>
      <c r="AE239" s="32">
        <f t="shared" si="79"/>
        <v>6870</v>
      </c>
      <c r="AF239" s="12"/>
      <c r="AG239" s="12">
        <f>111+6</f>
        <v>117</v>
      </c>
      <c r="AH239" s="12"/>
      <c r="AI239" s="12">
        <f t="shared" si="80"/>
        <v>6987</v>
      </c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</row>
    <row r="240" spans="1:52" x14ac:dyDescent="0.25">
      <c r="A240" s="10">
        <v>9</v>
      </c>
      <c r="B240" s="30">
        <v>45846</v>
      </c>
      <c r="C240" s="31">
        <f t="shared" si="81"/>
        <v>4979</v>
      </c>
      <c r="D240" s="32">
        <f>1878+29</f>
        <v>1907</v>
      </c>
      <c r="E240" s="32"/>
      <c r="F240" s="32"/>
      <c r="G240" s="32">
        <f t="shared" si="75"/>
        <v>1907</v>
      </c>
      <c r="H240" s="12"/>
      <c r="I240" s="12">
        <v>14</v>
      </c>
      <c r="J240" s="12"/>
      <c r="K240" s="12">
        <f t="shared" si="76"/>
        <v>1921</v>
      </c>
      <c r="M240" s="10">
        <v>9</v>
      </c>
      <c r="N240" s="30">
        <v>45846</v>
      </c>
      <c r="O240" s="31">
        <f t="shared" si="82"/>
        <v>4911</v>
      </c>
      <c r="P240" s="32">
        <f>3130+596+57</f>
        <v>3783</v>
      </c>
      <c r="Q240" s="32"/>
      <c r="R240" s="32"/>
      <c r="S240" s="32">
        <f t="shared" si="77"/>
        <v>3783</v>
      </c>
      <c r="T240" s="12"/>
      <c r="U240" s="12">
        <v>9</v>
      </c>
      <c r="V240" s="12"/>
      <c r="W240" s="12">
        <f t="shared" si="78"/>
        <v>3792</v>
      </c>
      <c r="Y240" s="10">
        <v>9</v>
      </c>
      <c r="Z240" s="30">
        <v>45846</v>
      </c>
      <c r="AA240" s="31">
        <f t="shared" si="83"/>
        <v>4870</v>
      </c>
      <c r="AB240">
        <f>3130+1192+852+66</f>
        <v>5240</v>
      </c>
      <c r="AC240" s="32"/>
      <c r="AD240" s="32"/>
      <c r="AE240" s="32">
        <f t="shared" si="79"/>
        <v>5240</v>
      </c>
      <c r="AF240" s="12"/>
      <c r="AH240" s="12"/>
      <c r="AI240" s="12">
        <f t="shared" si="80"/>
        <v>5240</v>
      </c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</row>
    <row r="241" spans="1:52" x14ac:dyDescent="0.25">
      <c r="A241" s="10">
        <v>10</v>
      </c>
      <c r="B241" s="30">
        <v>45846</v>
      </c>
      <c r="C241" s="31">
        <f t="shared" si="81"/>
        <v>4980</v>
      </c>
      <c r="D241" s="32">
        <f>10642+596+171</f>
        <v>11409</v>
      </c>
      <c r="E241" s="32"/>
      <c r="F241" s="32"/>
      <c r="G241" s="32">
        <f t="shared" si="75"/>
        <v>11409</v>
      </c>
      <c r="H241" s="12"/>
      <c r="I241" s="12"/>
      <c r="J241" s="12"/>
      <c r="K241" s="12">
        <f t="shared" si="76"/>
        <v>11409</v>
      </c>
      <c r="M241" s="10">
        <v>10</v>
      </c>
      <c r="N241" s="30">
        <v>45846</v>
      </c>
      <c r="O241" s="31">
        <f t="shared" si="82"/>
        <v>4912</v>
      </c>
      <c r="P241" s="32">
        <f>5008+1192+95</f>
        <v>6295</v>
      </c>
      <c r="Q241" s="32"/>
      <c r="R241" s="32"/>
      <c r="S241" s="32">
        <f t="shared" si="77"/>
        <v>6295</v>
      </c>
      <c r="T241" s="12"/>
      <c r="U241" s="12"/>
      <c r="V241" s="12"/>
      <c r="W241" s="12">
        <f t="shared" si="78"/>
        <v>6295</v>
      </c>
      <c r="Y241" s="10">
        <v>10</v>
      </c>
      <c r="Z241" s="30">
        <v>45846</v>
      </c>
      <c r="AA241" s="31">
        <f t="shared" si="83"/>
        <v>4871</v>
      </c>
      <c r="AB241" s="32">
        <f>4044</f>
        <v>4044</v>
      </c>
      <c r="AC241" s="32"/>
      <c r="AD241" s="32"/>
      <c r="AE241" s="32">
        <f t="shared" si="79"/>
        <v>4044</v>
      </c>
      <c r="AF241" s="12"/>
      <c r="AG241" s="12"/>
      <c r="AH241" s="12"/>
      <c r="AI241" s="12">
        <f t="shared" si="80"/>
        <v>4044</v>
      </c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</row>
    <row r="242" spans="1:52" x14ac:dyDescent="0.25">
      <c r="A242" s="10">
        <v>11</v>
      </c>
      <c r="B242" s="30">
        <v>45846</v>
      </c>
      <c r="C242" s="31">
        <f t="shared" si="81"/>
        <v>4981</v>
      </c>
      <c r="D242" s="32">
        <f>1878+1788+57</f>
        <v>3723</v>
      </c>
      <c r="E242" s="32"/>
      <c r="F242" s="32"/>
      <c r="G242" s="32">
        <f t="shared" si="75"/>
        <v>3723</v>
      </c>
      <c r="H242" s="12"/>
      <c r="I242" s="12">
        <v>50</v>
      </c>
      <c r="J242" s="12"/>
      <c r="K242" s="12">
        <f t="shared" si="76"/>
        <v>3773</v>
      </c>
      <c r="M242" s="10">
        <v>11</v>
      </c>
      <c r="N242" s="30">
        <v>45846</v>
      </c>
      <c r="O242" s="31">
        <f t="shared" si="82"/>
        <v>4913</v>
      </c>
      <c r="P242" s="32">
        <f>3130+1192+66.5</f>
        <v>4388.5</v>
      </c>
      <c r="Q242" s="32"/>
      <c r="R242" s="32"/>
      <c r="S242" s="32">
        <f t="shared" si="77"/>
        <v>4388.5</v>
      </c>
      <c r="T242" s="12"/>
      <c r="U242" s="12"/>
      <c r="V242" s="12"/>
      <c r="W242" s="12">
        <f t="shared" si="78"/>
        <v>4388.5</v>
      </c>
      <c r="Y242" s="10">
        <v>11</v>
      </c>
      <c r="Z242" s="30"/>
      <c r="AA242" s="11" t="s">
        <v>28</v>
      </c>
      <c r="AB242" s="32"/>
      <c r="AC242" s="32"/>
      <c r="AD242" s="32"/>
      <c r="AE242" s="32">
        <f t="shared" si="79"/>
        <v>0</v>
      </c>
      <c r="AF242" s="12"/>
      <c r="AG242" s="12"/>
      <c r="AH242" s="12"/>
      <c r="AI242" s="12">
        <f t="shared" si="80"/>
        <v>0</v>
      </c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</row>
    <row r="243" spans="1:52" x14ac:dyDescent="0.25">
      <c r="A243" s="10">
        <v>12</v>
      </c>
      <c r="B243" s="30">
        <v>45846</v>
      </c>
      <c r="C243" s="31">
        <f t="shared" si="81"/>
        <v>4982</v>
      </c>
      <c r="D243" s="32">
        <f>626+10</f>
        <v>636</v>
      </c>
      <c r="E243" s="32"/>
      <c r="F243" s="32"/>
      <c r="G243" s="32">
        <f t="shared" si="75"/>
        <v>636</v>
      </c>
      <c r="H243" s="12"/>
      <c r="I243" s="12"/>
      <c r="J243" s="10"/>
      <c r="K243" s="12">
        <f t="shared" si="76"/>
        <v>636</v>
      </c>
      <c r="M243" s="10">
        <v>12</v>
      </c>
      <c r="N243" s="30">
        <v>45846</v>
      </c>
      <c r="O243" s="31">
        <f t="shared" si="82"/>
        <v>4914</v>
      </c>
      <c r="P243" s="32">
        <f>8138+1192+142.5</f>
        <v>9472.5</v>
      </c>
      <c r="Q243" s="32"/>
      <c r="R243" s="32"/>
      <c r="S243" s="32">
        <f t="shared" si="77"/>
        <v>9472.5</v>
      </c>
      <c r="T243" s="12"/>
      <c r="U243" s="12"/>
      <c r="V243" s="12"/>
      <c r="W243" s="12">
        <f t="shared" si="78"/>
        <v>9472.5</v>
      </c>
      <c r="Y243" s="10">
        <v>12</v>
      </c>
      <c r="Z243" s="30"/>
      <c r="AB243" s="32"/>
      <c r="AC243" s="32"/>
      <c r="AD243" s="32"/>
      <c r="AE243" s="32">
        <f t="shared" si="79"/>
        <v>0</v>
      </c>
      <c r="AF243" s="12"/>
      <c r="AG243" s="12"/>
      <c r="AH243" s="12"/>
      <c r="AI243" s="12">
        <f t="shared" si="80"/>
        <v>0</v>
      </c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</row>
    <row r="244" spans="1:52" x14ac:dyDescent="0.25">
      <c r="A244" s="10">
        <v>13</v>
      </c>
      <c r="B244" s="30">
        <v>45846</v>
      </c>
      <c r="C244" s="31">
        <f t="shared" si="81"/>
        <v>4983</v>
      </c>
      <c r="D244" s="32">
        <f>1252+596+29</f>
        <v>1877</v>
      </c>
      <c r="E244" s="32"/>
      <c r="F244" s="32"/>
      <c r="G244" s="32">
        <f t="shared" si="75"/>
        <v>1877</v>
      </c>
      <c r="H244" s="12"/>
      <c r="I244" s="12"/>
      <c r="J244" s="12"/>
      <c r="K244" s="12">
        <f t="shared" si="76"/>
        <v>1877</v>
      </c>
      <c r="M244" s="10">
        <v>13</v>
      </c>
      <c r="N244" s="30">
        <v>45846</v>
      </c>
      <c r="O244" s="31">
        <f t="shared" si="82"/>
        <v>4915</v>
      </c>
      <c r="P244" s="32">
        <f>4382</f>
        <v>4382</v>
      </c>
      <c r="Q244" s="32"/>
      <c r="R244" s="32"/>
      <c r="S244" s="32">
        <f t="shared" si="77"/>
        <v>4382</v>
      </c>
      <c r="T244" s="12"/>
      <c r="U244" s="12"/>
      <c r="V244" s="12"/>
      <c r="W244" s="12">
        <f t="shared" si="78"/>
        <v>4382</v>
      </c>
      <c r="Y244" s="10">
        <v>13</v>
      </c>
      <c r="Z244" s="30"/>
      <c r="AA244" s="31"/>
      <c r="AB244" s="32"/>
      <c r="AC244" s="32"/>
      <c r="AD244" s="32"/>
      <c r="AE244" s="32">
        <f t="shared" si="79"/>
        <v>0</v>
      </c>
      <c r="AF244" s="12"/>
      <c r="AG244" s="12"/>
      <c r="AH244" s="12"/>
      <c r="AI244" s="12">
        <f t="shared" si="80"/>
        <v>0</v>
      </c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</row>
    <row r="245" spans="1:52" x14ac:dyDescent="0.25">
      <c r="A245" s="10">
        <v>14</v>
      </c>
      <c r="B245" s="30">
        <v>45846</v>
      </c>
      <c r="C245" s="31">
        <f t="shared" si="81"/>
        <v>4984</v>
      </c>
      <c r="D245" s="32">
        <f>6260+1228+1788+124</f>
        <v>9400</v>
      </c>
      <c r="E245" s="32"/>
      <c r="F245" s="32"/>
      <c r="G245" s="32">
        <f t="shared" si="75"/>
        <v>9400</v>
      </c>
      <c r="H245" s="12"/>
      <c r="I245" s="12"/>
      <c r="J245" s="12"/>
      <c r="K245" s="12">
        <f t="shared" si="76"/>
        <v>9400</v>
      </c>
      <c r="M245" s="10">
        <v>14</v>
      </c>
      <c r="N245" s="30">
        <v>45846</v>
      </c>
      <c r="O245" s="31">
        <f t="shared" si="82"/>
        <v>4916</v>
      </c>
      <c r="P245" s="32">
        <f>1252+19</f>
        <v>1271</v>
      </c>
      <c r="Q245" s="32"/>
      <c r="R245" s="32"/>
      <c r="S245" s="32">
        <f t="shared" si="77"/>
        <v>1271</v>
      </c>
      <c r="T245" s="12"/>
      <c r="U245" s="12"/>
      <c r="V245" s="12"/>
      <c r="W245" s="12">
        <f t="shared" si="78"/>
        <v>1271</v>
      </c>
      <c r="Y245" s="10">
        <v>14</v>
      </c>
      <c r="Z245" s="30"/>
      <c r="AA245" s="31"/>
      <c r="AB245" s="32"/>
      <c r="AC245" s="32"/>
      <c r="AD245" s="32"/>
      <c r="AE245" s="32">
        <f t="shared" si="79"/>
        <v>0</v>
      </c>
      <c r="AF245" s="12"/>
      <c r="AG245" s="12"/>
      <c r="AH245" s="12"/>
      <c r="AI245" s="12">
        <f t="shared" si="80"/>
        <v>0</v>
      </c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</row>
    <row r="246" spans="1:52" x14ac:dyDescent="0.25">
      <c r="A246" s="10">
        <v>15</v>
      </c>
      <c r="B246" s="30">
        <v>45846</v>
      </c>
      <c r="C246" s="31">
        <f t="shared" si="81"/>
        <v>4985</v>
      </c>
      <c r="D246" s="32">
        <f>2504+614+38</f>
        <v>3156</v>
      </c>
      <c r="E246" s="32"/>
      <c r="F246" s="32"/>
      <c r="G246" s="32">
        <f t="shared" si="75"/>
        <v>3156</v>
      </c>
      <c r="H246" s="12"/>
      <c r="I246" s="12"/>
      <c r="J246" s="12"/>
      <c r="K246" s="12">
        <f t="shared" si="76"/>
        <v>3156</v>
      </c>
      <c r="M246" s="10">
        <v>15</v>
      </c>
      <c r="N246" s="30">
        <v>45846</v>
      </c>
      <c r="O246" s="31">
        <f t="shared" si="82"/>
        <v>4917</v>
      </c>
      <c r="P246">
        <f>1252</f>
        <v>1252</v>
      </c>
      <c r="R246" s="32"/>
      <c r="S246" s="32">
        <f t="shared" si="77"/>
        <v>1252</v>
      </c>
      <c r="T246" s="12"/>
      <c r="W246" s="12">
        <f t="shared" si="78"/>
        <v>1252</v>
      </c>
      <c r="Y246" s="10">
        <v>15</v>
      </c>
      <c r="Z246" s="30"/>
      <c r="AA246" s="31"/>
      <c r="AB246" s="32"/>
      <c r="AC246" s="32"/>
      <c r="AD246" s="32"/>
      <c r="AE246" s="32">
        <f t="shared" si="79"/>
        <v>0</v>
      </c>
      <c r="AF246" s="12"/>
      <c r="AG246" s="12"/>
      <c r="AH246" s="12"/>
      <c r="AI246" s="12">
        <f t="shared" si="80"/>
        <v>0</v>
      </c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</row>
    <row r="247" spans="1:52" x14ac:dyDescent="0.25">
      <c r="A247" s="10">
        <v>16</v>
      </c>
      <c r="B247" s="30">
        <v>45846</v>
      </c>
      <c r="C247" s="31">
        <f t="shared" si="81"/>
        <v>4986</v>
      </c>
      <c r="D247" s="32">
        <f>1252+19</f>
        <v>1271</v>
      </c>
      <c r="E247" s="32"/>
      <c r="F247" s="32"/>
      <c r="G247" s="32">
        <f t="shared" si="75"/>
        <v>1271</v>
      </c>
      <c r="H247" s="12"/>
      <c r="I247" s="12"/>
      <c r="J247" s="12"/>
      <c r="K247" s="12">
        <f t="shared" si="76"/>
        <v>1271</v>
      </c>
      <c r="M247" s="10">
        <v>16</v>
      </c>
      <c r="N247" s="30">
        <v>45846</v>
      </c>
      <c r="O247" s="31">
        <f t="shared" si="82"/>
        <v>4918</v>
      </c>
      <c r="P247" s="32">
        <f>8764+1192+229</f>
        <v>10185</v>
      </c>
      <c r="Q247" s="32"/>
      <c r="R247" s="32"/>
      <c r="S247" s="32">
        <f>SUM(P247:Q247)</f>
        <v>10185</v>
      </c>
      <c r="T247" s="12"/>
      <c r="U247" s="12"/>
      <c r="V247" s="12"/>
      <c r="W247" s="12">
        <f>SUM(S247:V247)</f>
        <v>10185</v>
      </c>
      <c r="Y247" s="10">
        <v>16</v>
      </c>
      <c r="Z247" s="30"/>
      <c r="AA247" s="31"/>
      <c r="AB247" s="32"/>
      <c r="AC247" s="32"/>
      <c r="AD247" s="32"/>
      <c r="AE247" s="32">
        <f t="shared" si="79"/>
        <v>0</v>
      </c>
      <c r="AF247" s="12"/>
      <c r="AG247" s="12"/>
      <c r="AH247" s="12"/>
      <c r="AI247" s="12">
        <f t="shared" si="80"/>
        <v>0</v>
      </c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</row>
    <row r="248" spans="1:52" x14ac:dyDescent="0.25">
      <c r="A248" s="10">
        <v>17</v>
      </c>
      <c r="B248" s="30">
        <v>45846</v>
      </c>
      <c r="C248" s="31">
        <f t="shared" si="81"/>
        <v>4987</v>
      </c>
      <c r="D248" s="32">
        <f>1252+19</f>
        <v>1271</v>
      </c>
      <c r="E248" s="32"/>
      <c r="F248" s="32"/>
      <c r="G248" s="32">
        <f t="shared" si="75"/>
        <v>1271</v>
      </c>
      <c r="H248" s="12"/>
      <c r="I248" s="12"/>
      <c r="J248" s="12"/>
      <c r="K248" s="12">
        <f t="shared" si="76"/>
        <v>1271</v>
      </c>
      <c r="M248" s="10">
        <v>17</v>
      </c>
      <c r="N248" s="30">
        <v>45846</v>
      </c>
      <c r="O248" s="31">
        <f t="shared" si="82"/>
        <v>4919</v>
      </c>
      <c r="P248" s="35">
        <f>15650+2980</f>
        <v>18630</v>
      </c>
      <c r="Q248" s="32"/>
      <c r="R248" s="32"/>
      <c r="S248" s="32">
        <f t="shared" ref="S248:S264" si="84">SUM(P248:Q248)</f>
        <v>18630</v>
      </c>
      <c r="T248" s="12"/>
      <c r="U248" s="12"/>
      <c r="V248" s="12"/>
      <c r="W248" s="12">
        <f t="shared" ref="W248:W264" si="85">SUM(S248:V248)</f>
        <v>18630</v>
      </c>
      <c r="Y248" s="10">
        <v>17</v>
      </c>
      <c r="Z248" s="30"/>
      <c r="AA248" s="31"/>
      <c r="AB248" s="35"/>
      <c r="AC248" s="32"/>
      <c r="AD248" s="32"/>
      <c r="AE248" s="32">
        <f t="shared" si="79"/>
        <v>0</v>
      </c>
      <c r="AF248" s="12"/>
      <c r="AG248" s="12"/>
      <c r="AH248" s="12"/>
      <c r="AI248" s="12">
        <f t="shared" si="80"/>
        <v>0</v>
      </c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</row>
    <row r="249" spans="1:52" x14ac:dyDescent="0.25">
      <c r="A249" s="10">
        <v>18</v>
      </c>
      <c r="B249" s="30">
        <v>45846</v>
      </c>
      <c r="C249" s="31">
        <f t="shared" si="81"/>
        <v>4988</v>
      </c>
      <c r="D249" s="32">
        <f>626*3+29</f>
        <v>1907</v>
      </c>
      <c r="E249" s="32"/>
      <c r="F249" s="32"/>
      <c r="G249" s="32">
        <f t="shared" si="75"/>
        <v>1907</v>
      </c>
      <c r="H249" s="12"/>
      <c r="I249" s="12">
        <v>5</v>
      </c>
      <c r="J249" s="12"/>
      <c r="K249" s="12">
        <f t="shared" si="76"/>
        <v>1912</v>
      </c>
      <c r="M249" s="10">
        <v>18</v>
      </c>
      <c r="N249" s="30"/>
      <c r="O249" s="11" t="s">
        <v>28</v>
      </c>
      <c r="P249" s="32"/>
      <c r="Q249" s="32"/>
      <c r="R249" s="32"/>
      <c r="S249" s="32">
        <f t="shared" si="84"/>
        <v>0</v>
      </c>
      <c r="T249" s="12"/>
      <c r="U249" s="12"/>
      <c r="V249" s="12"/>
      <c r="W249" s="12">
        <f t="shared" si="85"/>
        <v>0</v>
      </c>
      <c r="Y249" s="10">
        <v>18</v>
      </c>
      <c r="Z249" s="30"/>
      <c r="AA249" s="31"/>
      <c r="AB249" s="32"/>
      <c r="AC249" s="32"/>
      <c r="AD249" s="32"/>
      <c r="AE249" s="32">
        <f t="shared" si="79"/>
        <v>0</v>
      </c>
      <c r="AF249" s="12"/>
      <c r="AG249" s="12"/>
      <c r="AH249" s="12"/>
      <c r="AI249" s="12">
        <f t="shared" si="80"/>
        <v>0</v>
      </c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</row>
    <row r="250" spans="1:52" x14ac:dyDescent="0.25">
      <c r="A250" s="10">
        <v>19</v>
      </c>
      <c r="B250" s="30"/>
      <c r="C250" s="11" t="s">
        <v>28</v>
      </c>
      <c r="D250" s="32"/>
      <c r="E250" s="32"/>
      <c r="F250" s="32"/>
      <c r="G250" s="32">
        <f t="shared" si="75"/>
        <v>0</v>
      </c>
      <c r="H250" s="12"/>
      <c r="I250" s="12"/>
      <c r="J250" s="12"/>
      <c r="K250" s="12">
        <f t="shared" si="76"/>
        <v>0</v>
      </c>
      <c r="M250" s="10">
        <v>19</v>
      </c>
      <c r="N250" s="30"/>
      <c r="O250" s="31"/>
      <c r="P250" s="32"/>
      <c r="Q250" s="32"/>
      <c r="R250" s="32"/>
      <c r="S250" s="32">
        <f t="shared" si="84"/>
        <v>0</v>
      </c>
      <c r="T250" s="12"/>
      <c r="U250" s="12"/>
      <c r="V250" s="12"/>
      <c r="W250" s="12">
        <f t="shared" si="85"/>
        <v>0</v>
      </c>
      <c r="Y250" s="10">
        <v>19</v>
      </c>
      <c r="Z250" s="30"/>
      <c r="AA250" s="31"/>
      <c r="AB250" s="32"/>
      <c r="AC250" s="32"/>
      <c r="AD250" s="32"/>
      <c r="AE250" s="32">
        <f t="shared" si="79"/>
        <v>0</v>
      </c>
      <c r="AF250" s="12"/>
      <c r="AG250" s="12"/>
      <c r="AH250" s="12"/>
      <c r="AI250" s="12">
        <f t="shared" si="80"/>
        <v>0</v>
      </c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</row>
    <row r="251" spans="1:52" x14ac:dyDescent="0.25">
      <c r="A251" s="10">
        <v>20</v>
      </c>
      <c r="B251" s="30"/>
      <c r="C251" s="31"/>
      <c r="D251" s="32"/>
      <c r="E251" s="32"/>
      <c r="F251" s="32"/>
      <c r="G251" s="32">
        <f t="shared" si="75"/>
        <v>0</v>
      </c>
      <c r="H251" s="12"/>
      <c r="I251" s="12"/>
      <c r="J251" s="12"/>
      <c r="K251" s="12">
        <f t="shared" si="76"/>
        <v>0</v>
      </c>
      <c r="M251" s="10">
        <v>20</v>
      </c>
      <c r="N251" s="30"/>
      <c r="O251" s="31"/>
      <c r="P251" s="32"/>
      <c r="Q251" s="32"/>
      <c r="R251" s="32"/>
      <c r="S251" s="32">
        <f t="shared" si="84"/>
        <v>0</v>
      </c>
      <c r="T251" s="12"/>
      <c r="U251" s="12"/>
      <c r="V251" s="12"/>
      <c r="W251" s="12">
        <f t="shared" si="85"/>
        <v>0</v>
      </c>
      <c r="Y251" s="10">
        <v>20</v>
      </c>
      <c r="Z251" s="30"/>
      <c r="AA251" s="31"/>
      <c r="AB251" s="32"/>
      <c r="AC251" s="32"/>
      <c r="AD251" s="32"/>
      <c r="AE251" s="32">
        <f t="shared" si="79"/>
        <v>0</v>
      </c>
      <c r="AF251" s="12"/>
      <c r="AG251" s="12"/>
      <c r="AH251" s="12"/>
      <c r="AI251" s="12">
        <f t="shared" si="80"/>
        <v>0</v>
      </c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</row>
    <row r="252" spans="1:52" x14ac:dyDescent="0.25">
      <c r="A252" s="10">
        <v>21</v>
      </c>
      <c r="B252" s="30"/>
      <c r="D252" s="32"/>
      <c r="E252" s="32"/>
      <c r="F252" s="32"/>
      <c r="G252" s="32">
        <f t="shared" si="75"/>
        <v>0</v>
      </c>
      <c r="H252" s="10"/>
      <c r="I252" s="10"/>
      <c r="J252" s="10"/>
      <c r="K252" s="12">
        <f t="shared" si="76"/>
        <v>0</v>
      </c>
      <c r="M252" s="10">
        <v>21</v>
      </c>
      <c r="N252" s="30"/>
      <c r="O252" s="31"/>
      <c r="P252" s="46"/>
      <c r="Q252" s="31"/>
      <c r="R252" s="31"/>
      <c r="S252" s="32">
        <f t="shared" si="84"/>
        <v>0</v>
      </c>
      <c r="T252" s="10"/>
      <c r="U252" s="10"/>
      <c r="V252" s="10"/>
      <c r="W252" s="12">
        <f t="shared" si="85"/>
        <v>0</v>
      </c>
      <c r="Y252" s="10">
        <v>21</v>
      </c>
      <c r="Z252" s="30"/>
      <c r="AA252" s="31"/>
      <c r="AB252" s="46"/>
      <c r="AC252" s="31"/>
      <c r="AD252" s="31"/>
      <c r="AE252" s="32">
        <f t="shared" si="79"/>
        <v>0</v>
      </c>
      <c r="AF252" s="10"/>
      <c r="AG252" s="10"/>
      <c r="AH252" s="10"/>
      <c r="AI252" s="12">
        <f t="shared" si="80"/>
        <v>0</v>
      </c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</row>
    <row r="253" spans="1:52" x14ac:dyDescent="0.25">
      <c r="A253" s="10">
        <v>22</v>
      </c>
      <c r="B253" s="30"/>
      <c r="C253" s="31"/>
      <c r="D253" s="32"/>
      <c r="E253" s="32"/>
      <c r="F253" s="32"/>
      <c r="G253" s="32">
        <f t="shared" si="75"/>
        <v>0</v>
      </c>
      <c r="H253" s="10"/>
      <c r="I253" s="10"/>
      <c r="J253" s="10"/>
      <c r="K253" s="12">
        <f t="shared" si="76"/>
        <v>0</v>
      </c>
      <c r="M253" s="10">
        <v>22</v>
      </c>
      <c r="N253" s="30"/>
      <c r="O253" s="31"/>
      <c r="P253" s="45"/>
      <c r="Q253" s="31"/>
      <c r="R253" s="31"/>
      <c r="S253" s="32">
        <f t="shared" si="84"/>
        <v>0</v>
      </c>
      <c r="T253" s="10"/>
      <c r="U253" s="10"/>
      <c r="V253" s="10"/>
      <c r="W253" s="12">
        <f t="shared" si="85"/>
        <v>0</v>
      </c>
      <c r="Y253" s="10">
        <v>22</v>
      </c>
      <c r="Z253" s="30"/>
      <c r="AA253" s="31"/>
      <c r="AB253" s="45"/>
      <c r="AC253" s="31"/>
      <c r="AD253" s="31"/>
      <c r="AE253" s="32">
        <f t="shared" si="79"/>
        <v>0</v>
      </c>
      <c r="AF253" s="10"/>
      <c r="AG253" s="10"/>
      <c r="AH253" s="10"/>
      <c r="AI253" s="12">
        <f t="shared" si="80"/>
        <v>0</v>
      </c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</row>
    <row r="254" spans="1:52" x14ac:dyDescent="0.25">
      <c r="A254" s="10">
        <v>23</v>
      </c>
      <c r="B254" s="30"/>
      <c r="C254" s="31"/>
      <c r="D254" s="32"/>
      <c r="E254" s="32"/>
      <c r="F254" s="32"/>
      <c r="G254" s="32">
        <f t="shared" si="75"/>
        <v>0</v>
      </c>
      <c r="H254" s="10"/>
      <c r="I254" s="10"/>
      <c r="J254" s="12"/>
      <c r="K254" s="12">
        <f t="shared" si="76"/>
        <v>0</v>
      </c>
      <c r="M254" s="10">
        <v>23</v>
      </c>
      <c r="N254" s="30"/>
      <c r="O254" s="31"/>
      <c r="P254" s="47"/>
      <c r="S254" s="32">
        <f t="shared" si="84"/>
        <v>0</v>
      </c>
      <c r="T254" s="10"/>
      <c r="U254" s="10"/>
      <c r="V254" s="10"/>
      <c r="W254" s="12">
        <f t="shared" si="85"/>
        <v>0</v>
      </c>
      <c r="Y254" s="10">
        <v>23</v>
      </c>
      <c r="Z254" s="30"/>
      <c r="AA254" s="31"/>
      <c r="AB254" s="47"/>
      <c r="AE254" s="32">
        <f t="shared" si="79"/>
        <v>0</v>
      </c>
      <c r="AF254" s="10"/>
      <c r="AG254" s="10"/>
      <c r="AH254" s="10"/>
      <c r="AI254" s="12">
        <f t="shared" si="80"/>
        <v>0</v>
      </c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</row>
    <row r="255" spans="1:52" x14ac:dyDescent="0.25">
      <c r="A255" s="10">
        <v>24</v>
      </c>
      <c r="B255" s="30"/>
      <c r="C255" s="31"/>
      <c r="D255" s="32"/>
      <c r="E255" s="32"/>
      <c r="F255" s="32"/>
      <c r="G255" s="32">
        <f t="shared" si="75"/>
        <v>0</v>
      </c>
      <c r="H255" s="10"/>
      <c r="I255" s="10"/>
      <c r="J255" s="10"/>
      <c r="K255" s="12">
        <f t="shared" si="76"/>
        <v>0</v>
      </c>
      <c r="M255" s="10">
        <v>24</v>
      </c>
      <c r="N255" s="30"/>
      <c r="O255" s="31"/>
      <c r="P255" s="47"/>
      <c r="Q255" s="31"/>
      <c r="R255" s="31"/>
      <c r="S255" s="32">
        <f t="shared" si="84"/>
        <v>0</v>
      </c>
      <c r="T255" s="10"/>
      <c r="U255" s="10"/>
      <c r="V255" s="10"/>
      <c r="W255" s="12">
        <f t="shared" si="85"/>
        <v>0</v>
      </c>
      <c r="Y255" s="10">
        <v>24</v>
      </c>
      <c r="Z255" s="30"/>
      <c r="AA255" s="31"/>
      <c r="AB255" s="47"/>
      <c r="AC255" s="31"/>
      <c r="AD255" s="31"/>
      <c r="AE255" s="32">
        <f t="shared" si="79"/>
        <v>0</v>
      </c>
      <c r="AF255" s="10"/>
      <c r="AG255" s="10"/>
      <c r="AH255" s="10"/>
      <c r="AI255" s="12">
        <f t="shared" si="80"/>
        <v>0</v>
      </c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</row>
    <row r="256" spans="1:52" x14ac:dyDescent="0.25">
      <c r="A256" s="10">
        <v>25</v>
      </c>
      <c r="B256" s="30"/>
      <c r="C256" s="31"/>
      <c r="D256" s="32"/>
      <c r="E256" s="32"/>
      <c r="F256" s="32"/>
      <c r="G256" s="32">
        <f t="shared" si="75"/>
        <v>0</v>
      </c>
      <c r="H256" s="10"/>
      <c r="I256" s="10"/>
      <c r="J256" s="10"/>
      <c r="K256" s="12">
        <f t="shared" si="76"/>
        <v>0</v>
      </c>
      <c r="M256" s="10">
        <v>25</v>
      </c>
      <c r="N256" s="30"/>
      <c r="O256" s="31"/>
      <c r="P256" s="47"/>
      <c r="Q256" s="31"/>
      <c r="R256" s="31"/>
      <c r="S256" s="32">
        <f t="shared" si="84"/>
        <v>0</v>
      </c>
      <c r="T256" s="10"/>
      <c r="U256" s="10"/>
      <c r="V256" s="10"/>
      <c r="W256" s="12">
        <f t="shared" si="85"/>
        <v>0</v>
      </c>
      <c r="Y256" s="10">
        <v>25</v>
      </c>
      <c r="Z256" s="30"/>
      <c r="AA256" s="31"/>
      <c r="AB256" s="47"/>
      <c r="AC256" s="31"/>
      <c r="AD256" s="31"/>
      <c r="AE256" s="32">
        <f t="shared" si="79"/>
        <v>0</v>
      </c>
      <c r="AF256" s="10"/>
      <c r="AG256" s="10"/>
      <c r="AH256" s="10"/>
      <c r="AI256" s="12">
        <f t="shared" si="80"/>
        <v>0</v>
      </c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</row>
    <row r="257" spans="1:52" x14ac:dyDescent="0.25">
      <c r="A257" s="10">
        <v>26</v>
      </c>
      <c r="B257" s="30"/>
      <c r="C257" s="31"/>
      <c r="D257" s="32"/>
      <c r="E257" s="32"/>
      <c r="F257" s="32"/>
      <c r="G257" s="32">
        <f t="shared" si="75"/>
        <v>0</v>
      </c>
      <c r="H257" s="10"/>
      <c r="I257" s="10"/>
      <c r="J257" s="10"/>
      <c r="K257" s="12">
        <f t="shared" si="76"/>
        <v>0</v>
      </c>
      <c r="M257" s="10">
        <v>26</v>
      </c>
      <c r="N257" s="30"/>
      <c r="O257" s="31"/>
      <c r="P257" s="47"/>
      <c r="Q257" s="31"/>
      <c r="R257" s="31"/>
      <c r="S257" s="32">
        <f t="shared" si="84"/>
        <v>0</v>
      </c>
      <c r="T257" s="10"/>
      <c r="U257" s="10"/>
      <c r="V257" s="10"/>
      <c r="W257" s="12">
        <f t="shared" si="85"/>
        <v>0</v>
      </c>
      <c r="Y257" s="10">
        <v>26</v>
      </c>
      <c r="Z257" s="30"/>
      <c r="AA257" s="31"/>
      <c r="AB257" s="47"/>
      <c r="AC257" s="31"/>
      <c r="AD257" s="31"/>
      <c r="AE257" s="32">
        <f t="shared" si="79"/>
        <v>0</v>
      </c>
      <c r="AF257" s="10"/>
      <c r="AG257" s="10"/>
      <c r="AH257" s="10"/>
      <c r="AI257" s="12">
        <f t="shared" si="80"/>
        <v>0</v>
      </c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</row>
    <row r="258" spans="1:52" x14ac:dyDescent="0.25">
      <c r="A258" s="10">
        <v>27</v>
      </c>
      <c r="B258" s="30"/>
      <c r="C258" s="31"/>
      <c r="D258" s="32"/>
      <c r="E258" s="32"/>
      <c r="F258" s="32"/>
      <c r="G258" s="32">
        <f t="shared" si="75"/>
        <v>0</v>
      </c>
      <c r="H258" s="10"/>
      <c r="I258" s="10"/>
      <c r="J258" s="10"/>
      <c r="K258" s="12">
        <f t="shared" si="76"/>
        <v>0</v>
      </c>
      <c r="M258" s="10">
        <v>27</v>
      </c>
      <c r="N258" s="30"/>
      <c r="O258" s="31"/>
      <c r="P258" s="47"/>
      <c r="Q258" s="31"/>
      <c r="R258" s="31"/>
      <c r="S258" s="32">
        <f t="shared" si="84"/>
        <v>0</v>
      </c>
      <c r="T258" s="10"/>
      <c r="U258" s="10"/>
      <c r="V258" s="10"/>
      <c r="W258" s="12">
        <f t="shared" si="85"/>
        <v>0</v>
      </c>
      <c r="Y258" s="10">
        <v>27</v>
      </c>
      <c r="Z258" s="30"/>
      <c r="AA258" s="31"/>
      <c r="AB258" s="47"/>
      <c r="AC258" s="31"/>
      <c r="AD258" s="31"/>
      <c r="AE258" s="32">
        <f t="shared" si="79"/>
        <v>0</v>
      </c>
      <c r="AF258" s="10"/>
      <c r="AG258" s="10"/>
      <c r="AH258" s="10"/>
      <c r="AI258" s="12">
        <f t="shared" si="80"/>
        <v>0</v>
      </c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</row>
    <row r="259" spans="1:52" x14ac:dyDescent="0.25">
      <c r="A259" s="10">
        <v>28</v>
      </c>
      <c r="B259" s="30"/>
      <c r="C259" s="31"/>
      <c r="D259" s="32"/>
      <c r="E259" s="32"/>
      <c r="F259" s="32"/>
      <c r="G259" s="32">
        <f t="shared" si="75"/>
        <v>0</v>
      </c>
      <c r="H259" s="10"/>
      <c r="I259" s="10"/>
      <c r="J259" s="10"/>
      <c r="K259" s="12">
        <f t="shared" si="76"/>
        <v>0</v>
      </c>
      <c r="M259" s="10">
        <v>28</v>
      </c>
      <c r="N259" s="30"/>
      <c r="O259" s="31"/>
      <c r="P259" s="47"/>
      <c r="Q259" s="31"/>
      <c r="R259" s="31"/>
      <c r="S259" s="32">
        <f t="shared" si="84"/>
        <v>0</v>
      </c>
      <c r="T259" s="10"/>
      <c r="U259" s="10"/>
      <c r="V259" s="10"/>
      <c r="W259" s="12">
        <f t="shared" si="85"/>
        <v>0</v>
      </c>
      <c r="Y259" s="10">
        <v>28</v>
      </c>
      <c r="Z259" s="30"/>
      <c r="AA259" s="31"/>
      <c r="AB259" s="47"/>
      <c r="AC259" s="31"/>
      <c r="AD259" s="31"/>
      <c r="AE259" s="32">
        <f t="shared" si="79"/>
        <v>0</v>
      </c>
      <c r="AF259" s="10"/>
      <c r="AG259" s="10"/>
      <c r="AH259" s="10"/>
      <c r="AI259" s="12">
        <f t="shared" si="80"/>
        <v>0</v>
      </c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</row>
    <row r="260" spans="1:52" x14ac:dyDescent="0.25">
      <c r="A260" s="10">
        <v>29</v>
      </c>
      <c r="B260" s="30"/>
      <c r="C260" s="31"/>
      <c r="D260" s="32"/>
      <c r="E260" s="32"/>
      <c r="F260" s="32"/>
      <c r="G260" s="32">
        <f t="shared" si="75"/>
        <v>0</v>
      </c>
      <c r="H260" s="10"/>
      <c r="I260" s="10"/>
      <c r="J260" s="10"/>
      <c r="K260" s="12">
        <f t="shared" si="76"/>
        <v>0</v>
      </c>
      <c r="M260" s="10">
        <v>29</v>
      </c>
      <c r="N260" s="30"/>
      <c r="O260" s="31"/>
      <c r="P260" s="47"/>
      <c r="Q260" s="31"/>
      <c r="R260" s="31"/>
      <c r="S260" s="32">
        <f t="shared" si="84"/>
        <v>0</v>
      </c>
      <c r="T260" s="10"/>
      <c r="U260" s="10"/>
      <c r="V260" s="10"/>
      <c r="W260" s="12">
        <f t="shared" si="85"/>
        <v>0</v>
      </c>
      <c r="Y260" s="10">
        <v>29</v>
      </c>
      <c r="Z260" s="30"/>
      <c r="AA260" s="31"/>
      <c r="AB260" s="47"/>
      <c r="AC260" s="31"/>
      <c r="AD260" s="31"/>
      <c r="AE260" s="32">
        <f t="shared" si="79"/>
        <v>0</v>
      </c>
      <c r="AF260" s="10"/>
      <c r="AG260" s="10"/>
      <c r="AH260" s="10"/>
      <c r="AI260" s="12">
        <f t="shared" si="80"/>
        <v>0</v>
      </c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</row>
    <row r="261" spans="1:52" x14ac:dyDescent="0.25">
      <c r="A261" s="10">
        <v>30</v>
      </c>
      <c r="B261" s="30"/>
      <c r="C261" s="31"/>
      <c r="D261" s="32"/>
      <c r="E261" s="32"/>
      <c r="F261" s="32"/>
      <c r="G261" s="32">
        <f t="shared" si="75"/>
        <v>0</v>
      </c>
      <c r="H261" s="10"/>
      <c r="I261" s="10"/>
      <c r="J261" s="10"/>
      <c r="K261" s="12">
        <f t="shared" si="76"/>
        <v>0</v>
      </c>
      <c r="M261" s="10">
        <v>30</v>
      </c>
      <c r="N261" s="30"/>
      <c r="O261" s="31"/>
      <c r="P261" s="47"/>
      <c r="Q261" s="31"/>
      <c r="R261" s="31"/>
      <c r="S261" s="32">
        <f t="shared" si="84"/>
        <v>0</v>
      </c>
      <c r="T261" s="10"/>
      <c r="U261" s="10"/>
      <c r="V261" s="10"/>
      <c r="W261" s="12">
        <f t="shared" si="85"/>
        <v>0</v>
      </c>
      <c r="Y261" s="10">
        <v>30</v>
      </c>
      <c r="Z261" s="30"/>
      <c r="AA261" s="31"/>
      <c r="AB261" s="47"/>
      <c r="AC261" s="31"/>
      <c r="AD261" s="31"/>
      <c r="AE261" s="32">
        <f t="shared" si="79"/>
        <v>0</v>
      </c>
      <c r="AF261" s="10"/>
      <c r="AG261" s="10"/>
      <c r="AH261" s="10"/>
      <c r="AI261" s="12">
        <f t="shared" si="80"/>
        <v>0</v>
      </c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</row>
    <row r="262" spans="1:52" x14ac:dyDescent="0.25">
      <c r="A262" s="10">
        <v>31</v>
      </c>
      <c r="B262" s="30"/>
      <c r="C262" s="31"/>
      <c r="D262" s="32"/>
      <c r="E262" s="32"/>
      <c r="F262" s="32"/>
      <c r="G262" s="32">
        <f t="shared" si="75"/>
        <v>0</v>
      </c>
      <c r="H262" s="10"/>
      <c r="I262" s="10"/>
      <c r="J262" s="10"/>
      <c r="K262" s="12">
        <f t="shared" si="76"/>
        <v>0</v>
      </c>
      <c r="M262" s="10">
        <v>31</v>
      </c>
      <c r="N262" s="30"/>
      <c r="P262" s="47"/>
      <c r="Q262" s="31"/>
      <c r="R262" s="31"/>
      <c r="S262" s="32">
        <f t="shared" si="84"/>
        <v>0</v>
      </c>
      <c r="T262" s="10"/>
      <c r="U262" s="10"/>
      <c r="V262" s="10"/>
      <c r="W262" s="12">
        <f t="shared" si="85"/>
        <v>0</v>
      </c>
      <c r="Y262" s="10">
        <v>31</v>
      </c>
      <c r="Z262" s="30"/>
      <c r="AB262" s="47"/>
      <c r="AC262" s="31"/>
      <c r="AD262" s="31"/>
      <c r="AE262" s="32">
        <f t="shared" si="79"/>
        <v>0</v>
      </c>
      <c r="AF262" s="10"/>
      <c r="AG262" s="10"/>
      <c r="AH262" s="10"/>
      <c r="AI262" s="12">
        <f t="shared" si="80"/>
        <v>0</v>
      </c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</row>
    <row r="263" spans="1:52" x14ac:dyDescent="0.25">
      <c r="A263" s="10">
        <v>32</v>
      </c>
      <c r="B263" s="30"/>
      <c r="C263" s="31"/>
      <c r="D263" s="32"/>
      <c r="E263" s="32"/>
      <c r="F263" s="32"/>
      <c r="G263" s="32">
        <f t="shared" si="75"/>
        <v>0</v>
      </c>
      <c r="H263" s="10"/>
      <c r="I263" s="10"/>
      <c r="J263" s="10"/>
      <c r="K263" s="12">
        <f t="shared" si="76"/>
        <v>0</v>
      </c>
      <c r="M263" s="10">
        <v>32</v>
      </c>
      <c r="N263" s="30"/>
      <c r="P263" s="47"/>
      <c r="Q263" s="31"/>
      <c r="R263" s="31"/>
      <c r="S263" s="32">
        <f t="shared" si="84"/>
        <v>0</v>
      </c>
      <c r="T263" s="10"/>
      <c r="U263" s="10"/>
      <c r="V263" s="10"/>
      <c r="W263" s="12">
        <f t="shared" si="85"/>
        <v>0</v>
      </c>
      <c r="Y263" s="10">
        <v>32</v>
      </c>
      <c r="Z263" s="30"/>
      <c r="AA263" s="31"/>
      <c r="AB263" s="47"/>
      <c r="AC263" s="31"/>
      <c r="AD263" s="31"/>
      <c r="AE263" s="32">
        <f t="shared" si="79"/>
        <v>0</v>
      </c>
      <c r="AF263" s="10"/>
      <c r="AG263" s="10"/>
      <c r="AH263" s="10"/>
      <c r="AI263" s="12">
        <f t="shared" si="80"/>
        <v>0</v>
      </c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</row>
    <row r="264" spans="1:52" x14ac:dyDescent="0.25">
      <c r="A264" s="10">
        <v>33</v>
      </c>
      <c r="B264" s="30"/>
      <c r="C264" s="31"/>
      <c r="D264" s="32"/>
      <c r="E264" s="32"/>
      <c r="F264" s="32"/>
      <c r="G264" s="32">
        <f t="shared" si="75"/>
        <v>0</v>
      </c>
      <c r="H264" s="10"/>
      <c r="I264" s="10"/>
      <c r="J264" s="10"/>
      <c r="K264" s="12">
        <f t="shared" si="76"/>
        <v>0</v>
      </c>
      <c r="M264" s="10">
        <v>33</v>
      </c>
      <c r="N264" s="30"/>
      <c r="O264" s="31"/>
      <c r="P264" s="47"/>
      <c r="Q264" s="31"/>
      <c r="R264" s="31"/>
      <c r="S264" s="32">
        <f t="shared" si="84"/>
        <v>0</v>
      </c>
      <c r="T264" s="10"/>
      <c r="U264" s="10"/>
      <c r="V264" s="10"/>
      <c r="W264" s="12">
        <f t="shared" si="85"/>
        <v>0</v>
      </c>
      <c r="Y264" s="10">
        <v>33</v>
      </c>
      <c r="Z264" s="30"/>
      <c r="AA264" s="31"/>
      <c r="AB264" s="47"/>
      <c r="AC264" s="31"/>
      <c r="AD264" s="31"/>
      <c r="AE264" s="32">
        <f t="shared" si="79"/>
        <v>0</v>
      </c>
      <c r="AF264" s="10"/>
      <c r="AG264" s="10"/>
      <c r="AH264" s="10"/>
      <c r="AI264" s="12">
        <f t="shared" si="80"/>
        <v>0</v>
      </c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</row>
    <row r="265" spans="1:52" x14ac:dyDescent="0.25">
      <c r="A265" s="10"/>
      <c r="B265" s="30"/>
      <c r="C265" s="31"/>
      <c r="D265" s="32"/>
      <c r="E265" s="32"/>
      <c r="F265" s="32"/>
      <c r="G265" s="32">
        <f t="shared" si="75"/>
        <v>0</v>
      </c>
      <c r="H265" s="10"/>
      <c r="I265" s="10"/>
      <c r="J265" s="10"/>
      <c r="K265" s="12">
        <f t="shared" si="76"/>
        <v>0</v>
      </c>
      <c r="M265" s="10">
        <v>34</v>
      </c>
      <c r="N265" s="30"/>
      <c r="O265" s="31"/>
      <c r="P265" s="47"/>
      <c r="Q265" s="31"/>
      <c r="R265" s="31"/>
      <c r="S265" s="32">
        <f t="shared" ref="S265:S270" si="86">SUM(P265:Q265)</f>
        <v>0</v>
      </c>
      <c r="T265" s="10"/>
      <c r="U265" s="10"/>
      <c r="V265" s="10"/>
      <c r="W265" s="12">
        <f t="shared" ref="W265:W273" si="87">SUM(S265:V265)</f>
        <v>0</v>
      </c>
      <c r="Y265" s="10">
        <v>34</v>
      </c>
      <c r="Z265" s="30"/>
      <c r="AB265" s="47"/>
      <c r="AC265" s="31"/>
      <c r="AD265" s="31"/>
      <c r="AE265" s="32">
        <f t="shared" ref="AE265:AE270" si="88">SUM(AB265:AC265)</f>
        <v>0</v>
      </c>
      <c r="AF265" s="10"/>
      <c r="AG265" s="10"/>
      <c r="AH265" s="10"/>
      <c r="AI265" s="12">
        <f t="shared" ref="AI265:AI273" si="89">SUM(AE265:AH265)</f>
        <v>0</v>
      </c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</row>
    <row r="266" spans="1:52" x14ac:dyDescent="0.25">
      <c r="A266" s="10"/>
      <c r="B266" s="30"/>
      <c r="C266" s="31"/>
      <c r="D266" s="32"/>
      <c r="E266" s="32"/>
      <c r="F266" s="32"/>
      <c r="G266" s="32"/>
      <c r="H266" s="10"/>
      <c r="I266" s="10"/>
      <c r="J266" s="10"/>
      <c r="K266" s="12"/>
      <c r="M266" s="10">
        <v>35</v>
      </c>
      <c r="N266" s="30"/>
      <c r="O266" s="31"/>
      <c r="P266" s="47"/>
      <c r="Q266" s="31"/>
      <c r="R266" s="31"/>
      <c r="S266" s="32">
        <f t="shared" si="86"/>
        <v>0</v>
      </c>
      <c r="T266" s="10"/>
      <c r="U266" s="10"/>
      <c r="V266" s="10"/>
      <c r="W266" s="12">
        <f t="shared" si="87"/>
        <v>0</v>
      </c>
      <c r="Y266" s="10">
        <v>35</v>
      </c>
      <c r="Z266" s="30"/>
      <c r="AA266" s="31"/>
      <c r="AB266" s="47"/>
      <c r="AC266" s="31"/>
      <c r="AD266" s="31"/>
      <c r="AE266" s="32">
        <f t="shared" si="88"/>
        <v>0</v>
      </c>
      <c r="AF266" s="10"/>
      <c r="AG266" s="10"/>
      <c r="AH266" s="10"/>
      <c r="AI266" s="12">
        <f t="shared" si="89"/>
        <v>0</v>
      </c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</row>
    <row r="267" spans="1:52" x14ac:dyDescent="0.25">
      <c r="A267" s="10"/>
      <c r="B267" s="30"/>
      <c r="C267" s="31"/>
      <c r="D267" s="32"/>
      <c r="E267" s="32"/>
      <c r="F267" s="32"/>
      <c r="G267" s="32"/>
      <c r="H267" s="10"/>
      <c r="I267" s="10"/>
      <c r="J267" s="10"/>
      <c r="K267" s="12"/>
      <c r="M267" s="10">
        <v>36</v>
      </c>
      <c r="N267" s="30"/>
      <c r="O267" s="31"/>
      <c r="P267" s="47"/>
      <c r="Q267" s="31"/>
      <c r="R267" s="31"/>
      <c r="S267" s="32">
        <f t="shared" si="86"/>
        <v>0</v>
      </c>
      <c r="T267" s="10"/>
      <c r="U267" s="10"/>
      <c r="V267" s="10"/>
      <c r="W267" s="12">
        <f t="shared" si="87"/>
        <v>0</v>
      </c>
      <c r="Y267" s="10">
        <v>36</v>
      </c>
      <c r="Z267" s="30"/>
      <c r="AA267" s="31"/>
      <c r="AB267" s="47"/>
      <c r="AC267" s="31"/>
      <c r="AD267" s="31"/>
      <c r="AE267" s="32">
        <f t="shared" si="88"/>
        <v>0</v>
      </c>
      <c r="AF267" s="10"/>
      <c r="AG267" s="10"/>
      <c r="AH267" s="10"/>
      <c r="AI267" s="12">
        <f t="shared" si="89"/>
        <v>0</v>
      </c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</row>
    <row r="268" spans="1:52" x14ac:dyDescent="0.25">
      <c r="A268" s="10"/>
      <c r="B268" s="30"/>
      <c r="C268" s="57"/>
      <c r="D268" s="32"/>
      <c r="E268" s="32"/>
      <c r="F268" s="32"/>
      <c r="G268" s="32"/>
      <c r="H268" s="10"/>
      <c r="I268" s="10"/>
      <c r="J268" s="10"/>
      <c r="K268" s="12"/>
      <c r="M268" s="10">
        <v>37</v>
      </c>
      <c r="N268" s="30"/>
      <c r="P268" s="47"/>
      <c r="Q268" s="31"/>
      <c r="R268" s="31"/>
      <c r="S268" s="32">
        <f t="shared" si="86"/>
        <v>0</v>
      </c>
      <c r="T268" s="10"/>
      <c r="U268" s="10"/>
      <c r="V268" s="10"/>
      <c r="W268" s="12">
        <f t="shared" si="87"/>
        <v>0</v>
      </c>
      <c r="Y268" s="10">
        <v>37</v>
      </c>
      <c r="Z268" s="30"/>
      <c r="AA268" s="31"/>
      <c r="AB268" s="47"/>
      <c r="AC268" s="31"/>
      <c r="AD268" s="31"/>
      <c r="AE268" s="32">
        <f t="shared" si="88"/>
        <v>0</v>
      </c>
      <c r="AF268" s="10"/>
      <c r="AG268" s="10"/>
      <c r="AH268" s="10"/>
      <c r="AI268" s="12">
        <f t="shared" si="89"/>
        <v>0</v>
      </c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</row>
    <row r="269" spans="1:52" x14ac:dyDescent="0.25">
      <c r="A269" s="10"/>
      <c r="B269" s="30"/>
      <c r="C269" s="31"/>
      <c r="D269" s="32"/>
      <c r="E269" s="32"/>
      <c r="F269" s="32"/>
      <c r="G269" s="32"/>
      <c r="H269" s="10"/>
      <c r="I269" s="10"/>
      <c r="J269" s="10"/>
      <c r="K269" s="12"/>
      <c r="M269" s="10">
        <v>38</v>
      </c>
      <c r="N269" s="30"/>
      <c r="O269" s="31"/>
      <c r="P269" s="47"/>
      <c r="Q269" s="31"/>
      <c r="R269" s="31"/>
      <c r="S269" s="32">
        <f t="shared" si="86"/>
        <v>0</v>
      </c>
      <c r="T269" s="10"/>
      <c r="U269" s="10"/>
      <c r="V269" s="10"/>
      <c r="W269" s="12">
        <f t="shared" si="87"/>
        <v>0</v>
      </c>
      <c r="Y269" s="10">
        <v>38</v>
      </c>
      <c r="Z269" s="30"/>
      <c r="AA269" s="31"/>
      <c r="AB269" s="47"/>
      <c r="AC269" s="31"/>
      <c r="AD269" s="31"/>
      <c r="AE269" s="32">
        <f t="shared" si="88"/>
        <v>0</v>
      </c>
      <c r="AF269" s="10"/>
      <c r="AG269" s="10"/>
      <c r="AH269" s="10"/>
      <c r="AI269" s="12">
        <f t="shared" si="89"/>
        <v>0</v>
      </c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</row>
    <row r="270" spans="1:52" x14ac:dyDescent="0.25">
      <c r="A270" s="10"/>
      <c r="B270" s="30"/>
      <c r="C270" s="57"/>
      <c r="D270" s="32"/>
      <c r="E270" s="32"/>
      <c r="F270" s="32"/>
      <c r="G270" s="32"/>
      <c r="H270" s="10"/>
      <c r="I270" s="10"/>
      <c r="J270" s="10"/>
      <c r="K270" s="12"/>
      <c r="M270" s="10">
        <v>39</v>
      </c>
      <c r="N270" s="30"/>
      <c r="O270" s="31"/>
      <c r="P270" s="47"/>
      <c r="Q270" s="31"/>
      <c r="R270" s="31"/>
      <c r="S270" s="32">
        <f t="shared" si="86"/>
        <v>0</v>
      </c>
      <c r="T270" s="10"/>
      <c r="U270" s="10"/>
      <c r="V270" s="10"/>
      <c r="W270" s="12">
        <f t="shared" si="87"/>
        <v>0</v>
      </c>
      <c r="Y270" s="10">
        <v>39</v>
      </c>
      <c r="Z270" s="30"/>
      <c r="AA270" s="31"/>
      <c r="AB270" s="47"/>
      <c r="AC270" s="31"/>
      <c r="AD270" s="31"/>
      <c r="AE270" s="32">
        <f t="shared" si="88"/>
        <v>0</v>
      </c>
      <c r="AF270" s="10"/>
      <c r="AG270" s="10"/>
      <c r="AH270" s="10"/>
      <c r="AI270" s="12">
        <f t="shared" si="89"/>
        <v>0</v>
      </c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</row>
    <row r="271" spans="1:52" x14ac:dyDescent="0.25">
      <c r="A271" s="10"/>
      <c r="B271" s="30"/>
      <c r="C271" s="31"/>
      <c r="D271" s="32"/>
      <c r="E271" s="32"/>
      <c r="F271" s="32"/>
      <c r="G271" s="32"/>
      <c r="H271" s="10"/>
      <c r="I271" s="10"/>
      <c r="J271" s="10"/>
      <c r="K271" s="12"/>
      <c r="M271" s="10"/>
      <c r="N271" s="30"/>
      <c r="P271" s="47"/>
      <c r="Q271" s="31"/>
      <c r="R271" s="31"/>
      <c r="S271" s="32"/>
      <c r="T271" s="10"/>
      <c r="U271" s="10"/>
      <c r="V271" s="10"/>
      <c r="W271" s="12">
        <f t="shared" si="87"/>
        <v>0</v>
      </c>
      <c r="Y271" s="10"/>
      <c r="Z271" s="30"/>
      <c r="AB271" s="47"/>
      <c r="AC271" s="31"/>
      <c r="AD271" s="31"/>
      <c r="AE271" s="32"/>
      <c r="AF271" s="10"/>
      <c r="AG271" s="10"/>
      <c r="AH271" s="10"/>
      <c r="AI271" s="12">
        <f t="shared" si="89"/>
        <v>0</v>
      </c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</row>
    <row r="272" spans="1:52" x14ac:dyDescent="0.25">
      <c r="A272" s="10"/>
      <c r="B272" s="30"/>
      <c r="C272" s="31"/>
      <c r="D272" s="32"/>
      <c r="E272" s="32"/>
      <c r="F272" s="32"/>
      <c r="G272" s="32">
        <f t="shared" ref="G272" si="90">SUM(D272:E272)</f>
        <v>0</v>
      </c>
      <c r="H272" s="10"/>
      <c r="I272" s="10"/>
      <c r="J272" s="10"/>
      <c r="K272" s="12">
        <f t="shared" ref="K272" si="91">SUM(G272:J272)</f>
        <v>0</v>
      </c>
      <c r="M272" s="10"/>
      <c r="N272" s="30"/>
      <c r="O272" s="31"/>
      <c r="P272" s="47"/>
      <c r="Q272" s="31"/>
      <c r="R272" s="31"/>
      <c r="S272" s="32">
        <f t="shared" ref="S272" si="92">SUM(P272:Q272)</f>
        <v>0</v>
      </c>
      <c r="T272" s="10"/>
      <c r="U272" s="10"/>
      <c r="V272" s="10"/>
      <c r="W272" s="12">
        <f t="shared" si="87"/>
        <v>0</v>
      </c>
      <c r="Y272" s="10"/>
      <c r="Z272" s="30"/>
      <c r="AA272" s="31"/>
      <c r="AB272" s="47"/>
      <c r="AC272" s="31"/>
      <c r="AD272" s="31"/>
      <c r="AE272" s="32">
        <f t="shared" ref="AE272" si="93">SUM(AB272:AC272)</f>
        <v>0</v>
      </c>
      <c r="AF272" s="10"/>
      <c r="AG272" s="10"/>
      <c r="AH272" s="10"/>
      <c r="AI272" s="12">
        <f t="shared" si="89"/>
        <v>0</v>
      </c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</row>
    <row r="273" spans="1:52" x14ac:dyDescent="0.25">
      <c r="A273" s="10"/>
      <c r="B273" s="30"/>
      <c r="C273" s="30"/>
      <c r="D273" s="32"/>
      <c r="E273" s="32"/>
      <c r="F273" s="32"/>
      <c r="G273" s="32"/>
      <c r="H273" s="10"/>
      <c r="I273" s="10"/>
      <c r="J273" s="10"/>
      <c r="K273" s="12"/>
      <c r="M273" s="10"/>
      <c r="N273" s="31"/>
      <c r="O273" s="31"/>
      <c r="P273" s="31"/>
      <c r="Q273" s="31"/>
      <c r="R273" s="31"/>
      <c r="S273" s="31"/>
      <c r="T273" s="10"/>
      <c r="U273" s="10"/>
      <c r="V273" s="10"/>
      <c r="W273" s="12">
        <f t="shared" si="87"/>
        <v>0</v>
      </c>
      <c r="Y273" s="10"/>
      <c r="Z273" s="31"/>
      <c r="AA273" s="31"/>
      <c r="AB273" s="31"/>
      <c r="AC273" s="31"/>
      <c r="AD273" s="31"/>
      <c r="AE273" s="31"/>
      <c r="AF273" s="10"/>
      <c r="AG273" s="10"/>
      <c r="AH273" s="10"/>
      <c r="AI273" s="12">
        <f t="shared" si="89"/>
        <v>0</v>
      </c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</row>
    <row r="274" spans="1:52" x14ac:dyDescent="0.25">
      <c r="B274" s="57"/>
      <c r="C274" s="57"/>
      <c r="D274" s="36"/>
      <c r="E274" s="36"/>
      <c r="F274" s="36"/>
      <c r="G274" s="36"/>
      <c r="H274" s="37"/>
      <c r="I274" s="37"/>
      <c r="J274" s="37"/>
      <c r="K274" s="37"/>
      <c r="N274" s="57"/>
      <c r="O274" s="57"/>
      <c r="P274" s="36"/>
      <c r="Q274" s="36"/>
      <c r="R274" s="36"/>
      <c r="S274" s="36"/>
      <c r="T274" s="37"/>
      <c r="U274" s="37"/>
      <c r="V274" s="37"/>
      <c r="W274" s="37"/>
      <c r="Z274" s="57"/>
      <c r="AA274" s="57"/>
      <c r="AB274" s="36"/>
      <c r="AC274" s="36"/>
      <c r="AD274" s="36"/>
      <c r="AE274" s="36"/>
      <c r="AF274" s="37"/>
      <c r="AG274" s="37"/>
      <c r="AH274" s="37"/>
      <c r="AI274" s="37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</row>
    <row r="275" spans="1:52" x14ac:dyDescent="0.25">
      <c r="B275" s="57"/>
      <c r="C275" s="57"/>
      <c r="D275" s="38">
        <f>SUM(D232:D274)</f>
        <v>60591</v>
      </c>
      <c r="E275" s="38">
        <f t="shared" ref="E275:F275" si="94">SUM(E232:E272)</f>
        <v>0</v>
      </c>
      <c r="F275" s="38">
        <f t="shared" si="94"/>
        <v>0</v>
      </c>
      <c r="G275" s="38">
        <f>SUM(G232:G274)</f>
        <v>60591</v>
      </c>
      <c r="H275" s="4"/>
      <c r="I275" s="39">
        <f>SUM(I232:I274)</f>
        <v>69</v>
      </c>
      <c r="J275" s="39">
        <f>SUM(J232:J274)</f>
        <v>0</v>
      </c>
      <c r="K275" s="40">
        <f>SUM(K232:K274)</f>
        <v>60660</v>
      </c>
      <c r="N275" s="57"/>
      <c r="O275" s="57"/>
      <c r="P275" s="38">
        <f>SUM(P232:P274)</f>
        <v>117488.5</v>
      </c>
      <c r="Q275" s="38">
        <f>SUM(Q232:Q256)</f>
        <v>-256</v>
      </c>
      <c r="R275" s="38">
        <f>SUM(R232:R256)</f>
        <v>0</v>
      </c>
      <c r="S275" s="38">
        <f>SUM(S232:S274)</f>
        <v>117232.5</v>
      </c>
      <c r="T275" s="4"/>
      <c r="U275" s="41">
        <f>SUM(U232:U274)</f>
        <v>67</v>
      </c>
      <c r="V275" s="41">
        <f>SUM(V232:V256)</f>
        <v>0</v>
      </c>
      <c r="W275" s="42">
        <f>SUM(W232:W274)</f>
        <v>117299.5</v>
      </c>
      <c r="Z275" s="57"/>
      <c r="AA275" s="57"/>
      <c r="AB275" s="38">
        <f>SUM(AB232:AB274)</f>
        <v>82344</v>
      </c>
      <c r="AC275" s="38">
        <f>SUM(AC232:AC256)</f>
        <v>-324</v>
      </c>
      <c r="AD275" s="38">
        <f>SUM(AD232:AD256)</f>
        <v>0</v>
      </c>
      <c r="AE275" s="38">
        <f>SUM(AE232:AE274)</f>
        <v>82020</v>
      </c>
      <c r="AF275" s="4"/>
      <c r="AG275" s="41">
        <f>SUM(AG232:AG274)</f>
        <v>117</v>
      </c>
      <c r="AH275" s="41">
        <f>SUM(AH232:AH256)</f>
        <v>0</v>
      </c>
      <c r="AI275" s="42">
        <f>SUM(AI232:AI274)</f>
        <v>82137</v>
      </c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</row>
    <row r="276" spans="1:52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</row>
    <row r="277" spans="1:52" x14ac:dyDescent="0.25">
      <c r="A277" t="s">
        <v>0</v>
      </c>
      <c r="B277" s="57"/>
      <c r="C277" s="57"/>
      <c r="D277" s="57"/>
      <c r="E277" s="57"/>
      <c r="G277" s="57"/>
      <c r="M277" t="s">
        <v>0</v>
      </c>
      <c r="N277" s="57"/>
      <c r="O277" s="57"/>
      <c r="P277" s="57"/>
      <c r="Q277" s="57"/>
      <c r="R277" s="57"/>
      <c r="S277" s="57"/>
      <c r="Y277" t="s">
        <v>0</v>
      </c>
      <c r="Z277" s="57"/>
      <c r="AA277" s="57"/>
      <c r="AB277" s="57"/>
      <c r="AC277" s="57"/>
      <c r="AD277" s="57"/>
      <c r="AE277" s="57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</row>
    <row r="278" spans="1:52" x14ac:dyDescent="0.25">
      <c r="A278" t="s">
        <v>29</v>
      </c>
      <c r="B278" s="57"/>
      <c r="C278" s="57"/>
      <c r="D278" s="57"/>
      <c r="E278" s="57"/>
      <c r="G278" s="57"/>
      <c r="M278" t="s">
        <v>29</v>
      </c>
      <c r="N278" s="57"/>
      <c r="O278" s="57"/>
      <c r="P278" s="57"/>
      <c r="Q278" s="57"/>
      <c r="R278" s="57"/>
      <c r="S278" s="57"/>
      <c r="Y278" t="s">
        <v>29</v>
      </c>
      <c r="Z278" s="57"/>
      <c r="AA278" s="57"/>
      <c r="AB278" s="57"/>
      <c r="AC278" s="57"/>
      <c r="AD278" s="57"/>
      <c r="AE278" s="57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</row>
    <row r="279" spans="1:52" x14ac:dyDescent="0.25">
      <c r="B279" s="57"/>
      <c r="C279" s="57"/>
      <c r="D279" s="57"/>
      <c r="E279" s="57"/>
      <c r="G279" s="57"/>
      <c r="N279" s="57"/>
      <c r="O279" s="57"/>
      <c r="P279" s="57"/>
      <c r="Q279" s="57"/>
      <c r="R279" s="57"/>
      <c r="S279" s="57"/>
      <c r="Z279" s="57"/>
      <c r="AA279" s="57"/>
      <c r="AB279" s="57"/>
      <c r="AC279" s="57"/>
      <c r="AD279" s="57"/>
      <c r="AE279" s="57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</row>
    <row r="280" spans="1:52" x14ac:dyDescent="0.25">
      <c r="A280" s="4" t="s">
        <v>15</v>
      </c>
      <c r="B280" s="57"/>
      <c r="C280" s="57"/>
      <c r="D280" s="57"/>
      <c r="E280" s="57"/>
      <c r="G280" s="57"/>
      <c r="M280" s="4" t="s">
        <v>15</v>
      </c>
      <c r="N280" s="57"/>
      <c r="O280" s="57"/>
      <c r="P280" s="57"/>
      <c r="Q280" s="57"/>
      <c r="R280" s="57"/>
      <c r="S280" s="57"/>
      <c r="Y280" s="4" t="s">
        <v>15</v>
      </c>
      <c r="Z280" s="57"/>
      <c r="AA280" s="57"/>
      <c r="AB280" s="57"/>
      <c r="AC280" s="57"/>
      <c r="AD280" s="57"/>
      <c r="AE280" s="57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</row>
    <row r="281" spans="1:52" x14ac:dyDescent="0.25">
      <c r="B281" s="57"/>
      <c r="C281" s="57"/>
      <c r="D281" s="57"/>
      <c r="E281" s="57"/>
      <c r="G281" s="57"/>
      <c r="N281" s="57"/>
      <c r="O281" s="57"/>
      <c r="P281" s="57"/>
      <c r="Q281" s="57"/>
      <c r="R281" s="57"/>
      <c r="S281" s="57"/>
      <c r="Z281" s="57"/>
      <c r="AA281" s="57"/>
      <c r="AB281" s="57"/>
      <c r="AC281" s="57"/>
      <c r="AD281" s="57"/>
      <c r="AE281" s="57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</row>
    <row r="282" spans="1:52" ht="15.75" x14ac:dyDescent="0.25">
      <c r="A282" t="s">
        <v>37</v>
      </c>
      <c r="B282" s="57"/>
      <c r="C282" s="57"/>
      <c r="D282" s="57"/>
      <c r="E282" s="57"/>
      <c r="G282" s="57"/>
      <c r="I282" s="57" t="s">
        <v>16</v>
      </c>
      <c r="J282" s="19">
        <v>1</v>
      </c>
      <c r="M282" t="s">
        <v>37</v>
      </c>
      <c r="N282" s="57"/>
      <c r="O282" s="57"/>
      <c r="P282" s="57"/>
      <c r="Q282" s="57"/>
      <c r="R282" s="57"/>
      <c r="S282" s="57"/>
      <c r="U282" s="57" t="s">
        <v>16</v>
      </c>
      <c r="V282" s="19">
        <v>2</v>
      </c>
      <c r="Y282" t="s">
        <v>37</v>
      </c>
      <c r="Z282" s="57"/>
      <c r="AA282" s="57"/>
      <c r="AB282" s="57"/>
      <c r="AC282" s="57"/>
      <c r="AD282" s="57"/>
      <c r="AE282" s="57"/>
      <c r="AG282" s="57" t="s">
        <v>16</v>
      </c>
      <c r="AH282" s="20">
        <v>3</v>
      </c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</row>
    <row r="283" spans="1:52" x14ac:dyDescent="0.25">
      <c r="A283" s="21" t="s">
        <v>54</v>
      </c>
      <c r="B283" s="20"/>
      <c r="C283" s="57"/>
      <c r="D283" s="57"/>
      <c r="E283" s="57"/>
      <c r="G283" s="57"/>
      <c r="I283" s="22" t="s">
        <v>17</v>
      </c>
      <c r="J283" s="23" t="s">
        <v>33</v>
      </c>
      <c r="K283" s="24"/>
      <c r="M283" s="21" t="s">
        <v>54</v>
      </c>
      <c r="N283" s="20"/>
      <c r="O283" s="57"/>
      <c r="P283" s="57"/>
      <c r="Q283" s="57"/>
      <c r="R283" s="57"/>
      <c r="S283" s="57"/>
      <c r="U283" s="22" t="s">
        <v>17</v>
      </c>
      <c r="V283" s="23" t="s">
        <v>34</v>
      </c>
      <c r="W283" s="24"/>
      <c r="Y283" s="21" t="s">
        <v>54</v>
      </c>
      <c r="Z283" s="20"/>
      <c r="AA283" s="57"/>
      <c r="AB283" s="57"/>
      <c r="AC283" s="57"/>
      <c r="AD283" s="57"/>
      <c r="AE283" s="57"/>
      <c r="AG283" s="22" t="s">
        <v>17</v>
      </c>
      <c r="AH283" s="23" t="s">
        <v>35</v>
      </c>
      <c r="AI283" s="24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</row>
    <row r="284" spans="1:52" x14ac:dyDescent="0.25">
      <c r="B284" s="57"/>
      <c r="C284" s="57"/>
      <c r="D284" s="57"/>
      <c r="E284" s="57"/>
      <c r="G284" s="57"/>
      <c r="N284" s="57"/>
      <c r="O284" s="57"/>
      <c r="P284" s="57"/>
      <c r="Q284" s="57"/>
      <c r="R284" s="57"/>
      <c r="S284" s="57"/>
      <c r="Z284" s="57"/>
      <c r="AA284" s="57"/>
      <c r="AB284" s="57"/>
      <c r="AC284" s="57"/>
      <c r="AD284" s="57"/>
      <c r="AE284" s="57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</row>
    <row r="285" spans="1:52" ht="15" customHeight="1" x14ac:dyDescent="0.25">
      <c r="B285" s="25"/>
      <c r="C285" s="26"/>
      <c r="D285" s="121" t="s">
        <v>18</v>
      </c>
      <c r="E285" s="121"/>
      <c r="F285" s="96"/>
      <c r="G285" s="27"/>
      <c r="I285" s="119" t="s">
        <v>19</v>
      </c>
      <c r="J285" s="120"/>
      <c r="K285" s="117" t="s">
        <v>20</v>
      </c>
      <c r="N285" s="25"/>
      <c r="O285" s="26"/>
      <c r="P285" s="121" t="s">
        <v>18</v>
      </c>
      <c r="Q285" s="121"/>
      <c r="R285" s="96"/>
      <c r="S285" s="27"/>
      <c r="U285" s="119" t="s">
        <v>19</v>
      </c>
      <c r="V285" s="120"/>
      <c r="W285" s="117" t="s">
        <v>20</v>
      </c>
      <c r="Z285" s="25"/>
      <c r="AA285" s="26"/>
      <c r="AB285" s="121" t="s">
        <v>18</v>
      </c>
      <c r="AC285" s="121"/>
      <c r="AD285" s="96"/>
      <c r="AE285" s="27"/>
      <c r="AG285" s="119" t="s">
        <v>19</v>
      </c>
      <c r="AH285" s="120"/>
      <c r="AI285" s="117" t="s">
        <v>20</v>
      </c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</row>
    <row r="286" spans="1:52" ht="30" x14ac:dyDescent="0.25">
      <c r="B286" s="28" t="s">
        <v>21</v>
      </c>
      <c r="C286" s="28" t="s">
        <v>22</v>
      </c>
      <c r="D286" s="83" t="s">
        <v>23</v>
      </c>
      <c r="E286" s="82" t="s">
        <v>24</v>
      </c>
      <c r="F286" s="84" t="s">
        <v>36</v>
      </c>
      <c r="G286" s="84" t="s">
        <v>25</v>
      </c>
      <c r="I286" s="29" t="s">
        <v>26</v>
      </c>
      <c r="J286" s="29" t="s">
        <v>27</v>
      </c>
      <c r="K286" s="118"/>
      <c r="N286" s="28" t="s">
        <v>21</v>
      </c>
      <c r="O286" s="28" t="s">
        <v>22</v>
      </c>
      <c r="P286" s="83" t="s">
        <v>23</v>
      </c>
      <c r="Q286" s="84" t="s">
        <v>24</v>
      </c>
      <c r="R286" s="84" t="s">
        <v>36</v>
      </c>
      <c r="S286" s="84" t="s">
        <v>25</v>
      </c>
      <c r="U286" s="29" t="s">
        <v>26</v>
      </c>
      <c r="V286" s="29" t="s">
        <v>27</v>
      </c>
      <c r="W286" s="118"/>
      <c r="Z286" s="28" t="s">
        <v>21</v>
      </c>
      <c r="AA286" s="28" t="s">
        <v>22</v>
      </c>
      <c r="AB286" s="83" t="s">
        <v>23</v>
      </c>
      <c r="AC286" s="84" t="s">
        <v>24</v>
      </c>
      <c r="AD286" s="84" t="s">
        <v>36</v>
      </c>
      <c r="AE286" s="84" t="s">
        <v>25</v>
      </c>
      <c r="AG286" s="29" t="s">
        <v>26</v>
      </c>
      <c r="AH286" s="29" t="s">
        <v>27</v>
      </c>
      <c r="AI286" s="118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</row>
    <row r="287" spans="1:52" x14ac:dyDescent="0.25">
      <c r="A287" s="10">
        <v>1</v>
      </c>
      <c r="B287" s="30">
        <v>45877</v>
      </c>
      <c r="C287" s="31">
        <v>4989</v>
      </c>
      <c r="D287" s="32">
        <f>5008+614+913+596+426+416+250+86+1300+674+1102+1175</f>
        <v>12560</v>
      </c>
      <c r="E287" s="32"/>
      <c r="F287" s="32"/>
      <c r="G287" s="32">
        <f t="shared" ref="G287:G320" si="95">SUM(D287:E287)</f>
        <v>12560</v>
      </c>
      <c r="H287" s="12"/>
      <c r="I287" s="12">
        <f>216+86+30+18</f>
        <v>350</v>
      </c>
      <c r="J287" s="12"/>
      <c r="K287" s="12">
        <f t="shared" ref="K287:K320" si="96">SUM(G287:J287)</f>
        <v>12910</v>
      </c>
      <c r="M287" s="10">
        <v>1</v>
      </c>
      <c r="N287" s="30">
        <v>45877</v>
      </c>
      <c r="O287" s="31">
        <v>4920</v>
      </c>
      <c r="P287" s="32">
        <f>626*3+28.5</f>
        <v>1906.5</v>
      </c>
      <c r="Q287" s="32"/>
      <c r="R287" s="32"/>
      <c r="S287" s="32">
        <f>SUM(P287:Q287)</f>
        <v>1906.5</v>
      </c>
      <c r="T287" s="12"/>
      <c r="U287" s="12"/>
      <c r="V287" s="12"/>
      <c r="W287" s="12">
        <f>SUM(S287:V287)</f>
        <v>1906.5</v>
      </c>
      <c r="Y287" s="10">
        <v>1</v>
      </c>
      <c r="Z287" s="30">
        <v>45877</v>
      </c>
      <c r="AA287" s="31">
        <v>4872</v>
      </c>
      <c r="AB287" s="32">
        <f>9390+3370</f>
        <v>12760</v>
      </c>
      <c r="AC287" s="32"/>
      <c r="AD287" s="32"/>
      <c r="AE287" s="32">
        <f>SUM(AB287:AC287)</f>
        <v>12760</v>
      </c>
      <c r="AF287" s="12"/>
      <c r="AG287" s="12"/>
      <c r="AH287" s="12"/>
      <c r="AI287" s="12">
        <f>SUM(AE287:AH287)</f>
        <v>12760</v>
      </c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</row>
    <row r="288" spans="1:52" x14ac:dyDescent="0.25">
      <c r="A288" s="10">
        <v>2</v>
      </c>
      <c r="B288" s="30">
        <v>45877</v>
      </c>
      <c r="C288" s="31">
        <f>C287+1</f>
        <v>4990</v>
      </c>
      <c r="D288" s="32">
        <f>626+614+10</f>
        <v>1250</v>
      </c>
      <c r="E288" s="32"/>
      <c r="F288" s="32"/>
      <c r="G288" s="32">
        <f t="shared" si="95"/>
        <v>1250</v>
      </c>
      <c r="H288" s="12"/>
      <c r="I288" s="12"/>
      <c r="J288" s="12"/>
      <c r="K288" s="12">
        <f t="shared" si="96"/>
        <v>1250</v>
      </c>
      <c r="M288" s="10">
        <v>2</v>
      </c>
      <c r="N288" s="30">
        <v>45877</v>
      </c>
      <c r="O288" s="31">
        <f>O287+1</f>
        <v>4921</v>
      </c>
      <c r="P288" s="32">
        <f>626+596+19</f>
        <v>1241</v>
      </c>
      <c r="Q288" s="32"/>
      <c r="R288" s="32"/>
      <c r="S288" s="32">
        <f t="shared" ref="S288:S301" si="97">SUM(P288:Q288)</f>
        <v>1241</v>
      </c>
      <c r="T288" s="12"/>
      <c r="U288" s="12"/>
      <c r="V288" s="12"/>
      <c r="W288" s="12">
        <f t="shared" ref="W288:W301" si="98">SUM(S288:V288)</f>
        <v>1241</v>
      </c>
      <c r="Y288" s="10">
        <v>2</v>
      </c>
      <c r="Z288" s="30">
        <v>45877</v>
      </c>
      <c r="AA288" s="31">
        <f>AA287+1</f>
        <v>4873</v>
      </c>
      <c r="AB288" s="32">
        <f>31300+458</f>
        <v>31758</v>
      </c>
      <c r="AC288" s="32">
        <v>-312</v>
      </c>
      <c r="AD288" s="32"/>
      <c r="AE288" s="32">
        <f t="shared" ref="AE288:AE325" si="99">SUM(AB288:AC288)</f>
        <v>31446</v>
      </c>
      <c r="AF288" s="12"/>
      <c r="AG288" s="12"/>
      <c r="AH288" s="12"/>
      <c r="AI288" s="12">
        <f t="shared" ref="AI288:AI328" si="100">SUM(AE288:AH288)</f>
        <v>31446</v>
      </c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</row>
    <row r="289" spans="1:52" x14ac:dyDescent="0.25">
      <c r="A289" s="10">
        <v>3</v>
      </c>
      <c r="B289" s="30">
        <v>45877</v>
      </c>
      <c r="C289" s="31">
        <f t="shared" ref="C289:C298" si="101">C288+1</f>
        <v>4991</v>
      </c>
      <c r="D289" s="33">
        <f>626+596+19</f>
        <v>1241</v>
      </c>
      <c r="E289" s="33"/>
      <c r="F289" s="33"/>
      <c r="G289" s="33">
        <f t="shared" si="95"/>
        <v>1241</v>
      </c>
      <c r="H289" s="34"/>
      <c r="I289" s="34"/>
      <c r="J289" s="34"/>
      <c r="K289" s="34">
        <f t="shared" si="96"/>
        <v>1241</v>
      </c>
      <c r="M289" s="10">
        <v>3</v>
      </c>
      <c r="N289" s="30">
        <v>45877</v>
      </c>
      <c r="O289" s="31">
        <f t="shared" ref="O289:O308" si="102">O288+1</f>
        <v>4922</v>
      </c>
      <c r="P289" s="32">
        <f>2504+38</f>
        <v>2542</v>
      </c>
      <c r="Q289" s="32"/>
      <c r="R289" s="32"/>
      <c r="S289" s="32">
        <f t="shared" si="97"/>
        <v>2542</v>
      </c>
      <c r="T289" s="12"/>
      <c r="U289" s="12"/>
      <c r="V289" s="12"/>
      <c r="W289" s="12">
        <f t="shared" si="98"/>
        <v>2542</v>
      </c>
      <c r="Y289" s="10">
        <v>3</v>
      </c>
      <c r="Z289" s="30">
        <v>45877</v>
      </c>
      <c r="AA289" s="31">
        <f t="shared" ref="AA289:AA290" si="103">AA288+1</f>
        <v>4874</v>
      </c>
      <c r="AB289" s="33">
        <f>6886+104</f>
        <v>6990</v>
      </c>
      <c r="AC289" s="33"/>
      <c r="AD289" s="32"/>
      <c r="AE289" s="32">
        <f t="shared" si="99"/>
        <v>6990</v>
      </c>
      <c r="AF289" s="12"/>
      <c r="AG289" s="12"/>
      <c r="AH289" s="12"/>
      <c r="AI289" s="12">
        <f t="shared" si="100"/>
        <v>6990</v>
      </c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</row>
    <row r="290" spans="1:52" x14ac:dyDescent="0.25">
      <c r="A290" s="10">
        <v>4</v>
      </c>
      <c r="B290" s="30">
        <v>45877</v>
      </c>
      <c r="C290" s="31">
        <f t="shared" si="101"/>
        <v>4992</v>
      </c>
      <c r="D290" s="32">
        <f>626+1228+10</f>
        <v>1864</v>
      </c>
      <c r="E290" s="32"/>
      <c r="F290" s="32"/>
      <c r="G290" s="32">
        <f t="shared" si="95"/>
        <v>1864</v>
      </c>
      <c r="H290" s="12"/>
      <c r="I290" s="12">
        <v>111</v>
      </c>
      <c r="J290" s="12"/>
      <c r="K290" s="12">
        <f t="shared" si="96"/>
        <v>1975</v>
      </c>
      <c r="M290" s="10">
        <v>4</v>
      </c>
      <c r="N290" s="30">
        <v>45877</v>
      </c>
      <c r="O290" s="31">
        <f t="shared" si="102"/>
        <v>4923</v>
      </c>
      <c r="P290" s="32">
        <f>3756+596+66.5</f>
        <v>4418.5</v>
      </c>
      <c r="Q290" s="32"/>
      <c r="R290" s="32"/>
      <c r="S290" s="32">
        <f t="shared" si="97"/>
        <v>4418.5</v>
      </c>
      <c r="T290" s="12"/>
      <c r="U290" s="12"/>
      <c r="V290" s="12"/>
      <c r="W290" s="12">
        <f t="shared" si="98"/>
        <v>4418.5</v>
      </c>
      <c r="Y290" s="10">
        <v>4</v>
      </c>
      <c r="Z290" s="30">
        <v>45877</v>
      </c>
      <c r="AA290" s="31">
        <f t="shared" si="103"/>
        <v>4875</v>
      </c>
      <c r="AB290" s="32">
        <f>8764+2980+180</f>
        <v>11924</v>
      </c>
      <c r="AC290" s="32"/>
      <c r="AD290" s="32"/>
      <c r="AE290" s="32">
        <f t="shared" si="99"/>
        <v>11924</v>
      </c>
      <c r="AF290" s="12"/>
      <c r="AG290">
        <v>28</v>
      </c>
      <c r="AH290" s="12"/>
      <c r="AI290" s="12">
        <f t="shared" si="100"/>
        <v>11952</v>
      </c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</row>
    <row r="291" spans="1:52" x14ac:dyDescent="0.25">
      <c r="A291" s="10">
        <v>5</v>
      </c>
      <c r="B291" s="30">
        <v>45877</v>
      </c>
      <c r="C291" s="31">
        <f t="shared" si="101"/>
        <v>4993</v>
      </c>
      <c r="D291" s="32">
        <f>1252+19</f>
        <v>1271</v>
      </c>
      <c r="E291" s="32"/>
      <c r="F291" s="32"/>
      <c r="G291" s="32">
        <f t="shared" si="95"/>
        <v>1271</v>
      </c>
      <c r="H291" s="12"/>
      <c r="I291" s="12"/>
      <c r="J291" s="12"/>
      <c r="K291" s="12">
        <f t="shared" si="96"/>
        <v>1271</v>
      </c>
      <c r="M291" s="10">
        <v>5</v>
      </c>
      <c r="N291" s="30">
        <v>45877</v>
      </c>
      <c r="O291" s="31">
        <f t="shared" si="102"/>
        <v>4924</v>
      </c>
      <c r="P291" s="32">
        <f>1252+19</f>
        <v>1271</v>
      </c>
      <c r="Q291" s="32"/>
      <c r="R291" s="32"/>
      <c r="S291" s="32">
        <f t="shared" si="97"/>
        <v>1271</v>
      </c>
      <c r="T291" s="12"/>
      <c r="U291" s="12"/>
      <c r="V291" s="12"/>
      <c r="W291" s="12">
        <f t="shared" si="98"/>
        <v>1271</v>
      </c>
      <c r="Y291" s="10">
        <v>5</v>
      </c>
      <c r="Z291" s="30"/>
      <c r="AA291" s="11" t="s">
        <v>28</v>
      </c>
      <c r="AB291" s="32"/>
      <c r="AC291" s="32"/>
      <c r="AD291" s="32"/>
      <c r="AE291" s="32">
        <f t="shared" si="99"/>
        <v>0</v>
      </c>
      <c r="AF291" s="12"/>
      <c r="AG291" s="12"/>
      <c r="AH291" s="12"/>
      <c r="AI291" s="12">
        <f t="shared" si="100"/>
        <v>0</v>
      </c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</row>
    <row r="292" spans="1:52" x14ac:dyDescent="0.25">
      <c r="A292" s="10">
        <v>6</v>
      </c>
      <c r="B292" s="30">
        <v>45877</v>
      </c>
      <c r="C292" s="31">
        <f t="shared" si="101"/>
        <v>4994</v>
      </c>
      <c r="D292" s="32">
        <f>3130+614+1788+76</f>
        <v>5608</v>
      </c>
      <c r="E292" s="32"/>
      <c r="F292" s="32"/>
      <c r="G292" s="32">
        <f t="shared" si="95"/>
        <v>5608</v>
      </c>
      <c r="H292" s="12"/>
      <c r="I292" s="12"/>
      <c r="J292" s="12"/>
      <c r="K292" s="12">
        <f t="shared" si="96"/>
        <v>5608</v>
      </c>
      <c r="M292" s="10">
        <v>6</v>
      </c>
      <c r="N292" s="30">
        <v>45877</v>
      </c>
      <c r="O292" s="31">
        <f t="shared" si="102"/>
        <v>4925</v>
      </c>
      <c r="P292" s="32">
        <f>1252+614</f>
        <v>1866</v>
      </c>
      <c r="Q292" s="32"/>
      <c r="R292" s="32"/>
      <c r="S292" s="32">
        <f t="shared" si="97"/>
        <v>1866</v>
      </c>
      <c r="T292" s="12"/>
      <c r="U292" s="12"/>
      <c r="V292" s="10"/>
      <c r="W292" s="12">
        <f t="shared" si="98"/>
        <v>1866</v>
      </c>
      <c r="Y292" s="10">
        <v>6</v>
      </c>
      <c r="Z292" s="30"/>
      <c r="AA292" s="31"/>
      <c r="AB292" s="32"/>
      <c r="AC292" s="32"/>
      <c r="AD292" s="32"/>
      <c r="AE292" s="32">
        <f t="shared" si="99"/>
        <v>0</v>
      </c>
      <c r="AF292" s="12"/>
      <c r="AG292" s="12"/>
      <c r="AH292" s="10"/>
      <c r="AI292" s="12">
        <f t="shared" si="100"/>
        <v>0</v>
      </c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</row>
    <row r="293" spans="1:52" x14ac:dyDescent="0.25">
      <c r="A293" s="10">
        <v>7</v>
      </c>
      <c r="B293" s="30">
        <v>45877</v>
      </c>
      <c r="C293" s="31">
        <f t="shared" si="101"/>
        <v>4995</v>
      </c>
      <c r="D293" s="32">
        <f>1878+614+596+852+38</f>
        <v>3978</v>
      </c>
      <c r="E293" s="32"/>
      <c r="F293" s="32"/>
      <c r="G293" s="32">
        <f t="shared" si="95"/>
        <v>3978</v>
      </c>
      <c r="H293" s="12"/>
      <c r="I293" s="12"/>
      <c r="J293" s="12"/>
      <c r="K293" s="12">
        <f t="shared" si="96"/>
        <v>3978</v>
      </c>
      <c r="M293" s="10">
        <v>7</v>
      </c>
      <c r="N293" s="30">
        <v>45877</v>
      </c>
      <c r="O293" s="31">
        <f t="shared" si="102"/>
        <v>4926</v>
      </c>
      <c r="P293" s="32">
        <f>1878+832+28.5+650</f>
        <v>3388.5</v>
      </c>
      <c r="Q293" s="32"/>
      <c r="R293" s="32"/>
      <c r="S293" s="32">
        <f t="shared" si="97"/>
        <v>3388.5</v>
      </c>
      <c r="T293" s="12"/>
      <c r="U293" s="12"/>
      <c r="V293" s="12"/>
      <c r="W293" s="12">
        <f t="shared" si="98"/>
        <v>3388.5</v>
      </c>
      <c r="Y293" s="10">
        <v>7</v>
      </c>
      <c r="Z293" s="30"/>
      <c r="AA293" s="31"/>
      <c r="AB293" s="32"/>
      <c r="AC293" s="32"/>
      <c r="AD293" s="32"/>
      <c r="AE293" s="32">
        <f t="shared" si="99"/>
        <v>0</v>
      </c>
      <c r="AF293" s="12"/>
      <c r="AG293" s="58"/>
      <c r="AH293" s="12"/>
      <c r="AI293" s="12">
        <f t="shared" si="100"/>
        <v>0</v>
      </c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</row>
    <row r="294" spans="1:52" x14ac:dyDescent="0.25">
      <c r="A294" s="10">
        <v>8</v>
      </c>
      <c r="B294" s="30">
        <v>45877</v>
      </c>
      <c r="C294" s="31">
        <f t="shared" si="101"/>
        <v>4996</v>
      </c>
      <c r="D294" s="32">
        <f>1252+614+596+29</f>
        <v>2491</v>
      </c>
      <c r="E294" s="32"/>
      <c r="F294" s="32"/>
      <c r="G294" s="32">
        <f t="shared" si="95"/>
        <v>2491</v>
      </c>
      <c r="H294" s="12"/>
      <c r="I294" s="12"/>
      <c r="J294" s="12"/>
      <c r="K294" s="12">
        <f t="shared" si="96"/>
        <v>2491</v>
      </c>
      <c r="M294" s="10">
        <v>8</v>
      </c>
      <c r="N294" s="30">
        <v>45877</v>
      </c>
      <c r="O294" s="31">
        <f t="shared" si="102"/>
        <v>4927</v>
      </c>
      <c r="P294" s="32">
        <f>1878+229</f>
        <v>2107</v>
      </c>
      <c r="Q294" s="32"/>
      <c r="R294" s="32"/>
      <c r="S294" s="32">
        <f t="shared" si="97"/>
        <v>2107</v>
      </c>
      <c r="T294" s="12"/>
      <c r="U294" s="12"/>
      <c r="V294" s="12"/>
      <c r="W294" s="12">
        <f t="shared" si="98"/>
        <v>2107</v>
      </c>
      <c r="Y294" s="10">
        <v>8</v>
      </c>
      <c r="Z294" s="30"/>
      <c r="AA294" s="31"/>
      <c r="AB294" s="32"/>
      <c r="AC294" s="32"/>
      <c r="AE294" s="32">
        <f t="shared" si="99"/>
        <v>0</v>
      </c>
      <c r="AF294" s="12"/>
      <c r="AG294" s="12"/>
      <c r="AH294" s="12"/>
      <c r="AI294" s="12">
        <f t="shared" si="100"/>
        <v>0</v>
      </c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</row>
    <row r="295" spans="1:52" x14ac:dyDescent="0.25">
      <c r="A295" s="10">
        <v>9</v>
      </c>
      <c r="B295" s="30">
        <v>45877</v>
      </c>
      <c r="C295" s="31">
        <f t="shared" si="101"/>
        <v>4997</v>
      </c>
      <c r="D295" s="32">
        <f>2061</f>
        <v>2061</v>
      </c>
      <c r="E295" s="32"/>
      <c r="F295" s="32"/>
      <c r="G295" s="32">
        <f t="shared" si="95"/>
        <v>2061</v>
      </c>
      <c r="H295" s="12"/>
      <c r="I295" s="12"/>
      <c r="J295" s="12"/>
      <c r="K295" s="12">
        <f t="shared" si="96"/>
        <v>2061</v>
      </c>
      <c r="M295" s="10">
        <v>9</v>
      </c>
      <c r="N295" s="30">
        <v>45877</v>
      </c>
      <c r="O295" s="31">
        <f t="shared" si="102"/>
        <v>4928</v>
      </c>
      <c r="P295" s="32">
        <f>2504+38</f>
        <v>2542</v>
      </c>
      <c r="Q295" s="32"/>
      <c r="R295" s="32"/>
      <c r="S295" s="32">
        <f t="shared" si="97"/>
        <v>2542</v>
      </c>
      <c r="T295" s="12"/>
      <c r="U295" s="12"/>
      <c r="V295" s="12"/>
      <c r="W295" s="12">
        <f t="shared" si="98"/>
        <v>2542</v>
      </c>
      <c r="Y295" s="10">
        <v>9</v>
      </c>
      <c r="Z295" s="30"/>
      <c r="AA295" s="31"/>
      <c r="AC295" s="32"/>
      <c r="AD295" s="32"/>
      <c r="AE295" s="32">
        <f t="shared" si="99"/>
        <v>0</v>
      </c>
      <c r="AF295" s="12"/>
      <c r="AH295" s="12"/>
      <c r="AI295" s="12">
        <f t="shared" si="100"/>
        <v>0</v>
      </c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</row>
    <row r="296" spans="1:52" x14ac:dyDescent="0.25">
      <c r="A296" s="10">
        <v>10</v>
      </c>
      <c r="B296" s="30">
        <v>45877</v>
      </c>
      <c r="C296" s="31">
        <f t="shared" si="101"/>
        <v>4998</v>
      </c>
      <c r="D296" s="32">
        <f>3130+1788+76</f>
        <v>4994</v>
      </c>
      <c r="E296" s="32"/>
      <c r="F296" s="32"/>
      <c r="G296" s="32">
        <f t="shared" si="95"/>
        <v>4994</v>
      </c>
      <c r="H296" s="12"/>
      <c r="I296" s="12"/>
      <c r="J296" s="12"/>
      <c r="K296" s="12">
        <f t="shared" si="96"/>
        <v>4994</v>
      </c>
      <c r="M296" s="10">
        <v>10</v>
      </c>
      <c r="N296" s="30">
        <v>45877</v>
      </c>
      <c r="O296" s="31">
        <f t="shared" si="102"/>
        <v>4929</v>
      </c>
      <c r="P296" s="32">
        <f>1878+28.5</f>
        <v>1906.5</v>
      </c>
      <c r="Q296" s="32"/>
      <c r="R296" s="32"/>
      <c r="S296" s="32">
        <f t="shared" si="97"/>
        <v>1906.5</v>
      </c>
      <c r="T296" s="12"/>
      <c r="U296" s="12"/>
      <c r="V296" s="12"/>
      <c r="W296" s="12">
        <f t="shared" si="98"/>
        <v>1906.5</v>
      </c>
      <c r="Y296" s="10">
        <v>10</v>
      </c>
      <c r="Z296" s="30"/>
      <c r="AA296" s="31"/>
      <c r="AB296" s="32"/>
      <c r="AC296" s="32"/>
      <c r="AD296" s="32"/>
      <c r="AE296" s="32">
        <f t="shared" si="99"/>
        <v>0</v>
      </c>
      <c r="AF296" s="12"/>
      <c r="AG296" s="12"/>
      <c r="AH296" s="12"/>
      <c r="AI296" s="12">
        <f t="shared" si="100"/>
        <v>0</v>
      </c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</row>
    <row r="297" spans="1:52" x14ac:dyDescent="0.25">
      <c r="A297" s="10">
        <v>11</v>
      </c>
      <c r="B297" s="30">
        <v>45877</v>
      </c>
      <c r="C297" s="31">
        <f t="shared" si="101"/>
        <v>4999</v>
      </c>
      <c r="D297" s="32">
        <f>6260+95</f>
        <v>6355</v>
      </c>
      <c r="E297" s="32"/>
      <c r="F297" s="32"/>
      <c r="G297" s="32">
        <f t="shared" si="95"/>
        <v>6355</v>
      </c>
      <c r="H297" s="12"/>
      <c r="I297" s="12"/>
      <c r="J297" s="12"/>
      <c r="K297" s="12">
        <f t="shared" si="96"/>
        <v>6355</v>
      </c>
      <c r="M297" s="10">
        <v>11</v>
      </c>
      <c r="N297" s="30">
        <v>45877</v>
      </c>
      <c r="O297" s="31">
        <f t="shared" si="102"/>
        <v>4930</v>
      </c>
      <c r="P297" s="32">
        <f>9390</f>
        <v>9390</v>
      </c>
      <c r="Q297" s="32"/>
      <c r="R297" s="32"/>
      <c r="S297" s="32">
        <f t="shared" si="97"/>
        <v>9390</v>
      </c>
      <c r="T297" s="12"/>
      <c r="U297" s="12"/>
      <c r="V297" s="12"/>
      <c r="W297" s="12">
        <f t="shared" si="98"/>
        <v>9390</v>
      </c>
      <c r="Y297" s="10">
        <v>11</v>
      </c>
      <c r="Z297" s="30"/>
      <c r="AB297" s="32"/>
      <c r="AC297" s="32"/>
      <c r="AD297" s="32"/>
      <c r="AE297" s="32">
        <f t="shared" si="99"/>
        <v>0</v>
      </c>
      <c r="AF297" s="12"/>
      <c r="AG297" s="12"/>
      <c r="AH297" s="12"/>
      <c r="AI297" s="12">
        <f t="shared" si="100"/>
        <v>0</v>
      </c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</row>
    <row r="298" spans="1:52" x14ac:dyDescent="0.25">
      <c r="A298" s="10">
        <v>12</v>
      </c>
      <c r="B298" s="30">
        <v>45877</v>
      </c>
      <c r="C298" s="31">
        <f t="shared" si="101"/>
        <v>5000</v>
      </c>
      <c r="D298" s="32">
        <f>626+10</f>
        <v>636</v>
      </c>
      <c r="E298" s="32"/>
      <c r="F298" s="32"/>
      <c r="G298" s="32">
        <f t="shared" si="95"/>
        <v>636</v>
      </c>
      <c r="H298" s="12"/>
      <c r="I298" s="12"/>
      <c r="J298" s="10"/>
      <c r="K298" s="12">
        <f t="shared" si="96"/>
        <v>636</v>
      </c>
      <c r="M298" s="10">
        <v>12</v>
      </c>
      <c r="N298" s="30">
        <v>45877</v>
      </c>
      <c r="O298" s="31">
        <f t="shared" si="102"/>
        <v>4931</v>
      </c>
      <c r="P298" s="32">
        <f>2504+38</f>
        <v>2542</v>
      </c>
      <c r="Q298" s="32"/>
      <c r="R298" s="32"/>
      <c r="S298" s="32">
        <f t="shared" si="97"/>
        <v>2542</v>
      </c>
      <c r="T298" s="12"/>
      <c r="U298" s="12"/>
      <c r="V298" s="12"/>
      <c r="W298" s="12">
        <f t="shared" si="98"/>
        <v>2542</v>
      </c>
      <c r="Y298" s="10">
        <v>12</v>
      </c>
      <c r="Z298" s="30"/>
      <c r="AB298" s="32"/>
      <c r="AC298" s="32"/>
      <c r="AD298" s="32"/>
      <c r="AE298" s="32">
        <f t="shared" si="99"/>
        <v>0</v>
      </c>
      <c r="AF298" s="12"/>
      <c r="AG298" s="12"/>
      <c r="AH298" s="12"/>
      <c r="AI298" s="12">
        <f t="shared" si="100"/>
        <v>0</v>
      </c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</row>
    <row r="299" spans="1:52" x14ac:dyDescent="0.25">
      <c r="A299" s="10">
        <v>13</v>
      </c>
      <c r="B299" s="30"/>
      <c r="C299" s="11" t="s">
        <v>28</v>
      </c>
      <c r="D299" s="32"/>
      <c r="E299" s="32"/>
      <c r="F299" s="32"/>
      <c r="G299" s="32">
        <f t="shared" si="95"/>
        <v>0</v>
      </c>
      <c r="H299" s="12"/>
      <c r="I299" s="12"/>
      <c r="J299" s="12"/>
      <c r="K299" s="12">
        <f t="shared" si="96"/>
        <v>0</v>
      </c>
      <c r="M299" s="10">
        <v>13</v>
      </c>
      <c r="N299" s="30">
        <v>45877</v>
      </c>
      <c r="O299" s="31">
        <f t="shared" si="102"/>
        <v>4932</v>
      </c>
      <c r="P299" s="32">
        <f>3130+47.5</f>
        <v>3177.5</v>
      </c>
      <c r="Q299" s="32"/>
      <c r="R299" s="32"/>
      <c r="S299" s="32">
        <f t="shared" si="97"/>
        <v>3177.5</v>
      </c>
      <c r="T299" s="12"/>
      <c r="U299" s="12"/>
      <c r="V299" s="12"/>
      <c r="W299" s="12">
        <f t="shared" si="98"/>
        <v>3177.5</v>
      </c>
      <c r="Y299" s="10">
        <v>13</v>
      </c>
      <c r="Z299" s="30"/>
      <c r="AA299" s="31"/>
      <c r="AB299" s="32"/>
      <c r="AC299" s="32"/>
      <c r="AD299" s="32"/>
      <c r="AE299" s="32">
        <f t="shared" si="99"/>
        <v>0</v>
      </c>
      <c r="AF299" s="12"/>
      <c r="AG299" s="12"/>
      <c r="AH299" s="12"/>
      <c r="AI299" s="12">
        <f t="shared" si="100"/>
        <v>0</v>
      </c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</row>
    <row r="300" spans="1:52" x14ac:dyDescent="0.25">
      <c r="A300" s="10">
        <v>14</v>
      </c>
      <c r="B300" s="30"/>
      <c r="C300" s="31"/>
      <c r="D300" s="32"/>
      <c r="E300" s="32"/>
      <c r="F300" s="32"/>
      <c r="G300" s="32">
        <f t="shared" si="95"/>
        <v>0</v>
      </c>
      <c r="H300" s="12"/>
      <c r="I300" s="12"/>
      <c r="J300" s="12"/>
      <c r="K300" s="12">
        <f t="shared" si="96"/>
        <v>0</v>
      </c>
      <c r="M300" s="10">
        <v>14</v>
      </c>
      <c r="N300" s="30">
        <v>45877</v>
      </c>
      <c r="O300" s="31">
        <f t="shared" si="102"/>
        <v>4933</v>
      </c>
      <c r="P300" s="32">
        <f>626+596+19</f>
        <v>1241</v>
      </c>
      <c r="Q300" s="32"/>
      <c r="R300" s="32"/>
      <c r="S300" s="32">
        <f t="shared" si="97"/>
        <v>1241</v>
      </c>
      <c r="T300" s="12"/>
      <c r="U300" s="12"/>
      <c r="V300" s="12"/>
      <c r="W300" s="12">
        <f t="shared" si="98"/>
        <v>1241</v>
      </c>
      <c r="Y300" s="10">
        <v>14</v>
      </c>
      <c r="Z300" s="30"/>
      <c r="AA300" s="31"/>
      <c r="AB300" s="32"/>
      <c r="AC300" s="32"/>
      <c r="AD300" s="32"/>
      <c r="AE300" s="32">
        <f t="shared" si="99"/>
        <v>0</v>
      </c>
      <c r="AF300" s="12"/>
      <c r="AG300" s="12"/>
      <c r="AH300" s="12"/>
      <c r="AI300" s="12">
        <f t="shared" si="100"/>
        <v>0</v>
      </c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</row>
    <row r="301" spans="1:52" x14ac:dyDescent="0.25">
      <c r="A301" s="10">
        <v>15</v>
      </c>
      <c r="B301" s="30"/>
      <c r="C301" s="31"/>
      <c r="D301" s="32"/>
      <c r="E301" s="32"/>
      <c r="F301" s="32"/>
      <c r="G301" s="32">
        <f t="shared" si="95"/>
        <v>0</v>
      </c>
      <c r="H301" s="12"/>
      <c r="I301" s="12"/>
      <c r="J301" s="12"/>
      <c r="K301" s="12">
        <f t="shared" si="96"/>
        <v>0</v>
      </c>
      <c r="M301" s="10">
        <v>15</v>
      </c>
      <c r="N301" s="30">
        <v>45877</v>
      </c>
      <c r="O301" s="31">
        <f t="shared" si="102"/>
        <v>4934</v>
      </c>
      <c r="P301">
        <f>1252+596+28.5</f>
        <v>1876.5</v>
      </c>
      <c r="R301" s="32"/>
      <c r="S301" s="32">
        <f t="shared" si="97"/>
        <v>1876.5</v>
      </c>
      <c r="T301" s="12"/>
      <c r="W301" s="12">
        <f t="shared" si="98"/>
        <v>1876.5</v>
      </c>
      <c r="Y301" s="10">
        <v>15</v>
      </c>
      <c r="Z301" s="30"/>
      <c r="AA301" s="31"/>
      <c r="AB301" s="32"/>
      <c r="AC301" s="32"/>
      <c r="AD301" s="32"/>
      <c r="AE301" s="32">
        <f t="shared" si="99"/>
        <v>0</v>
      </c>
      <c r="AF301" s="12"/>
      <c r="AG301" s="12"/>
      <c r="AH301" s="12"/>
      <c r="AI301" s="12">
        <f t="shared" si="100"/>
        <v>0</v>
      </c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</row>
    <row r="302" spans="1:52" x14ac:dyDescent="0.25">
      <c r="A302" s="10">
        <v>16</v>
      </c>
      <c r="B302" s="30"/>
      <c r="C302" s="31"/>
      <c r="D302" s="32"/>
      <c r="E302" s="32"/>
      <c r="F302" s="32"/>
      <c r="G302" s="32">
        <f t="shared" si="95"/>
        <v>0</v>
      </c>
      <c r="H302" s="12"/>
      <c r="I302" s="12"/>
      <c r="J302" s="12"/>
      <c r="K302" s="12">
        <f t="shared" si="96"/>
        <v>0</v>
      </c>
      <c r="M302" s="10">
        <v>16</v>
      </c>
      <c r="N302" s="30">
        <v>45877</v>
      </c>
      <c r="O302" s="31">
        <f t="shared" si="102"/>
        <v>4935</v>
      </c>
      <c r="P302" s="32">
        <f>4382+596+76</f>
        <v>5054</v>
      </c>
      <c r="Q302" s="32"/>
      <c r="R302" s="32"/>
      <c r="S302" s="32">
        <f>SUM(P302:Q302)</f>
        <v>5054</v>
      </c>
      <c r="T302" s="12"/>
      <c r="U302" s="12"/>
      <c r="V302" s="12"/>
      <c r="W302" s="12">
        <f>SUM(S302:V302)</f>
        <v>5054</v>
      </c>
      <c r="Y302" s="10">
        <v>16</v>
      </c>
      <c r="Z302" s="30"/>
      <c r="AA302" s="31"/>
      <c r="AB302" s="32"/>
      <c r="AC302" s="32"/>
      <c r="AD302" s="32"/>
      <c r="AE302" s="32">
        <f t="shared" si="99"/>
        <v>0</v>
      </c>
      <c r="AF302" s="12"/>
      <c r="AG302" s="12"/>
      <c r="AH302" s="12"/>
      <c r="AI302" s="12">
        <f t="shared" si="100"/>
        <v>0</v>
      </c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</row>
    <row r="303" spans="1:52" x14ac:dyDescent="0.25">
      <c r="A303" s="10">
        <v>17</v>
      </c>
      <c r="B303" s="30"/>
      <c r="C303" s="31"/>
      <c r="D303" s="32"/>
      <c r="E303" s="32"/>
      <c r="F303" s="32"/>
      <c r="G303" s="32">
        <f t="shared" si="95"/>
        <v>0</v>
      </c>
      <c r="H303" s="12"/>
      <c r="I303" s="12"/>
      <c r="J303" s="12"/>
      <c r="K303" s="12">
        <f t="shared" si="96"/>
        <v>0</v>
      </c>
      <c r="M303" s="10">
        <v>17</v>
      </c>
      <c r="N303" s="30">
        <v>45877</v>
      </c>
      <c r="O303" s="31">
        <f t="shared" si="102"/>
        <v>4936</v>
      </c>
      <c r="P303" s="35">
        <f>1252+19</f>
        <v>1271</v>
      </c>
      <c r="Q303" s="32"/>
      <c r="R303" s="32"/>
      <c r="S303" s="32">
        <f t="shared" ref="S303:S325" si="104">SUM(P303:Q303)</f>
        <v>1271</v>
      </c>
      <c r="T303" s="12"/>
      <c r="U303" s="12"/>
      <c r="V303" s="12"/>
      <c r="W303" s="12">
        <f t="shared" ref="W303:W328" si="105">SUM(S303:V303)</f>
        <v>1271</v>
      </c>
      <c r="Y303" s="10">
        <v>17</v>
      </c>
      <c r="Z303" s="30"/>
      <c r="AA303" s="31"/>
      <c r="AB303" s="35"/>
      <c r="AC303" s="32"/>
      <c r="AD303" s="32"/>
      <c r="AE303" s="32">
        <f t="shared" si="99"/>
        <v>0</v>
      </c>
      <c r="AF303" s="12"/>
      <c r="AG303" s="12"/>
      <c r="AH303" s="12"/>
      <c r="AI303" s="12">
        <f t="shared" si="100"/>
        <v>0</v>
      </c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</row>
    <row r="304" spans="1:52" x14ac:dyDescent="0.25">
      <c r="A304" s="10">
        <v>18</v>
      </c>
      <c r="B304" s="30"/>
      <c r="C304" s="31"/>
      <c r="D304" s="32"/>
      <c r="E304" s="32"/>
      <c r="F304" s="32"/>
      <c r="G304" s="32">
        <f t="shared" si="95"/>
        <v>0</v>
      </c>
      <c r="H304" s="12"/>
      <c r="I304" s="12"/>
      <c r="J304" s="12"/>
      <c r="K304" s="12">
        <f t="shared" si="96"/>
        <v>0</v>
      </c>
      <c r="M304" s="10">
        <v>18</v>
      </c>
      <c r="N304" s="30">
        <v>45877</v>
      </c>
      <c r="O304" s="31">
        <f t="shared" si="102"/>
        <v>4937</v>
      </c>
      <c r="P304" s="32">
        <f>5008+1192+95</f>
        <v>6295</v>
      </c>
      <c r="Q304" s="32"/>
      <c r="R304" s="32"/>
      <c r="S304" s="32">
        <f t="shared" si="104"/>
        <v>6295</v>
      </c>
      <c r="T304" s="12"/>
      <c r="U304" s="12">
        <v>555</v>
      </c>
      <c r="V304" s="12"/>
      <c r="W304" s="12">
        <f t="shared" si="105"/>
        <v>6850</v>
      </c>
      <c r="Y304" s="10">
        <v>18</v>
      </c>
      <c r="Z304" s="30"/>
      <c r="AA304" s="31"/>
      <c r="AB304" s="32"/>
      <c r="AC304" s="32"/>
      <c r="AD304" s="32"/>
      <c r="AE304" s="32">
        <f t="shared" si="99"/>
        <v>0</v>
      </c>
      <c r="AF304" s="12"/>
      <c r="AG304" s="12"/>
      <c r="AH304" s="12"/>
      <c r="AI304" s="12">
        <f t="shared" si="100"/>
        <v>0</v>
      </c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</row>
    <row r="305" spans="1:52" x14ac:dyDescent="0.25">
      <c r="A305" s="10">
        <v>19</v>
      </c>
      <c r="B305" s="30"/>
      <c r="D305" s="32"/>
      <c r="E305" s="32"/>
      <c r="F305" s="32"/>
      <c r="G305" s="32">
        <f t="shared" si="95"/>
        <v>0</v>
      </c>
      <c r="H305" s="12"/>
      <c r="I305" s="12"/>
      <c r="J305" s="12"/>
      <c r="K305" s="12">
        <f t="shared" si="96"/>
        <v>0</v>
      </c>
      <c r="M305" s="10">
        <v>19</v>
      </c>
      <c r="N305" s="30">
        <v>45877</v>
      </c>
      <c r="O305" s="31">
        <f t="shared" si="102"/>
        <v>4938</v>
      </c>
      <c r="P305" s="32">
        <f>1878+28</f>
        <v>1906</v>
      </c>
      <c r="Q305" s="32"/>
      <c r="R305" s="32"/>
      <c r="S305" s="32">
        <f t="shared" si="104"/>
        <v>1906</v>
      </c>
      <c r="T305" s="12"/>
      <c r="U305" s="12"/>
      <c r="V305" s="12"/>
      <c r="W305" s="12">
        <f t="shared" si="105"/>
        <v>1906</v>
      </c>
      <c r="Y305" s="10">
        <v>19</v>
      </c>
      <c r="Z305" s="30"/>
      <c r="AA305" s="31"/>
      <c r="AB305" s="32"/>
      <c r="AC305" s="32"/>
      <c r="AD305" s="32"/>
      <c r="AE305" s="32">
        <f t="shared" si="99"/>
        <v>0</v>
      </c>
      <c r="AF305" s="12"/>
      <c r="AG305" s="12"/>
      <c r="AH305" s="12"/>
      <c r="AI305" s="12">
        <f t="shared" si="100"/>
        <v>0</v>
      </c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</row>
    <row r="306" spans="1:52" x14ac:dyDescent="0.25">
      <c r="A306" s="10">
        <v>20</v>
      </c>
      <c r="B306" s="30"/>
      <c r="C306" s="31"/>
      <c r="D306" s="32"/>
      <c r="E306" s="32"/>
      <c r="F306" s="32"/>
      <c r="G306" s="32">
        <f t="shared" si="95"/>
        <v>0</v>
      </c>
      <c r="H306" s="12"/>
      <c r="I306" s="12"/>
      <c r="J306" s="12"/>
      <c r="K306" s="12">
        <f t="shared" si="96"/>
        <v>0</v>
      </c>
      <c r="M306" s="10">
        <v>20</v>
      </c>
      <c r="N306" s="30">
        <v>45877</v>
      </c>
      <c r="O306" s="31">
        <f t="shared" si="102"/>
        <v>4939</v>
      </c>
      <c r="P306" s="32">
        <f>1252+19</f>
        <v>1271</v>
      </c>
      <c r="Q306" s="32"/>
      <c r="R306" s="32"/>
      <c r="S306" s="32">
        <f t="shared" si="104"/>
        <v>1271</v>
      </c>
      <c r="T306" s="12"/>
      <c r="U306" s="12"/>
      <c r="V306" s="12"/>
      <c r="W306" s="12">
        <f t="shared" si="105"/>
        <v>1271</v>
      </c>
      <c r="Y306" s="10">
        <v>20</v>
      </c>
      <c r="Z306" s="30"/>
      <c r="AA306" s="31"/>
      <c r="AB306" s="32"/>
      <c r="AC306" s="32"/>
      <c r="AD306" s="32"/>
      <c r="AE306" s="32">
        <f t="shared" si="99"/>
        <v>0</v>
      </c>
      <c r="AF306" s="12"/>
      <c r="AG306" s="12"/>
      <c r="AH306" s="12"/>
      <c r="AI306" s="12">
        <f t="shared" si="100"/>
        <v>0</v>
      </c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</row>
    <row r="307" spans="1:52" x14ac:dyDescent="0.25">
      <c r="A307" s="10">
        <v>21</v>
      </c>
      <c r="B307" s="30"/>
      <c r="C307" s="57"/>
      <c r="D307" s="32"/>
      <c r="E307" s="32"/>
      <c r="F307" s="32"/>
      <c r="G307" s="32">
        <f t="shared" si="95"/>
        <v>0</v>
      </c>
      <c r="H307" s="10"/>
      <c r="I307" s="10"/>
      <c r="J307" s="10"/>
      <c r="K307" s="12">
        <f t="shared" si="96"/>
        <v>0</v>
      </c>
      <c r="M307" s="10">
        <v>21</v>
      </c>
      <c r="N307" s="30">
        <v>45877</v>
      </c>
      <c r="O307" s="31">
        <f t="shared" si="102"/>
        <v>4940</v>
      </c>
      <c r="P307" s="46">
        <f>1252+19</f>
        <v>1271</v>
      </c>
      <c r="Q307" s="31"/>
      <c r="R307" s="31"/>
      <c r="S307" s="32">
        <f t="shared" si="104"/>
        <v>1271</v>
      </c>
      <c r="T307" s="10"/>
      <c r="U307" s="10"/>
      <c r="V307" s="10"/>
      <c r="W307" s="12">
        <f t="shared" si="105"/>
        <v>1271</v>
      </c>
      <c r="Y307" s="10">
        <v>21</v>
      </c>
      <c r="Z307" s="30"/>
      <c r="AA307" s="31"/>
      <c r="AB307" s="46"/>
      <c r="AC307" s="31"/>
      <c r="AD307" s="31"/>
      <c r="AE307" s="32">
        <f t="shared" si="99"/>
        <v>0</v>
      </c>
      <c r="AF307" s="10"/>
      <c r="AG307" s="10"/>
      <c r="AH307" s="10"/>
      <c r="AI307" s="12">
        <f t="shared" si="100"/>
        <v>0</v>
      </c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</row>
    <row r="308" spans="1:52" x14ac:dyDescent="0.25">
      <c r="A308" s="10">
        <v>22</v>
      </c>
      <c r="B308" s="30"/>
      <c r="C308" s="31"/>
      <c r="D308" s="32"/>
      <c r="E308" s="32"/>
      <c r="F308" s="32"/>
      <c r="G308" s="32">
        <f t="shared" si="95"/>
        <v>0</v>
      </c>
      <c r="H308" s="10"/>
      <c r="I308" s="10"/>
      <c r="J308" s="10"/>
      <c r="K308" s="12">
        <f t="shared" si="96"/>
        <v>0</v>
      </c>
      <c r="M308" s="10">
        <v>22</v>
      </c>
      <c r="N308" s="30">
        <v>45877</v>
      </c>
      <c r="O308" s="31">
        <f t="shared" si="102"/>
        <v>4941</v>
      </c>
      <c r="P308" s="45">
        <f>43820</f>
        <v>43820</v>
      </c>
      <c r="Q308" s="31">
        <v>-560</v>
      </c>
      <c r="R308" s="31"/>
      <c r="S308" s="32">
        <f t="shared" si="104"/>
        <v>43260</v>
      </c>
      <c r="T308" s="10"/>
      <c r="U308" s="10"/>
      <c r="V308" s="10"/>
      <c r="W308" s="12">
        <f t="shared" si="105"/>
        <v>43260</v>
      </c>
      <c r="Y308" s="10">
        <v>22</v>
      </c>
      <c r="Z308" s="30"/>
      <c r="AA308" s="31"/>
      <c r="AB308" s="45"/>
      <c r="AC308" s="31"/>
      <c r="AD308" s="31"/>
      <c r="AE308" s="32">
        <f t="shared" si="99"/>
        <v>0</v>
      </c>
      <c r="AF308" s="10"/>
      <c r="AG308" s="10"/>
      <c r="AH308" s="10"/>
      <c r="AI308" s="12">
        <f t="shared" si="100"/>
        <v>0</v>
      </c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</row>
    <row r="309" spans="1:52" x14ac:dyDescent="0.25">
      <c r="A309" s="10">
        <v>23</v>
      </c>
      <c r="B309" s="30"/>
      <c r="C309" s="31"/>
      <c r="D309" s="32"/>
      <c r="E309" s="32"/>
      <c r="F309" s="32"/>
      <c r="G309" s="32">
        <f t="shared" si="95"/>
        <v>0</v>
      </c>
      <c r="H309" s="10"/>
      <c r="I309" s="10"/>
      <c r="J309" s="12"/>
      <c r="K309" s="12">
        <f t="shared" si="96"/>
        <v>0</v>
      </c>
      <c r="M309" s="10">
        <v>23</v>
      </c>
      <c r="N309" s="30"/>
      <c r="O309" s="11" t="s">
        <v>28</v>
      </c>
      <c r="P309" s="47"/>
      <c r="S309" s="32">
        <f t="shared" si="104"/>
        <v>0</v>
      </c>
      <c r="T309" s="10"/>
      <c r="U309" s="10"/>
      <c r="V309" s="10"/>
      <c r="W309" s="12">
        <f t="shared" si="105"/>
        <v>0</v>
      </c>
      <c r="Y309" s="10">
        <v>23</v>
      </c>
      <c r="Z309" s="30"/>
      <c r="AA309" s="31"/>
      <c r="AB309" s="47"/>
      <c r="AE309" s="32">
        <f t="shared" si="99"/>
        <v>0</v>
      </c>
      <c r="AF309" s="10"/>
      <c r="AG309" s="10"/>
      <c r="AH309" s="10"/>
      <c r="AI309" s="12">
        <f t="shared" si="100"/>
        <v>0</v>
      </c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</row>
    <row r="310" spans="1:52" x14ac:dyDescent="0.25">
      <c r="A310" s="10">
        <v>24</v>
      </c>
      <c r="B310" s="30"/>
      <c r="C310" s="31"/>
      <c r="D310" s="32"/>
      <c r="E310" s="32"/>
      <c r="F310" s="32"/>
      <c r="G310" s="32">
        <f t="shared" si="95"/>
        <v>0</v>
      </c>
      <c r="H310" s="10"/>
      <c r="I310" s="10"/>
      <c r="J310" s="10"/>
      <c r="K310" s="12">
        <f t="shared" si="96"/>
        <v>0</v>
      </c>
      <c r="M310" s="10">
        <v>24</v>
      </c>
      <c r="N310" s="30"/>
      <c r="O310" s="31"/>
      <c r="P310" s="47"/>
      <c r="Q310" s="31"/>
      <c r="R310" s="31"/>
      <c r="S310" s="32">
        <f t="shared" si="104"/>
        <v>0</v>
      </c>
      <c r="T310" s="10"/>
      <c r="U310" s="10"/>
      <c r="V310" s="10"/>
      <c r="W310" s="12">
        <f t="shared" si="105"/>
        <v>0</v>
      </c>
      <c r="Y310" s="10">
        <v>24</v>
      </c>
      <c r="Z310" s="30"/>
      <c r="AA310" s="31"/>
      <c r="AB310" s="47"/>
      <c r="AC310" s="31"/>
      <c r="AD310" s="31"/>
      <c r="AE310" s="32">
        <f t="shared" si="99"/>
        <v>0</v>
      </c>
      <c r="AF310" s="10"/>
      <c r="AG310" s="10"/>
      <c r="AH310" s="10"/>
      <c r="AI310" s="12">
        <f t="shared" si="100"/>
        <v>0</v>
      </c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</row>
    <row r="311" spans="1:52" x14ac:dyDescent="0.25">
      <c r="A311" s="10">
        <v>25</v>
      </c>
      <c r="B311" s="30"/>
      <c r="C311" s="31"/>
      <c r="D311" s="32"/>
      <c r="E311" s="32"/>
      <c r="F311" s="32"/>
      <c r="G311" s="32">
        <f t="shared" si="95"/>
        <v>0</v>
      </c>
      <c r="H311" s="10"/>
      <c r="I311" s="10"/>
      <c r="J311" s="10"/>
      <c r="K311" s="12">
        <f t="shared" si="96"/>
        <v>0</v>
      </c>
      <c r="M311" s="10">
        <v>25</v>
      </c>
      <c r="N311" s="30"/>
      <c r="O311" s="31"/>
      <c r="P311" s="47"/>
      <c r="Q311" s="31"/>
      <c r="R311" s="31"/>
      <c r="S311" s="32">
        <f t="shared" si="104"/>
        <v>0</v>
      </c>
      <c r="T311" s="10"/>
      <c r="U311" s="10"/>
      <c r="V311" s="10"/>
      <c r="W311" s="12">
        <f t="shared" si="105"/>
        <v>0</v>
      </c>
      <c r="Y311" s="10">
        <v>25</v>
      </c>
      <c r="Z311" s="30"/>
      <c r="AA311" s="31"/>
      <c r="AB311" s="47"/>
      <c r="AC311" s="31"/>
      <c r="AD311" s="31"/>
      <c r="AE311" s="32">
        <f t="shared" si="99"/>
        <v>0</v>
      </c>
      <c r="AF311" s="10"/>
      <c r="AG311" s="10"/>
      <c r="AH311" s="10"/>
      <c r="AI311" s="12">
        <f t="shared" si="100"/>
        <v>0</v>
      </c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</row>
    <row r="312" spans="1:52" x14ac:dyDescent="0.25">
      <c r="A312" s="10">
        <v>26</v>
      </c>
      <c r="B312" s="30"/>
      <c r="C312" s="31"/>
      <c r="D312" s="32"/>
      <c r="E312" s="32"/>
      <c r="F312" s="32"/>
      <c r="G312" s="32">
        <f t="shared" si="95"/>
        <v>0</v>
      </c>
      <c r="H312" s="10"/>
      <c r="I312" s="10"/>
      <c r="J312" s="10"/>
      <c r="K312" s="12">
        <f t="shared" si="96"/>
        <v>0</v>
      </c>
      <c r="M312" s="10">
        <v>26</v>
      </c>
      <c r="N312" s="30"/>
      <c r="O312" s="31"/>
      <c r="P312" s="47"/>
      <c r="Q312" s="31"/>
      <c r="R312" s="31"/>
      <c r="S312" s="32">
        <f t="shared" si="104"/>
        <v>0</v>
      </c>
      <c r="T312" s="10"/>
      <c r="U312" s="10"/>
      <c r="V312" s="10"/>
      <c r="W312" s="12">
        <f t="shared" si="105"/>
        <v>0</v>
      </c>
      <c r="Y312" s="10">
        <v>26</v>
      </c>
      <c r="Z312" s="30"/>
      <c r="AA312" s="31"/>
      <c r="AB312" s="47"/>
      <c r="AC312" s="31"/>
      <c r="AD312" s="31"/>
      <c r="AE312" s="32">
        <f t="shared" si="99"/>
        <v>0</v>
      </c>
      <c r="AF312" s="10"/>
      <c r="AG312" s="10"/>
      <c r="AH312" s="10"/>
      <c r="AI312" s="12">
        <f t="shared" si="100"/>
        <v>0</v>
      </c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</row>
    <row r="313" spans="1:52" x14ac:dyDescent="0.25">
      <c r="A313" s="10">
        <v>27</v>
      </c>
      <c r="B313" s="30"/>
      <c r="C313" s="31"/>
      <c r="D313" s="32"/>
      <c r="E313" s="32"/>
      <c r="F313" s="32"/>
      <c r="G313" s="32">
        <f t="shared" si="95"/>
        <v>0</v>
      </c>
      <c r="H313" s="10"/>
      <c r="I313" s="10"/>
      <c r="J313" s="10"/>
      <c r="K313" s="12">
        <f t="shared" si="96"/>
        <v>0</v>
      </c>
      <c r="M313" s="10">
        <v>27</v>
      </c>
      <c r="N313" s="30"/>
      <c r="O313" s="31"/>
      <c r="P313" s="47"/>
      <c r="Q313" s="31"/>
      <c r="R313" s="31"/>
      <c r="S313" s="32">
        <f t="shared" si="104"/>
        <v>0</v>
      </c>
      <c r="T313" s="10"/>
      <c r="U313" s="10"/>
      <c r="V313" s="10"/>
      <c r="W313" s="12">
        <f t="shared" si="105"/>
        <v>0</v>
      </c>
      <c r="Y313" s="10">
        <v>27</v>
      </c>
      <c r="Z313" s="30"/>
      <c r="AA313" s="31"/>
      <c r="AB313" s="47"/>
      <c r="AC313" s="31"/>
      <c r="AD313" s="31"/>
      <c r="AE313" s="32">
        <f t="shared" si="99"/>
        <v>0</v>
      </c>
      <c r="AF313" s="10"/>
      <c r="AG313" s="10"/>
      <c r="AH313" s="10"/>
      <c r="AI313" s="12">
        <f t="shared" si="100"/>
        <v>0</v>
      </c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</row>
    <row r="314" spans="1:52" x14ac:dyDescent="0.25">
      <c r="A314" s="10">
        <v>28</v>
      </c>
      <c r="B314" s="30"/>
      <c r="C314" s="31"/>
      <c r="D314" s="32"/>
      <c r="E314" s="32"/>
      <c r="F314" s="32"/>
      <c r="G314" s="32">
        <f t="shared" si="95"/>
        <v>0</v>
      </c>
      <c r="H314" s="10"/>
      <c r="I314" s="10"/>
      <c r="J314" s="10"/>
      <c r="K314" s="12">
        <f t="shared" si="96"/>
        <v>0</v>
      </c>
      <c r="M314" s="10">
        <v>28</v>
      </c>
      <c r="N314" s="30"/>
      <c r="O314" s="31"/>
      <c r="P314" s="47"/>
      <c r="Q314" s="31"/>
      <c r="R314" s="31"/>
      <c r="S314" s="32">
        <f t="shared" si="104"/>
        <v>0</v>
      </c>
      <c r="T314" s="10"/>
      <c r="U314" s="10"/>
      <c r="V314" s="10"/>
      <c r="W314" s="12">
        <f t="shared" si="105"/>
        <v>0</v>
      </c>
      <c r="Y314" s="10">
        <v>28</v>
      </c>
      <c r="Z314" s="30"/>
      <c r="AA314" s="31"/>
      <c r="AB314" s="47"/>
      <c r="AC314" s="31"/>
      <c r="AD314" s="31"/>
      <c r="AE314" s="32">
        <f t="shared" si="99"/>
        <v>0</v>
      </c>
      <c r="AF314" s="10"/>
      <c r="AG314" s="10"/>
      <c r="AH314" s="10"/>
      <c r="AI314" s="12">
        <f t="shared" si="100"/>
        <v>0</v>
      </c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</row>
    <row r="315" spans="1:52" x14ac:dyDescent="0.25">
      <c r="A315" s="10">
        <v>29</v>
      </c>
      <c r="B315" s="30"/>
      <c r="C315" s="31"/>
      <c r="D315" s="32"/>
      <c r="E315" s="32"/>
      <c r="F315" s="32"/>
      <c r="G315" s="32">
        <f t="shared" si="95"/>
        <v>0</v>
      </c>
      <c r="H315" s="10"/>
      <c r="I315" s="10"/>
      <c r="J315" s="10"/>
      <c r="K315" s="12">
        <f t="shared" si="96"/>
        <v>0</v>
      </c>
      <c r="M315" s="10">
        <v>29</v>
      </c>
      <c r="N315" s="30"/>
      <c r="O315" s="31"/>
      <c r="P315" s="47"/>
      <c r="Q315" s="31"/>
      <c r="R315" s="31"/>
      <c r="S315" s="32">
        <f t="shared" si="104"/>
        <v>0</v>
      </c>
      <c r="T315" s="10"/>
      <c r="U315" s="10"/>
      <c r="V315" s="10"/>
      <c r="W315" s="12">
        <f t="shared" si="105"/>
        <v>0</v>
      </c>
      <c r="Y315" s="10">
        <v>29</v>
      </c>
      <c r="Z315" s="30"/>
      <c r="AA315" s="31"/>
      <c r="AB315" s="47"/>
      <c r="AC315" s="31"/>
      <c r="AD315" s="31"/>
      <c r="AE315" s="32">
        <f t="shared" si="99"/>
        <v>0</v>
      </c>
      <c r="AF315" s="10"/>
      <c r="AG315" s="10"/>
      <c r="AH315" s="10"/>
      <c r="AI315" s="12">
        <f t="shared" si="100"/>
        <v>0</v>
      </c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</row>
    <row r="316" spans="1:52" x14ac:dyDescent="0.25">
      <c r="A316" s="10">
        <v>30</v>
      </c>
      <c r="B316" s="30"/>
      <c r="C316" s="31"/>
      <c r="D316" s="32"/>
      <c r="E316" s="32"/>
      <c r="F316" s="32"/>
      <c r="G316" s="32">
        <f t="shared" si="95"/>
        <v>0</v>
      </c>
      <c r="H316" s="10"/>
      <c r="I316" s="10"/>
      <c r="J316" s="10"/>
      <c r="K316" s="12">
        <f t="shared" si="96"/>
        <v>0</v>
      </c>
      <c r="M316" s="10">
        <v>30</v>
      </c>
      <c r="N316" s="30"/>
      <c r="O316" s="31"/>
      <c r="P316" s="47"/>
      <c r="Q316" s="31"/>
      <c r="R316" s="31"/>
      <c r="S316" s="32">
        <f t="shared" si="104"/>
        <v>0</v>
      </c>
      <c r="T316" s="10"/>
      <c r="U316" s="10"/>
      <c r="V316" s="10"/>
      <c r="W316" s="12">
        <f t="shared" si="105"/>
        <v>0</v>
      </c>
      <c r="Y316" s="10">
        <v>30</v>
      </c>
      <c r="Z316" s="30"/>
      <c r="AA316" s="31"/>
      <c r="AB316" s="47"/>
      <c r="AC316" s="31"/>
      <c r="AD316" s="31"/>
      <c r="AE316" s="32">
        <f t="shared" si="99"/>
        <v>0</v>
      </c>
      <c r="AF316" s="10"/>
      <c r="AG316" s="10"/>
      <c r="AH316" s="10"/>
      <c r="AI316" s="12">
        <f t="shared" si="100"/>
        <v>0</v>
      </c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</row>
    <row r="317" spans="1:52" x14ac:dyDescent="0.25">
      <c r="A317" s="10">
        <v>31</v>
      </c>
      <c r="B317" s="30"/>
      <c r="C317" s="31"/>
      <c r="D317" s="32"/>
      <c r="E317" s="32"/>
      <c r="F317" s="32"/>
      <c r="G317" s="32">
        <f t="shared" si="95"/>
        <v>0</v>
      </c>
      <c r="H317" s="10"/>
      <c r="I317" s="10"/>
      <c r="J317" s="10"/>
      <c r="K317" s="12">
        <f t="shared" si="96"/>
        <v>0</v>
      </c>
      <c r="M317" s="10">
        <v>31</v>
      </c>
      <c r="N317" s="30"/>
      <c r="P317" s="47"/>
      <c r="Q317" s="31"/>
      <c r="R317" s="31"/>
      <c r="S317" s="32">
        <f t="shared" si="104"/>
        <v>0</v>
      </c>
      <c r="T317" s="10"/>
      <c r="U317" s="10"/>
      <c r="V317" s="10"/>
      <c r="W317" s="12">
        <f t="shared" si="105"/>
        <v>0</v>
      </c>
      <c r="Y317" s="10">
        <v>31</v>
      </c>
      <c r="Z317" s="30"/>
      <c r="AB317" s="47"/>
      <c r="AC317" s="31"/>
      <c r="AD317" s="31"/>
      <c r="AE317" s="32">
        <f t="shared" si="99"/>
        <v>0</v>
      </c>
      <c r="AF317" s="10"/>
      <c r="AG317" s="10"/>
      <c r="AH317" s="10"/>
      <c r="AI317" s="12">
        <f t="shared" si="100"/>
        <v>0</v>
      </c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</row>
    <row r="318" spans="1:52" x14ac:dyDescent="0.25">
      <c r="A318" s="10">
        <v>32</v>
      </c>
      <c r="B318" s="30"/>
      <c r="C318" s="31"/>
      <c r="D318" s="32"/>
      <c r="E318" s="32"/>
      <c r="F318" s="32"/>
      <c r="G318" s="32">
        <f t="shared" si="95"/>
        <v>0</v>
      </c>
      <c r="H318" s="10"/>
      <c r="I318" s="10"/>
      <c r="J318" s="10"/>
      <c r="K318" s="12">
        <f t="shared" si="96"/>
        <v>0</v>
      </c>
      <c r="M318" s="10">
        <v>32</v>
      </c>
      <c r="N318" s="30"/>
      <c r="P318" s="47"/>
      <c r="Q318" s="31"/>
      <c r="R318" s="31"/>
      <c r="S318" s="32">
        <f t="shared" si="104"/>
        <v>0</v>
      </c>
      <c r="T318" s="10"/>
      <c r="U318" s="10"/>
      <c r="V318" s="10"/>
      <c r="W318" s="12">
        <f t="shared" si="105"/>
        <v>0</v>
      </c>
      <c r="Y318" s="10">
        <v>32</v>
      </c>
      <c r="Z318" s="30"/>
      <c r="AA318" s="31"/>
      <c r="AB318" s="47"/>
      <c r="AC318" s="31"/>
      <c r="AD318" s="31"/>
      <c r="AE318" s="32">
        <f t="shared" si="99"/>
        <v>0</v>
      </c>
      <c r="AF318" s="10"/>
      <c r="AG318" s="10"/>
      <c r="AH318" s="10"/>
      <c r="AI318" s="12">
        <f t="shared" si="100"/>
        <v>0</v>
      </c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</row>
    <row r="319" spans="1:52" x14ac:dyDescent="0.25">
      <c r="A319" s="10">
        <v>33</v>
      </c>
      <c r="B319" s="30"/>
      <c r="C319" s="31"/>
      <c r="D319" s="32"/>
      <c r="E319" s="32"/>
      <c r="F319" s="32"/>
      <c r="G319" s="32">
        <f t="shared" si="95"/>
        <v>0</v>
      </c>
      <c r="H319" s="10"/>
      <c r="I319" s="10"/>
      <c r="J319" s="10"/>
      <c r="K319" s="12">
        <f t="shared" si="96"/>
        <v>0</v>
      </c>
      <c r="M319" s="10">
        <v>33</v>
      </c>
      <c r="N319" s="30"/>
      <c r="O319" s="31"/>
      <c r="P319" s="47"/>
      <c r="Q319" s="31"/>
      <c r="R319" s="31"/>
      <c r="S319" s="32">
        <f t="shared" si="104"/>
        <v>0</v>
      </c>
      <c r="T319" s="10"/>
      <c r="U319" s="10"/>
      <c r="V319" s="10"/>
      <c r="W319" s="12">
        <f t="shared" si="105"/>
        <v>0</v>
      </c>
      <c r="Y319" s="10">
        <v>33</v>
      </c>
      <c r="Z319" s="30"/>
      <c r="AA319" s="31"/>
      <c r="AB319" s="47"/>
      <c r="AC319" s="31"/>
      <c r="AD319" s="31"/>
      <c r="AE319" s="32">
        <f t="shared" si="99"/>
        <v>0</v>
      </c>
      <c r="AF319" s="10"/>
      <c r="AG319" s="10"/>
      <c r="AH319" s="10"/>
      <c r="AI319" s="12">
        <f t="shared" si="100"/>
        <v>0</v>
      </c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</row>
    <row r="320" spans="1:52" x14ac:dyDescent="0.25">
      <c r="A320" s="10"/>
      <c r="B320" s="30"/>
      <c r="C320" s="31"/>
      <c r="D320" s="32"/>
      <c r="E320" s="32"/>
      <c r="F320" s="32"/>
      <c r="G320" s="32">
        <f t="shared" si="95"/>
        <v>0</v>
      </c>
      <c r="H320" s="10"/>
      <c r="I320" s="10"/>
      <c r="J320" s="10"/>
      <c r="K320" s="12">
        <f t="shared" si="96"/>
        <v>0</v>
      </c>
      <c r="M320" s="10">
        <v>34</v>
      </c>
      <c r="N320" s="30"/>
      <c r="O320" s="31"/>
      <c r="P320" s="47"/>
      <c r="Q320" s="31"/>
      <c r="R320" s="31"/>
      <c r="S320" s="32">
        <f t="shared" si="104"/>
        <v>0</v>
      </c>
      <c r="T320" s="10"/>
      <c r="U320" s="10"/>
      <c r="V320" s="10"/>
      <c r="W320" s="12">
        <f t="shared" si="105"/>
        <v>0</v>
      </c>
      <c r="Y320" s="10">
        <v>34</v>
      </c>
      <c r="Z320" s="30"/>
      <c r="AB320" s="47"/>
      <c r="AC320" s="31"/>
      <c r="AD320" s="31"/>
      <c r="AE320" s="32">
        <f t="shared" si="99"/>
        <v>0</v>
      </c>
      <c r="AF320" s="10"/>
      <c r="AG320" s="10"/>
      <c r="AH320" s="10"/>
      <c r="AI320" s="12">
        <f t="shared" si="100"/>
        <v>0</v>
      </c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</row>
    <row r="321" spans="1:52" x14ac:dyDescent="0.25">
      <c r="A321" s="10"/>
      <c r="B321" s="30"/>
      <c r="C321" s="31"/>
      <c r="D321" s="32"/>
      <c r="E321" s="32"/>
      <c r="F321" s="32"/>
      <c r="G321" s="32"/>
      <c r="H321" s="10"/>
      <c r="I321" s="10"/>
      <c r="J321" s="10"/>
      <c r="K321" s="12"/>
      <c r="M321" s="10">
        <v>35</v>
      </c>
      <c r="N321" s="30"/>
      <c r="O321" s="31"/>
      <c r="P321" s="47"/>
      <c r="Q321" s="31"/>
      <c r="R321" s="31"/>
      <c r="S321" s="32">
        <f t="shared" si="104"/>
        <v>0</v>
      </c>
      <c r="T321" s="10"/>
      <c r="U321" s="10"/>
      <c r="V321" s="10"/>
      <c r="W321" s="12">
        <f t="shared" si="105"/>
        <v>0</v>
      </c>
      <c r="Y321" s="10">
        <v>35</v>
      </c>
      <c r="Z321" s="30"/>
      <c r="AA321" s="31"/>
      <c r="AB321" s="47"/>
      <c r="AC321" s="31"/>
      <c r="AD321" s="31"/>
      <c r="AE321" s="32">
        <f t="shared" si="99"/>
        <v>0</v>
      </c>
      <c r="AF321" s="10"/>
      <c r="AG321" s="10"/>
      <c r="AH321" s="10"/>
      <c r="AI321" s="12">
        <f t="shared" si="100"/>
        <v>0</v>
      </c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</row>
    <row r="322" spans="1:52" x14ac:dyDescent="0.25">
      <c r="A322" s="10"/>
      <c r="B322" s="30"/>
      <c r="C322" s="31"/>
      <c r="D322" s="32"/>
      <c r="E322" s="32"/>
      <c r="F322" s="32"/>
      <c r="G322" s="32"/>
      <c r="H322" s="10"/>
      <c r="I322" s="10"/>
      <c r="J322" s="10"/>
      <c r="K322" s="12"/>
      <c r="M322" s="10">
        <v>36</v>
      </c>
      <c r="N322" s="30"/>
      <c r="O322" s="31"/>
      <c r="P322" s="47"/>
      <c r="Q322" s="31"/>
      <c r="R322" s="31"/>
      <c r="S322" s="32">
        <f t="shared" si="104"/>
        <v>0</v>
      </c>
      <c r="T322" s="10"/>
      <c r="U322" s="10"/>
      <c r="V322" s="10"/>
      <c r="W322" s="12">
        <f t="shared" si="105"/>
        <v>0</v>
      </c>
      <c r="Y322" s="10">
        <v>36</v>
      </c>
      <c r="Z322" s="30"/>
      <c r="AA322" s="31"/>
      <c r="AB322" s="47"/>
      <c r="AC322" s="31"/>
      <c r="AD322" s="31"/>
      <c r="AE322" s="32">
        <f t="shared" si="99"/>
        <v>0</v>
      </c>
      <c r="AF322" s="10"/>
      <c r="AG322" s="10"/>
      <c r="AH322" s="10"/>
      <c r="AI322" s="12">
        <f t="shared" si="100"/>
        <v>0</v>
      </c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</row>
    <row r="323" spans="1:52" x14ac:dyDescent="0.25">
      <c r="A323" s="10"/>
      <c r="B323" s="30"/>
      <c r="C323" s="57"/>
      <c r="D323" s="32"/>
      <c r="E323" s="32"/>
      <c r="F323" s="32"/>
      <c r="G323" s="32"/>
      <c r="H323" s="10"/>
      <c r="I323" s="10"/>
      <c r="J323" s="10"/>
      <c r="K323" s="12"/>
      <c r="M323" s="10">
        <v>37</v>
      </c>
      <c r="N323" s="30"/>
      <c r="P323" s="47"/>
      <c r="Q323" s="31"/>
      <c r="R323" s="31"/>
      <c r="S323" s="32">
        <f t="shared" si="104"/>
        <v>0</v>
      </c>
      <c r="T323" s="10"/>
      <c r="U323" s="10"/>
      <c r="V323" s="10"/>
      <c r="W323" s="12">
        <f t="shared" si="105"/>
        <v>0</v>
      </c>
      <c r="Y323" s="10">
        <v>37</v>
      </c>
      <c r="Z323" s="30"/>
      <c r="AA323" s="31"/>
      <c r="AB323" s="47"/>
      <c r="AC323" s="31"/>
      <c r="AD323" s="31"/>
      <c r="AE323" s="32">
        <f t="shared" si="99"/>
        <v>0</v>
      </c>
      <c r="AF323" s="10"/>
      <c r="AG323" s="10"/>
      <c r="AH323" s="10"/>
      <c r="AI323" s="12">
        <f t="shared" si="100"/>
        <v>0</v>
      </c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</row>
    <row r="324" spans="1:52" x14ac:dyDescent="0.25">
      <c r="A324" s="10"/>
      <c r="B324" s="30"/>
      <c r="C324" s="31"/>
      <c r="D324" s="32"/>
      <c r="E324" s="32"/>
      <c r="F324" s="32"/>
      <c r="G324" s="32"/>
      <c r="H324" s="10"/>
      <c r="I324" s="10"/>
      <c r="J324" s="10"/>
      <c r="K324" s="12"/>
      <c r="M324" s="10">
        <v>38</v>
      </c>
      <c r="N324" s="30"/>
      <c r="O324" s="31"/>
      <c r="P324" s="47"/>
      <c r="Q324" s="31"/>
      <c r="R324" s="31"/>
      <c r="S324" s="32">
        <f t="shared" si="104"/>
        <v>0</v>
      </c>
      <c r="T324" s="10"/>
      <c r="U324" s="10"/>
      <c r="V324" s="10"/>
      <c r="W324" s="12">
        <f t="shared" si="105"/>
        <v>0</v>
      </c>
      <c r="Y324" s="10">
        <v>38</v>
      </c>
      <c r="Z324" s="30"/>
      <c r="AA324" s="31"/>
      <c r="AB324" s="47"/>
      <c r="AC324" s="31"/>
      <c r="AD324" s="31"/>
      <c r="AE324" s="32">
        <f t="shared" si="99"/>
        <v>0</v>
      </c>
      <c r="AF324" s="10"/>
      <c r="AG324" s="10"/>
      <c r="AH324" s="10"/>
      <c r="AI324" s="12">
        <f t="shared" si="100"/>
        <v>0</v>
      </c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</row>
    <row r="325" spans="1:52" x14ac:dyDescent="0.25">
      <c r="A325" s="10"/>
      <c r="B325" s="30"/>
      <c r="C325" s="57"/>
      <c r="D325" s="32"/>
      <c r="E325" s="32"/>
      <c r="F325" s="32"/>
      <c r="G325" s="32"/>
      <c r="H325" s="10"/>
      <c r="I325" s="10"/>
      <c r="J325" s="10"/>
      <c r="K325" s="12"/>
      <c r="M325" s="10">
        <v>39</v>
      </c>
      <c r="N325" s="30"/>
      <c r="O325" s="31"/>
      <c r="P325" s="47"/>
      <c r="Q325" s="31"/>
      <c r="R325" s="31"/>
      <c r="S325" s="32">
        <f t="shared" si="104"/>
        <v>0</v>
      </c>
      <c r="T325" s="10"/>
      <c r="U325" s="10"/>
      <c r="V325" s="10"/>
      <c r="W325" s="12">
        <f t="shared" si="105"/>
        <v>0</v>
      </c>
      <c r="Y325" s="10">
        <v>39</v>
      </c>
      <c r="Z325" s="30"/>
      <c r="AA325" s="31"/>
      <c r="AB325" s="47"/>
      <c r="AC325" s="31"/>
      <c r="AD325" s="31"/>
      <c r="AE325" s="32">
        <f t="shared" si="99"/>
        <v>0</v>
      </c>
      <c r="AF325" s="10"/>
      <c r="AG325" s="10"/>
      <c r="AH325" s="10"/>
      <c r="AI325" s="12">
        <f t="shared" si="100"/>
        <v>0</v>
      </c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</row>
    <row r="326" spans="1:52" x14ac:dyDescent="0.25">
      <c r="A326" s="10"/>
      <c r="B326" s="30"/>
      <c r="C326" s="31"/>
      <c r="D326" s="32"/>
      <c r="E326" s="32"/>
      <c r="F326" s="32"/>
      <c r="G326" s="32"/>
      <c r="H326" s="10"/>
      <c r="I326" s="10"/>
      <c r="J326" s="10"/>
      <c r="K326" s="12"/>
      <c r="M326" s="10"/>
      <c r="N326" s="30"/>
      <c r="P326" s="47"/>
      <c r="Q326" s="31"/>
      <c r="R326" s="31"/>
      <c r="S326" s="32"/>
      <c r="T326" s="10"/>
      <c r="U326" s="10"/>
      <c r="V326" s="10"/>
      <c r="W326" s="12">
        <f t="shared" si="105"/>
        <v>0</v>
      </c>
      <c r="Y326" s="10"/>
      <c r="Z326" s="30"/>
      <c r="AB326" s="47"/>
      <c r="AC326" s="31"/>
      <c r="AD326" s="31"/>
      <c r="AE326" s="32"/>
      <c r="AF326" s="10"/>
      <c r="AG326" s="10"/>
      <c r="AH326" s="10"/>
      <c r="AI326" s="12">
        <f t="shared" si="100"/>
        <v>0</v>
      </c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</row>
    <row r="327" spans="1:52" x14ac:dyDescent="0.25">
      <c r="A327" s="10"/>
      <c r="B327" s="30"/>
      <c r="C327" s="31"/>
      <c r="D327" s="32"/>
      <c r="E327" s="32"/>
      <c r="F327" s="32"/>
      <c r="G327" s="32">
        <f t="shared" ref="G327" si="106">SUM(D327:E327)</f>
        <v>0</v>
      </c>
      <c r="H327" s="10"/>
      <c r="I327" s="10"/>
      <c r="J327" s="10"/>
      <c r="K327" s="12">
        <f t="shared" ref="K327" si="107">SUM(G327:J327)</f>
        <v>0</v>
      </c>
      <c r="M327" s="10"/>
      <c r="N327" s="30"/>
      <c r="O327" s="31"/>
      <c r="P327" s="47"/>
      <c r="Q327" s="31"/>
      <c r="R327" s="31"/>
      <c r="S327" s="32">
        <f t="shared" ref="S327" si="108">SUM(P327:Q327)</f>
        <v>0</v>
      </c>
      <c r="T327" s="10"/>
      <c r="U327" s="10"/>
      <c r="V327" s="10"/>
      <c r="W327" s="12">
        <f t="shared" si="105"/>
        <v>0</v>
      </c>
      <c r="Y327" s="10"/>
      <c r="Z327" s="30"/>
      <c r="AA327" s="31"/>
      <c r="AB327" s="47"/>
      <c r="AC327" s="31"/>
      <c r="AD327" s="31"/>
      <c r="AE327" s="32">
        <f t="shared" ref="AE327" si="109">SUM(AB327:AC327)</f>
        <v>0</v>
      </c>
      <c r="AF327" s="10"/>
      <c r="AG327" s="10"/>
      <c r="AH327" s="10"/>
      <c r="AI327" s="12">
        <f t="shared" si="100"/>
        <v>0</v>
      </c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</row>
    <row r="328" spans="1:52" x14ac:dyDescent="0.25">
      <c r="A328" s="10"/>
      <c r="B328" s="30"/>
      <c r="C328" s="30"/>
      <c r="D328" s="32"/>
      <c r="E328" s="32"/>
      <c r="F328" s="32"/>
      <c r="G328" s="32"/>
      <c r="H328" s="10"/>
      <c r="I328" s="10"/>
      <c r="J328" s="10"/>
      <c r="K328" s="12"/>
      <c r="M328" s="10"/>
      <c r="N328" s="31"/>
      <c r="O328" s="31"/>
      <c r="P328" s="31"/>
      <c r="Q328" s="31"/>
      <c r="R328" s="31"/>
      <c r="S328" s="31"/>
      <c r="T328" s="10"/>
      <c r="U328" s="10"/>
      <c r="V328" s="10"/>
      <c r="W328" s="12">
        <f t="shared" si="105"/>
        <v>0</v>
      </c>
      <c r="Y328" s="10"/>
      <c r="Z328" s="31"/>
      <c r="AA328" s="31"/>
      <c r="AB328" s="31"/>
      <c r="AC328" s="31"/>
      <c r="AD328" s="31"/>
      <c r="AE328" s="31"/>
      <c r="AF328" s="10"/>
      <c r="AG328" s="10"/>
      <c r="AH328" s="10"/>
      <c r="AI328" s="12">
        <f t="shared" si="100"/>
        <v>0</v>
      </c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</row>
    <row r="329" spans="1:52" x14ac:dyDescent="0.25">
      <c r="B329" s="57"/>
      <c r="C329" s="57"/>
      <c r="D329" s="36"/>
      <c r="E329" s="36"/>
      <c r="F329" s="36"/>
      <c r="G329" s="36"/>
      <c r="H329" s="37"/>
      <c r="I329" s="37"/>
      <c r="J329" s="37"/>
      <c r="K329" s="37"/>
      <c r="N329" s="57"/>
      <c r="O329" s="57"/>
      <c r="P329" s="36"/>
      <c r="Q329" s="36"/>
      <c r="R329" s="36"/>
      <c r="S329" s="36"/>
      <c r="T329" s="37"/>
      <c r="U329" s="37"/>
      <c r="V329" s="37"/>
      <c r="W329" s="37"/>
      <c r="Z329" s="57"/>
      <c r="AA329" s="57"/>
      <c r="AB329" s="36"/>
      <c r="AC329" s="36"/>
      <c r="AD329" s="36"/>
      <c r="AE329" s="36"/>
      <c r="AF329" s="37"/>
      <c r="AG329" s="37"/>
      <c r="AH329" s="37"/>
      <c r="AI329" s="37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</row>
    <row r="330" spans="1:52" x14ac:dyDescent="0.25">
      <c r="B330" s="57"/>
      <c r="C330" s="57"/>
      <c r="D330" s="38">
        <f>SUM(D287:D329)</f>
        <v>44309</v>
      </c>
      <c r="E330" s="38">
        <f t="shared" ref="E330:F330" si="110">SUM(E287:E327)</f>
        <v>0</v>
      </c>
      <c r="F330" s="38">
        <f t="shared" si="110"/>
        <v>0</v>
      </c>
      <c r="G330" s="38">
        <f>SUM(G287:G329)</f>
        <v>44309</v>
      </c>
      <c r="H330" s="4"/>
      <c r="I330" s="39">
        <f>SUM(I287:I329)</f>
        <v>461</v>
      </c>
      <c r="J330" s="39">
        <f>SUM(J287:J329)</f>
        <v>0</v>
      </c>
      <c r="K330" s="40">
        <f>SUM(K287:K329)</f>
        <v>44770</v>
      </c>
      <c r="N330" s="57"/>
      <c r="O330" s="57"/>
      <c r="P330" s="38">
        <f>SUM(P287:P329)</f>
        <v>102304</v>
      </c>
      <c r="Q330" s="38">
        <f>SUM(Q287:Q311)</f>
        <v>-560</v>
      </c>
      <c r="R330" s="38">
        <f>SUM(R287:R311)</f>
        <v>0</v>
      </c>
      <c r="S330" s="38">
        <f>SUM(S287:S329)</f>
        <v>101744</v>
      </c>
      <c r="T330" s="4"/>
      <c r="U330" s="41">
        <f>SUM(U287:U329)</f>
        <v>555</v>
      </c>
      <c r="V330" s="41">
        <f>SUM(V287:V311)</f>
        <v>0</v>
      </c>
      <c r="W330" s="42">
        <f>SUM(W287:W329)</f>
        <v>102299</v>
      </c>
      <c r="Z330" s="57"/>
      <c r="AA330" s="57"/>
      <c r="AB330" s="38">
        <f>SUM(AB287:AB329)</f>
        <v>63432</v>
      </c>
      <c r="AC330" s="38">
        <f>SUM(AC287:AC311)</f>
        <v>-312</v>
      </c>
      <c r="AD330" s="38">
        <f>SUM(AD287:AD311)</f>
        <v>0</v>
      </c>
      <c r="AE330" s="38">
        <f>SUM(AE287:AE329)</f>
        <v>63120</v>
      </c>
      <c r="AF330" s="4"/>
      <c r="AG330" s="41">
        <f>SUM(AG287:AG329)</f>
        <v>28</v>
      </c>
      <c r="AH330" s="41">
        <f>SUM(AH287:AH311)</f>
        <v>0</v>
      </c>
      <c r="AI330" s="42">
        <f>SUM(AI287:AI329)</f>
        <v>63148</v>
      </c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</row>
    <row r="331" spans="1:52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</row>
    <row r="332" spans="1:52" x14ac:dyDescent="0.25">
      <c r="A332" t="s">
        <v>0</v>
      </c>
      <c r="B332" s="57"/>
      <c r="C332" s="57"/>
      <c r="D332" s="57"/>
      <c r="E332" s="57"/>
      <c r="G332" s="57"/>
      <c r="M332" t="s">
        <v>0</v>
      </c>
      <c r="N332" s="57"/>
      <c r="O332" s="57"/>
      <c r="P332" s="57"/>
      <c r="Q332" s="57"/>
      <c r="R332" s="57"/>
      <c r="S332" s="57"/>
      <c r="Y332" t="s">
        <v>0</v>
      </c>
      <c r="Z332" s="57"/>
      <c r="AA332" s="57"/>
      <c r="AB332" s="57"/>
      <c r="AC332" s="57"/>
      <c r="AD332" s="57"/>
      <c r="AE332" s="57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 spans="1:52" x14ac:dyDescent="0.25">
      <c r="A333" t="s">
        <v>29</v>
      </c>
      <c r="B333" s="57"/>
      <c r="C333" s="57"/>
      <c r="D333" s="57"/>
      <c r="E333" s="57"/>
      <c r="G333" s="57"/>
      <c r="M333" t="s">
        <v>29</v>
      </c>
      <c r="N333" s="57"/>
      <c r="O333" s="57"/>
      <c r="P333" s="57"/>
      <c r="Q333" s="57"/>
      <c r="R333" s="57"/>
      <c r="S333" s="57"/>
      <c r="Y333" t="s">
        <v>29</v>
      </c>
      <c r="Z333" s="57"/>
      <c r="AA333" s="57"/>
      <c r="AB333" s="57"/>
      <c r="AC333" s="57"/>
      <c r="AD333" s="57"/>
      <c r="AE333" s="57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</row>
    <row r="334" spans="1:52" x14ac:dyDescent="0.25">
      <c r="B334" s="57"/>
      <c r="C334" s="57"/>
      <c r="D334" s="57"/>
      <c r="E334" s="57"/>
      <c r="G334" s="57"/>
      <c r="N334" s="57"/>
      <c r="O334" s="57"/>
      <c r="P334" s="57"/>
      <c r="Q334" s="57"/>
      <c r="R334" s="57"/>
      <c r="S334" s="57"/>
      <c r="Z334" s="57"/>
      <c r="AA334" s="57"/>
      <c r="AB334" s="57"/>
      <c r="AC334" s="57"/>
      <c r="AD334" s="57"/>
      <c r="AE334" s="57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</row>
    <row r="335" spans="1:52" x14ac:dyDescent="0.25">
      <c r="A335" s="4" t="s">
        <v>15</v>
      </c>
      <c r="B335" s="57"/>
      <c r="C335" s="57"/>
      <c r="D335" s="57"/>
      <c r="E335" s="57"/>
      <c r="G335" s="57"/>
      <c r="M335" s="4" t="s">
        <v>15</v>
      </c>
      <c r="N335" s="57"/>
      <c r="O335" s="57"/>
      <c r="P335" s="57"/>
      <c r="Q335" s="57"/>
      <c r="R335" s="57"/>
      <c r="S335" s="57"/>
      <c r="Y335" s="4" t="s">
        <v>15</v>
      </c>
      <c r="Z335" s="57"/>
      <c r="AA335" s="57"/>
      <c r="AB335" s="57"/>
      <c r="AC335" s="57"/>
      <c r="AD335" s="57"/>
      <c r="AE335" s="57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 spans="1:52" x14ac:dyDescent="0.25">
      <c r="B336" s="57"/>
      <c r="C336" s="57"/>
      <c r="D336" s="57"/>
      <c r="E336" s="57"/>
      <c r="G336" s="57"/>
      <c r="N336" s="57"/>
      <c r="O336" s="57"/>
      <c r="P336" s="57"/>
      <c r="Q336" s="57"/>
      <c r="R336" s="57"/>
      <c r="S336" s="57"/>
      <c r="Z336" s="57"/>
      <c r="AA336" s="57"/>
      <c r="AB336" s="57"/>
      <c r="AC336" s="57"/>
      <c r="AD336" s="57"/>
      <c r="AE336" s="57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</row>
    <row r="337" spans="1:52" ht="15.75" x14ac:dyDescent="0.25">
      <c r="A337" t="s">
        <v>40</v>
      </c>
      <c r="B337" s="57"/>
      <c r="C337" s="57"/>
      <c r="D337" s="57"/>
      <c r="E337" s="57"/>
      <c r="G337" s="57"/>
      <c r="I337" s="57" t="s">
        <v>16</v>
      </c>
      <c r="J337" s="19">
        <v>1</v>
      </c>
      <c r="M337" t="s">
        <v>40</v>
      </c>
      <c r="N337" s="57"/>
      <c r="O337" s="57"/>
      <c r="P337" s="57"/>
      <c r="Q337" s="57"/>
      <c r="R337" s="57"/>
      <c r="S337" s="57"/>
      <c r="U337" s="57" t="s">
        <v>16</v>
      </c>
      <c r="V337" s="19">
        <v>2</v>
      </c>
      <c r="Y337" t="s">
        <v>40</v>
      </c>
      <c r="Z337" s="57"/>
      <c r="AA337" s="57"/>
      <c r="AB337" s="57"/>
      <c r="AC337" s="57"/>
      <c r="AD337" s="57"/>
      <c r="AE337" s="57"/>
      <c r="AG337" s="57" t="s">
        <v>16</v>
      </c>
      <c r="AH337" s="20">
        <v>3</v>
      </c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</row>
    <row r="338" spans="1:52" x14ac:dyDescent="0.25">
      <c r="A338" s="21" t="s">
        <v>56</v>
      </c>
      <c r="B338" s="20"/>
      <c r="C338" s="57"/>
      <c r="D338" s="57"/>
      <c r="E338" s="57"/>
      <c r="G338" s="57"/>
      <c r="I338" s="22" t="s">
        <v>17</v>
      </c>
      <c r="J338" s="23" t="s">
        <v>33</v>
      </c>
      <c r="K338" s="24"/>
      <c r="M338" s="21" t="s">
        <v>56</v>
      </c>
      <c r="N338" s="20"/>
      <c r="O338" s="57"/>
      <c r="P338" s="57"/>
      <c r="Q338" s="57"/>
      <c r="R338" s="57"/>
      <c r="S338" s="57"/>
      <c r="U338" s="22" t="s">
        <v>17</v>
      </c>
      <c r="V338" s="23" t="s">
        <v>34</v>
      </c>
      <c r="W338" s="24"/>
      <c r="Y338" s="21" t="s">
        <v>56</v>
      </c>
      <c r="Z338" s="20"/>
      <c r="AA338" s="57"/>
      <c r="AB338" s="57"/>
      <c r="AC338" s="57"/>
      <c r="AD338" s="57"/>
      <c r="AE338" s="57"/>
      <c r="AG338" s="22" t="s">
        <v>17</v>
      </c>
      <c r="AH338" s="23" t="s">
        <v>35</v>
      </c>
      <c r="AI338" s="24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 spans="1:52" x14ac:dyDescent="0.25">
      <c r="B339" s="57"/>
      <c r="C339" s="57"/>
      <c r="D339" s="57"/>
      <c r="E339" s="57"/>
      <c r="G339" s="57"/>
      <c r="N339" s="57"/>
      <c r="O339" s="57"/>
      <c r="P339" s="57"/>
      <c r="Q339" s="57"/>
      <c r="R339" s="57"/>
      <c r="S339" s="57"/>
      <c r="Z339" s="57"/>
      <c r="AA339" s="57"/>
      <c r="AB339" s="57"/>
      <c r="AC339" s="57"/>
      <c r="AD339" s="57"/>
      <c r="AE339" s="57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</row>
    <row r="340" spans="1:52" x14ac:dyDescent="0.25">
      <c r="B340" s="25"/>
      <c r="C340" s="26"/>
      <c r="D340" s="121" t="s">
        <v>18</v>
      </c>
      <c r="E340" s="121"/>
      <c r="F340" s="97"/>
      <c r="G340" s="27"/>
      <c r="I340" s="119" t="s">
        <v>19</v>
      </c>
      <c r="J340" s="120"/>
      <c r="K340" s="117" t="s">
        <v>20</v>
      </c>
      <c r="N340" s="25"/>
      <c r="O340" s="26"/>
      <c r="P340" s="121" t="s">
        <v>18</v>
      </c>
      <c r="Q340" s="121"/>
      <c r="R340" s="97"/>
      <c r="S340" s="27"/>
      <c r="U340" s="119" t="s">
        <v>19</v>
      </c>
      <c r="V340" s="120"/>
      <c r="W340" s="117" t="s">
        <v>20</v>
      </c>
      <c r="Z340" s="25"/>
      <c r="AA340" s="26"/>
      <c r="AB340" s="121" t="s">
        <v>18</v>
      </c>
      <c r="AC340" s="121"/>
      <c r="AD340" s="97"/>
      <c r="AE340" s="27"/>
      <c r="AG340" s="119" t="s">
        <v>19</v>
      </c>
      <c r="AH340" s="120"/>
      <c r="AI340" s="117" t="s">
        <v>20</v>
      </c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</row>
    <row r="341" spans="1:52" ht="30" x14ac:dyDescent="0.25">
      <c r="B341" s="28" t="s">
        <v>21</v>
      </c>
      <c r="C341" s="28" t="s">
        <v>22</v>
      </c>
      <c r="D341" s="83" t="s">
        <v>23</v>
      </c>
      <c r="E341" s="82" t="s">
        <v>24</v>
      </c>
      <c r="F341" s="84" t="s">
        <v>36</v>
      </c>
      <c r="G341" s="84" t="s">
        <v>25</v>
      </c>
      <c r="I341" s="29" t="s">
        <v>26</v>
      </c>
      <c r="J341" s="29" t="s">
        <v>27</v>
      </c>
      <c r="K341" s="118"/>
      <c r="N341" s="28" t="s">
        <v>21</v>
      </c>
      <c r="O341" s="28" t="s">
        <v>22</v>
      </c>
      <c r="P341" s="83" t="s">
        <v>23</v>
      </c>
      <c r="Q341" s="84" t="s">
        <v>24</v>
      </c>
      <c r="R341" s="84" t="s">
        <v>36</v>
      </c>
      <c r="S341" s="84" t="s">
        <v>25</v>
      </c>
      <c r="U341" s="29" t="s">
        <v>26</v>
      </c>
      <c r="V341" s="29" t="s">
        <v>27</v>
      </c>
      <c r="W341" s="118"/>
      <c r="Z341" s="28" t="s">
        <v>21</v>
      </c>
      <c r="AA341" s="28" t="s">
        <v>22</v>
      </c>
      <c r="AB341" s="83" t="s">
        <v>23</v>
      </c>
      <c r="AC341" s="84" t="s">
        <v>24</v>
      </c>
      <c r="AD341" s="84" t="s">
        <v>36</v>
      </c>
      <c r="AE341" s="84" t="s">
        <v>25</v>
      </c>
      <c r="AG341" s="29" t="s">
        <v>26</v>
      </c>
      <c r="AH341" s="29" t="s">
        <v>27</v>
      </c>
      <c r="AI341" s="118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 spans="1:52" x14ac:dyDescent="0.25">
      <c r="A342" s="10">
        <v>1</v>
      </c>
      <c r="B342" s="30">
        <v>45908</v>
      </c>
      <c r="C342" s="31">
        <v>5001</v>
      </c>
      <c r="D342" s="32">
        <f>2504+596+48</f>
        <v>3148</v>
      </c>
      <c r="E342" s="32"/>
      <c r="F342" s="32"/>
      <c r="G342" s="32">
        <f t="shared" ref="G342:G375" si="111">SUM(D342:E342)</f>
        <v>3148</v>
      </c>
      <c r="H342" s="12"/>
      <c r="I342" s="12"/>
      <c r="J342" s="12"/>
      <c r="K342" s="12">
        <f t="shared" ref="K342:K375" si="112">SUM(G342:J342)</f>
        <v>3148</v>
      </c>
      <c r="M342" s="10">
        <v>1</v>
      </c>
      <c r="N342" s="30">
        <v>45908</v>
      </c>
      <c r="O342" s="31">
        <v>4942</v>
      </c>
      <c r="P342" s="32">
        <f>3130+614+1192+66</f>
        <v>5002</v>
      </c>
      <c r="Q342" s="32"/>
      <c r="R342" s="32"/>
      <c r="S342" s="32">
        <f>SUM(P342:Q342)</f>
        <v>5002</v>
      </c>
      <c r="T342" s="12"/>
      <c r="U342" s="12"/>
      <c r="V342" s="12"/>
      <c r="W342" s="12">
        <f>SUM(S342:V342)</f>
        <v>5002</v>
      </c>
      <c r="Y342" s="10">
        <v>1</v>
      </c>
      <c r="Z342" s="30">
        <v>45908</v>
      </c>
      <c r="AA342" s="31">
        <v>4876</v>
      </c>
      <c r="AB342" s="32">
        <f>18780+18780+11920+916</f>
        <v>50396</v>
      </c>
      <c r="AC342" s="32">
        <v>-504</v>
      </c>
      <c r="AD342" s="32"/>
      <c r="AE342" s="32">
        <f>SUM(AB342:AC342)</f>
        <v>49892</v>
      </c>
      <c r="AF342" s="12"/>
      <c r="AG342" s="12"/>
      <c r="AH342" s="12"/>
      <c r="AI342" s="12">
        <f>SUM(AE342:AH342)</f>
        <v>49892</v>
      </c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</row>
    <row r="343" spans="1:52" x14ac:dyDescent="0.25">
      <c r="A343" s="10">
        <v>2</v>
      </c>
      <c r="B343" s="30">
        <v>45908</v>
      </c>
      <c r="C343" s="31">
        <f>C342+1</f>
        <v>5002</v>
      </c>
      <c r="D343" s="32">
        <f>1252+19+229</f>
        <v>1500</v>
      </c>
      <c r="E343" s="32"/>
      <c r="F343" s="32"/>
      <c r="G343" s="32">
        <f t="shared" si="111"/>
        <v>1500</v>
      </c>
      <c r="H343" s="12"/>
      <c r="I343" s="12"/>
      <c r="J343" s="12"/>
      <c r="K343" s="12">
        <f t="shared" si="112"/>
        <v>1500</v>
      </c>
      <c r="M343" s="10">
        <v>2</v>
      </c>
      <c r="N343" s="30">
        <v>45908</v>
      </c>
      <c r="O343" s="31">
        <f>O342+1</f>
        <v>4943</v>
      </c>
      <c r="P343" s="32">
        <f>1878+28</f>
        <v>1906</v>
      </c>
      <c r="Q343" s="32"/>
      <c r="R343" s="32"/>
      <c r="S343" s="32">
        <f t="shared" ref="S343:S356" si="113">SUM(P343:Q343)</f>
        <v>1906</v>
      </c>
      <c r="T343" s="12"/>
      <c r="U343" s="12"/>
      <c r="V343" s="12"/>
      <c r="W343" s="12">
        <f t="shared" ref="W343:W356" si="114">SUM(S343:V343)</f>
        <v>1906</v>
      </c>
      <c r="Y343" s="10">
        <v>2</v>
      </c>
      <c r="Z343" s="30">
        <v>45908</v>
      </c>
      <c r="AA343" s="31">
        <f>AA342+1</f>
        <v>4877</v>
      </c>
      <c r="AB343" s="32">
        <f>3370</f>
        <v>3370</v>
      </c>
      <c r="AC343" s="32"/>
      <c r="AD343" s="32"/>
      <c r="AE343" s="32">
        <f t="shared" ref="AE343:AE380" si="115">SUM(AB343:AC343)</f>
        <v>3370</v>
      </c>
      <c r="AF343" s="12"/>
      <c r="AG343" s="12"/>
      <c r="AH343" s="12"/>
      <c r="AI343" s="12">
        <f t="shared" ref="AI343:AI383" si="116">SUM(AE343:AH343)</f>
        <v>3370</v>
      </c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</row>
    <row r="344" spans="1:52" x14ac:dyDescent="0.25">
      <c r="A344" s="10">
        <v>3</v>
      </c>
      <c r="B344" s="30">
        <v>45908</v>
      </c>
      <c r="C344" s="31">
        <f t="shared" ref="C344:C363" si="117">C343+1</f>
        <v>5003</v>
      </c>
      <c r="D344" s="33">
        <f>2504+38</f>
        <v>2542</v>
      </c>
      <c r="E344" s="33"/>
      <c r="F344" s="33"/>
      <c r="G344" s="33">
        <f t="shared" si="111"/>
        <v>2542</v>
      </c>
      <c r="H344" s="34"/>
      <c r="I344" s="34"/>
      <c r="J344" s="34"/>
      <c r="K344" s="34">
        <f t="shared" si="112"/>
        <v>2542</v>
      </c>
      <c r="M344" s="10">
        <v>3</v>
      </c>
      <c r="N344" s="30">
        <v>45908</v>
      </c>
      <c r="O344" s="31">
        <f t="shared" ref="O344:O354" si="118">O343+1</f>
        <v>4944</v>
      </c>
      <c r="P344" s="32">
        <f>1878+596+38</f>
        <v>2512</v>
      </c>
      <c r="Q344" s="32"/>
      <c r="R344" s="32"/>
      <c r="S344" s="32">
        <f t="shared" si="113"/>
        <v>2512</v>
      </c>
      <c r="T344" s="12"/>
      <c r="U344" s="12"/>
      <c r="V344" s="12"/>
      <c r="W344" s="12">
        <f t="shared" si="114"/>
        <v>2512</v>
      </c>
      <c r="Y344" s="10">
        <v>3</v>
      </c>
      <c r="Z344" s="30">
        <v>45908</v>
      </c>
      <c r="AA344" s="31">
        <f t="shared" ref="AA344:AA348" si="119">AA343+1</f>
        <v>4878</v>
      </c>
      <c r="AB344" s="33">
        <f>626*40+614*2+596*8+229*2</f>
        <v>31494</v>
      </c>
      <c r="AC344" s="33">
        <v>-312</v>
      </c>
      <c r="AD344" s="32"/>
      <c r="AE344" s="32">
        <f t="shared" si="115"/>
        <v>31182</v>
      </c>
      <c r="AF344" s="12"/>
      <c r="AG344" s="12"/>
      <c r="AH344" s="12"/>
      <c r="AI344" s="12">
        <f t="shared" si="116"/>
        <v>31182</v>
      </c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 spans="1:52" x14ac:dyDescent="0.25">
      <c r="A345" s="10">
        <v>4</v>
      </c>
      <c r="B345" s="30">
        <v>45908</v>
      </c>
      <c r="C345" s="31">
        <f t="shared" si="117"/>
        <v>5004</v>
      </c>
      <c r="D345" s="32">
        <f>1252+19</f>
        <v>1271</v>
      </c>
      <c r="E345" s="32"/>
      <c r="F345" s="32"/>
      <c r="G345" s="32">
        <f t="shared" si="111"/>
        <v>1271</v>
      </c>
      <c r="H345" s="12"/>
      <c r="I345" s="12"/>
      <c r="J345" s="12"/>
      <c r="K345" s="12">
        <f t="shared" si="112"/>
        <v>1271</v>
      </c>
      <c r="M345" s="10">
        <v>4</v>
      </c>
      <c r="N345" s="30">
        <v>45908</v>
      </c>
      <c r="O345" s="31">
        <f t="shared" si="118"/>
        <v>4945</v>
      </c>
      <c r="P345" s="32">
        <f>626+614+596+19</f>
        <v>1855</v>
      </c>
      <c r="Q345" s="32"/>
      <c r="R345" s="32"/>
      <c r="S345" s="32">
        <f t="shared" si="113"/>
        <v>1855</v>
      </c>
      <c r="T345" s="12"/>
      <c r="U345" s="12"/>
      <c r="V345" s="12"/>
      <c r="W345" s="12">
        <f t="shared" si="114"/>
        <v>1855</v>
      </c>
      <c r="Y345" s="10">
        <v>4</v>
      </c>
      <c r="Z345" s="30">
        <v>45908</v>
      </c>
      <c r="AA345" s="31">
        <f t="shared" si="119"/>
        <v>4879</v>
      </c>
      <c r="AB345" s="32">
        <f>15650+1788+1005+832+458</f>
        <v>19733</v>
      </c>
      <c r="AC345" s="32"/>
      <c r="AD345" s="32"/>
      <c r="AE345" s="32">
        <f t="shared" si="115"/>
        <v>19733</v>
      </c>
      <c r="AF345" s="12"/>
      <c r="AH345" s="12"/>
      <c r="AI345" s="12">
        <f t="shared" si="116"/>
        <v>19733</v>
      </c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</row>
    <row r="346" spans="1:52" x14ac:dyDescent="0.25">
      <c r="A346" s="10">
        <v>5</v>
      </c>
      <c r="B346" s="30">
        <v>45908</v>
      </c>
      <c r="C346" s="31">
        <f t="shared" si="117"/>
        <v>5005</v>
      </c>
      <c r="D346" s="32">
        <f>3756+674</f>
        <v>4430</v>
      </c>
      <c r="E346" s="32"/>
      <c r="F346" s="32"/>
      <c r="G346" s="32">
        <f t="shared" si="111"/>
        <v>4430</v>
      </c>
      <c r="H346" s="12"/>
      <c r="I346" s="12"/>
      <c r="J346" s="12"/>
      <c r="K346" s="12">
        <f t="shared" si="112"/>
        <v>4430</v>
      </c>
      <c r="M346" s="10">
        <v>5</v>
      </c>
      <c r="N346" s="30">
        <v>45908</v>
      </c>
      <c r="O346" s="31">
        <f t="shared" si="118"/>
        <v>4946</v>
      </c>
      <c r="P346" s="32">
        <f>1252+19</f>
        <v>1271</v>
      </c>
      <c r="Q346" s="32"/>
      <c r="R346" s="32"/>
      <c r="S346" s="32">
        <f t="shared" si="113"/>
        <v>1271</v>
      </c>
      <c r="T346" s="12"/>
      <c r="U346" s="12"/>
      <c r="V346" s="12"/>
      <c r="W346" s="12">
        <f t="shared" si="114"/>
        <v>1271</v>
      </c>
      <c r="Y346" s="10">
        <v>5</v>
      </c>
      <c r="Z346" s="30">
        <v>45908</v>
      </c>
      <c r="AA346" s="31">
        <f t="shared" si="119"/>
        <v>4880</v>
      </c>
      <c r="AB346" s="32">
        <f>5634+614+85.5</f>
        <v>6333.5</v>
      </c>
      <c r="AC346" s="32"/>
      <c r="AD346" s="32"/>
      <c r="AE346" s="32">
        <f t="shared" si="115"/>
        <v>6333.5</v>
      </c>
      <c r="AF346" s="12"/>
      <c r="AG346" s="12"/>
      <c r="AH346" s="12"/>
      <c r="AI346" s="12">
        <f t="shared" si="116"/>
        <v>6333.5</v>
      </c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</row>
    <row r="347" spans="1:52" x14ac:dyDescent="0.25">
      <c r="A347" s="10">
        <v>6</v>
      </c>
      <c r="B347" s="30">
        <v>45908</v>
      </c>
      <c r="C347" s="31">
        <f t="shared" si="117"/>
        <v>5006</v>
      </c>
      <c r="D347" s="32">
        <f>3756+57</f>
        <v>3813</v>
      </c>
      <c r="E347" s="32"/>
      <c r="F347" s="32"/>
      <c r="G347" s="32">
        <f t="shared" si="111"/>
        <v>3813</v>
      </c>
      <c r="H347" s="12"/>
      <c r="I347" s="12"/>
      <c r="J347" s="12"/>
      <c r="K347" s="12">
        <f t="shared" si="112"/>
        <v>3813</v>
      </c>
      <c r="M347" s="10">
        <v>6</v>
      </c>
      <c r="N347" s="30">
        <v>45908</v>
      </c>
      <c r="O347" s="31">
        <f t="shared" si="118"/>
        <v>4947</v>
      </c>
      <c r="P347" s="32">
        <f>2504+596+47</f>
        <v>3147</v>
      </c>
      <c r="Q347" s="32"/>
      <c r="R347" s="32"/>
      <c r="S347" s="32">
        <f t="shared" si="113"/>
        <v>3147</v>
      </c>
      <c r="T347" s="12"/>
      <c r="U347" s="12"/>
      <c r="V347" s="10"/>
      <c r="W347" s="12">
        <f t="shared" si="114"/>
        <v>3147</v>
      </c>
      <c r="Y347" s="10">
        <v>6</v>
      </c>
      <c r="Z347" s="30">
        <v>45908</v>
      </c>
      <c r="AA347" s="31">
        <f t="shared" si="119"/>
        <v>4881</v>
      </c>
      <c r="AB347" s="32">
        <f>11894+6140+229</f>
        <v>18263</v>
      </c>
      <c r="AC347" s="32"/>
      <c r="AD347" s="32"/>
      <c r="AE347" s="32">
        <f t="shared" si="115"/>
        <v>18263</v>
      </c>
      <c r="AF347" s="12"/>
      <c r="AG347" s="12"/>
      <c r="AH347" s="10"/>
      <c r="AI347" s="12">
        <f t="shared" si="116"/>
        <v>18263</v>
      </c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 spans="1:52" x14ac:dyDescent="0.25">
      <c r="A348" s="10">
        <v>7</v>
      </c>
      <c r="B348" s="30">
        <v>45908</v>
      </c>
      <c r="C348" s="31">
        <f t="shared" si="117"/>
        <v>5007</v>
      </c>
      <c r="D348" s="32">
        <f>6260+95</f>
        <v>6355</v>
      </c>
      <c r="E348" s="32"/>
      <c r="F348" s="32"/>
      <c r="G348" s="32">
        <f t="shared" si="111"/>
        <v>6355</v>
      </c>
      <c r="H348" s="12"/>
      <c r="I348" s="12"/>
      <c r="J348" s="12"/>
      <c r="K348" s="12">
        <f t="shared" si="112"/>
        <v>6355</v>
      </c>
      <c r="M348" s="10">
        <v>7</v>
      </c>
      <c r="N348" s="30">
        <v>45908</v>
      </c>
      <c r="O348" s="31">
        <f t="shared" si="118"/>
        <v>4948</v>
      </c>
      <c r="P348" s="32">
        <f>626+9.5</f>
        <v>635.5</v>
      </c>
      <c r="Q348" s="32"/>
      <c r="R348" s="32"/>
      <c r="S348" s="32">
        <f t="shared" si="113"/>
        <v>635.5</v>
      </c>
      <c r="T348" s="12"/>
      <c r="U348" s="12">
        <v>111</v>
      </c>
      <c r="V348" s="12"/>
      <c r="W348" s="12">
        <f t="shared" si="114"/>
        <v>746.5</v>
      </c>
      <c r="Y348" s="10">
        <v>7</v>
      </c>
      <c r="Z348" s="30">
        <v>45908</v>
      </c>
      <c r="AA348" s="31">
        <f t="shared" si="119"/>
        <v>4882</v>
      </c>
      <c r="AB348" s="32">
        <f>4382+66.5</f>
        <v>4448.5</v>
      </c>
      <c r="AC348" s="32"/>
      <c r="AD348" s="32"/>
      <c r="AE348" s="32">
        <f t="shared" si="115"/>
        <v>4448.5</v>
      </c>
      <c r="AF348" s="12"/>
      <c r="AG348" s="58"/>
      <c r="AH348" s="12"/>
      <c r="AI348" s="12">
        <f t="shared" si="116"/>
        <v>4448.5</v>
      </c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</row>
    <row r="349" spans="1:52" x14ac:dyDescent="0.25">
      <c r="A349" s="10">
        <v>8</v>
      </c>
      <c r="B349" s="30">
        <v>45908</v>
      </c>
      <c r="C349" s="31">
        <f t="shared" si="117"/>
        <v>5008</v>
      </c>
      <c r="D349" s="32">
        <f>626*12+114</f>
        <v>7626</v>
      </c>
      <c r="E349" s="32"/>
      <c r="F349" s="32"/>
      <c r="G349" s="32">
        <f t="shared" si="111"/>
        <v>7626</v>
      </c>
      <c r="H349" s="12"/>
      <c r="I349" s="12"/>
      <c r="J349" s="12"/>
      <c r="K349" s="12">
        <f t="shared" si="112"/>
        <v>7626</v>
      </c>
      <c r="M349" s="10">
        <v>8</v>
      </c>
      <c r="N349" s="30">
        <v>45908</v>
      </c>
      <c r="O349" s="31">
        <f t="shared" si="118"/>
        <v>4949</v>
      </c>
      <c r="P349" s="32">
        <f>118940+832+1603+6500</f>
        <v>127875</v>
      </c>
      <c r="Q349" s="32">
        <v>-1872</v>
      </c>
      <c r="R349" s="32"/>
      <c r="S349" s="32">
        <f t="shared" si="113"/>
        <v>126003</v>
      </c>
      <c r="T349" s="12"/>
      <c r="U349" s="12">
        <f>5994+312</f>
        <v>6306</v>
      </c>
      <c r="V349" s="12">
        <f>-840+-84</f>
        <v>-924</v>
      </c>
      <c r="W349" s="12">
        <f t="shared" si="114"/>
        <v>131385</v>
      </c>
      <c r="Y349" s="10">
        <v>8</v>
      </c>
      <c r="Z349" s="30"/>
      <c r="AA349" s="11" t="s">
        <v>28</v>
      </c>
      <c r="AB349" s="32"/>
      <c r="AC349" s="32"/>
      <c r="AE349" s="32">
        <f t="shared" si="115"/>
        <v>0</v>
      </c>
      <c r="AF349" s="12"/>
      <c r="AG349" s="12"/>
      <c r="AH349" s="12"/>
      <c r="AI349" s="12">
        <f t="shared" si="116"/>
        <v>0</v>
      </c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</row>
    <row r="350" spans="1:52" x14ac:dyDescent="0.25">
      <c r="A350" s="10">
        <v>9</v>
      </c>
      <c r="B350" s="30">
        <v>45908</v>
      </c>
      <c r="C350" s="31">
        <f t="shared" si="117"/>
        <v>5009</v>
      </c>
      <c r="D350" s="32">
        <f>1252+19</f>
        <v>1271</v>
      </c>
      <c r="E350" s="32"/>
      <c r="F350" s="32"/>
      <c r="G350" s="32">
        <f t="shared" si="111"/>
        <v>1271</v>
      </c>
      <c r="H350" s="12"/>
      <c r="I350" s="12"/>
      <c r="J350" s="12"/>
      <c r="K350" s="12">
        <f t="shared" si="112"/>
        <v>1271</v>
      </c>
      <c r="M350" s="10">
        <v>9</v>
      </c>
      <c r="N350" s="30">
        <v>45908</v>
      </c>
      <c r="O350" s="31">
        <f t="shared" si="118"/>
        <v>4950</v>
      </c>
      <c r="P350" s="32">
        <f>3070+913+11920+852+458</f>
        <v>17213</v>
      </c>
      <c r="Q350" s="32"/>
      <c r="R350" s="32"/>
      <c r="S350" s="32">
        <f t="shared" si="113"/>
        <v>17213</v>
      </c>
      <c r="T350" s="12"/>
      <c r="U350" s="12"/>
      <c r="V350" s="12"/>
      <c r="W350" s="12">
        <f t="shared" si="114"/>
        <v>17213</v>
      </c>
      <c r="Y350" s="10">
        <v>9</v>
      </c>
      <c r="Z350" s="30"/>
      <c r="AA350" s="31"/>
      <c r="AC350" s="32"/>
      <c r="AD350" s="32"/>
      <c r="AE350" s="32">
        <f t="shared" si="115"/>
        <v>0</v>
      </c>
      <c r="AF350" s="12"/>
      <c r="AH350" s="12"/>
      <c r="AI350" s="12">
        <f t="shared" si="116"/>
        <v>0</v>
      </c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</row>
    <row r="351" spans="1:52" x14ac:dyDescent="0.25">
      <c r="A351" s="10">
        <v>10</v>
      </c>
      <c r="B351" s="30">
        <v>45908</v>
      </c>
      <c r="C351" s="31">
        <f t="shared" si="117"/>
        <v>5010</v>
      </c>
      <c r="D351" s="32">
        <f>4382+674+500</f>
        <v>5556</v>
      </c>
      <c r="E351" s="32"/>
      <c r="F351" s="32"/>
      <c r="G351" s="32">
        <f t="shared" si="111"/>
        <v>5556</v>
      </c>
      <c r="H351" s="12"/>
      <c r="I351" s="12">
        <v>12</v>
      </c>
      <c r="J351" s="12"/>
      <c r="K351" s="12">
        <f t="shared" si="112"/>
        <v>5568</v>
      </c>
      <c r="M351" s="10">
        <v>10</v>
      </c>
      <c r="N351" s="30">
        <v>45908</v>
      </c>
      <c r="O351" s="31">
        <v>4847</v>
      </c>
      <c r="P351" s="32">
        <f>7512+614+1192+133</f>
        <v>9451</v>
      </c>
      <c r="Q351" s="32"/>
      <c r="R351" s="32"/>
      <c r="S351" s="32">
        <f t="shared" si="113"/>
        <v>9451</v>
      </c>
      <c r="T351" s="12"/>
      <c r="U351" s="12"/>
      <c r="V351" s="12"/>
      <c r="W351" s="12">
        <f t="shared" si="114"/>
        <v>9451</v>
      </c>
      <c r="Y351" s="10">
        <v>10</v>
      </c>
      <c r="Z351" s="30"/>
      <c r="AA351" s="31"/>
      <c r="AB351" s="32"/>
      <c r="AC351" s="32"/>
      <c r="AD351" s="32"/>
      <c r="AE351" s="32">
        <f t="shared" si="115"/>
        <v>0</v>
      </c>
      <c r="AF351" s="12"/>
      <c r="AG351" s="12"/>
      <c r="AH351" s="12"/>
      <c r="AI351" s="12">
        <f t="shared" si="116"/>
        <v>0</v>
      </c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</row>
    <row r="352" spans="1:52" x14ac:dyDescent="0.25">
      <c r="A352" s="10">
        <v>11</v>
      </c>
      <c r="B352" s="30">
        <v>45908</v>
      </c>
      <c r="C352" s="31">
        <f t="shared" si="117"/>
        <v>5011</v>
      </c>
      <c r="D352" s="32">
        <f>6260+2384+133</f>
        <v>8777</v>
      </c>
      <c r="E352" s="32"/>
      <c r="F352" s="32"/>
      <c r="G352" s="32">
        <f t="shared" si="111"/>
        <v>8777</v>
      </c>
      <c r="H352" s="12"/>
      <c r="I352" s="12"/>
      <c r="J352" s="12"/>
      <c r="K352" s="12">
        <f t="shared" si="112"/>
        <v>8777</v>
      </c>
      <c r="M352" s="10">
        <v>11</v>
      </c>
      <c r="N352" s="30">
        <v>45908</v>
      </c>
      <c r="O352" s="31">
        <f t="shared" si="118"/>
        <v>4848</v>
      </c>
      <c r="P352" s="32">
        <f>3130+596+57</f>
        <v>3783</v>
      </c>
      <c r="Q352" s="32"/>
      <c r="R352" s="32"/>
      <c r="S352" s="32">
        <f t="shared" si="113"/>
        <v>3783</v>
      </c>
      <c r="T352" s="12"/>
      <c r="U352" s="12"/>
      <c r="V352" s="12"/>
      <c r="W352" s="12">
        <f t="shared" si="114"/>
        <v>3783</v>
      </c>
      <c r="Y352" s="10">
        <v>11</v>
      </c>
      <c r="Z352" s="30"/>
      <c r="AA352" s="31"/>
      <c r="AB352" s="32"/>
      <c r="AC352" s="32"/>
      <c r="AD352" s="32"/>
      <c r="AE352" s="32">
        <f t="shared" si="115"/>
        <v>0</v>
      </c>
      <c r="AF352" s="12"/>
      <c r="AG352" s="12"/>
      <c r="AH352" s="12"/>
      <c r="AI352" s="12">
        <f t="shared" si="116"/>
        <v>0</v>
      </c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</row>
    <row r="353" spans="1:52" x14ac:dyDescent="0.25">
      <c r="A353" s="10">
        <v>12</v>
      </c>
      <c r="B353" s="30">
        <v>45908</v>
      </c>
      <c r="C353" s="31">
        <f t="shared" si="117"/>
        <v>5012</v>
      </c>
      <c r="D353" s="32">
        <f>5008+596+674+832+229</f>
        <v>7339</v>
      </c>
      <c r="E353" s="32"/>
      <c r="F353" s="32"/>
      <c r="G353" s="32">
        <f t="shared" si="111"/>
        <v>7339</v>
      </c>
      <c r="H353" s="12"/>
      <c r="I353" s="12"/>
      <c r="J353" s="10"/>
      <c r="K353" s="12">
        <f t="shared" si="112"/>
        <v>7339</v>
      </c>
      <c r="M353" s="10">
        <v>12</v>
      </c>
      <c r="N353" s="30">
        <v>45908</v>
      </c>
      <c r="O353" s="31">
        <f t="shared" si="118"/>
        <v>4849</v>
      </c>
      <c r="P353" s="32">
        <f>626+596+832+19</f>
        <v>2073</v>
      </c>
      <c r="Q353" s="32"/>
      <c r="R353" s="32"/>
      <c r="S353" s="32">
        <f t="shared" si="113"/>
        <v>2073</v>
      </c>
      <c r="T353" s="12"/>
      <c r="U353" s="12"/>
      <c r="V353" s="12"/>
      <c r="W353" s="12">
        <f t="shared" si="114"/>
        <v>2073</v>
      </c>
      <c r="Y353" s="10">
        <v>12</v>
      </c>
      <c r="Z353" s="30"/>
      <c r="AA353" s="31"/>
      <c r="AB353" s="32"/>
      <c r="AC353" s="32"/>
      <c r="AD353" s="32"/>
      <c r="AE353" s="32">
        <f t="shared" si="115"/>
        <v>0</v>
      </c>
      <c r="AF353" s="12"/>
      <c r="AG353" s="12"/>
      <c r="AH353" s="12"/>
      <c r="AI353" s="12">
        <f t="shared" si="116"/>
        <v>0</v>
      </c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 spans="1:52" x14ac:dyDescent="0.25">
      <c r="A354" s="10">
        <v>13</v>
      </c>
      <c r="B354" s="30">
        <v>45908</v>
      </c>
      <c r="C354" s="31">
        <f t="shared" si="117"/>
        <v>5013</v>
      </c>
      <c r="D354" s="32">
        <f>12520+190</f>
        <v>12710</v>
      </c>
      <c r="E354" s="32"/>
      <c r="F354" s="32"/>
      <c r="G354" s="32">
        <f t="shared" si="111"/>
        <v>12710</v>
      </c>
      <c r="H354" s="12"/>
      <c r="I354" s="12"/>
      <c r="J354" s="12"/>
      <c r="K354" s="12">
        <f t="shared" si="112"/>
        <v>12710</v>
      </c>
      <c r="M354" s="10">
        <v>13</v>
      </c>
      <c r="N354" s="30">
        <v>45908</v>
      </c>
      <c r="O354" s="31">
        <f t="shared" si="118"/>
        <v>4850</v>
      </c>
      <c r="P354" s="32">
        <f>1252+614+596+416+28</f>
        <v>2906</v>
      </c>
      <c r="Q354" s="32"/>
      <c r="R354" s="32"/>
      <c r="S354" s="32">
        <f t="shared" si="113"/>
        <v>2906</v>
      </c>
      <c r="T354" s="12"/>
      <c r="U354" s="12"/>
      <c r="V354" s="12"/>
      <c r="W354" s="12">
        <f t="shared" si="114"/>
        <v>2906</v>
      </c>
      <c r="Y354" s="10">
        <v>13</v>
      </c>
      <c r="Z354" s="30"/>
      <c r="AA354" s="31"/>
      <c r="AB354" s="32"/>
      <c r="AC354" s="32"/>
      <c r="AD354" s="32"/>
      <c r="AE354" s="32">
        <f t="shared" si="115"/>
        <v>0</v>
      </c>
      <c r="AF354" s="12"/>
      <c r="AG354" s="12"/>
      <c r="AH354" s="12"/>
      <c r="AI354" s="12">
        <f t="shared" si="116"/>
        <v>0</v>
      </c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</row>
    <row r="355" spans="1:52" x14ac:dyDescent="0.25">
      <c r="A355" s="10">
        <v>14</v>
      </c>
      <c r="B355" s="30">
        <v>45908</v>
      </c>
      <c r="C355" s="31">
        <f t="shared" si="117"/>
        <v>5014</v>
      </c>
      <c r="D355" s="32">
        <f>3756+57</f>
        <v>3813</v>
      </c>
      <c r="E355" s="32"/>
      <c r="F355" s="32"/>
      <c r="G355" s="32">
        <f t="shared" si="111"/>
        <v>3813</v>
      </c>
      <c r="H355" s="12"/>
      <c r="I355" s="12"/>
      <c r="J355" s="12"/>
      <c r="K355" s="12">
        <f t="shared" si="112"/>
        <v>3813</v>
      </c>
      <c r="M355" s="10">
        <v>14</v>
      </c>
      <c r="N355" s="30"/>
      <c r="O355" s="11" t="s">
        <v>28</v>
      </c>
      <c r="P355" s="32"/>
      <c r="Q355" s="32"/>
      <c r="R355" s="32"/>
      <c r="S355" s="32">
        <f t="shared" si="113"/>
        <v>0</v>
      </c>
      <c r="T355" s="12"/>
      <c r="U355" s="12"/>
      <c r="V355" s="12"/>
      <c r="W355" s="12">
        <f t="shared" si="114"/>
        <v>0</v>
      </c>
      <c r="Y355" s="10">
        <v>14</v>
      </c>
      <c r="Z355" s="30"/>
      <c r="AA355" s="31"/>
      <c r="AB355" s="32"/>
      <c r="AC355" s="32"/>
      <c r="AD355" s="32"/>
      <c r="AE355" s="32">
        <f t="shared" si="115"/>
        <v>0</v>
      </c>
      <c r="AF355" s="12"/>
      <c r="AG355" s="12"/>
      <c r="AH355" s="12"/>
      <c r="AI355" s="12">
        <f t="shared" si="116"/>
        <v>0</v>
      </c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</row>
    <row r="356" spans="1:52" x14ac:dyDescent="0.25">
      <c r="A356" s="10">
        <v>15</v>
      </c>
      <c r="B356" s="30">
        <v>45908</v>
      </c>
      <c r="C356" s="31">
        <f t="shared" si="117"/>
        <v>5015</v>
      </c>
      <c r="D356" s="32">
        <f>2504+2384+852+76</f>
        <v>5816</v>
      </c>
      <c r="E356" s="32"/>
      <c r="F356" s="32"/>
      <c r="G356" s="32">
        <f t="shared" si="111"/>
        <v>5816</v>
      </c>
      <c r="H356" s="12"/>
      <c r="I356" s="12"/>
      <c r="J356" s="12"/>
      <c r="K356" s="12">
        <f t="shared" si="112"/>
        <v>5816</v>
      </c>
      <c r="M356" s="10">
        <v>15</v>
      </c>
      <c r="N356" s="30"/>
      <c r="O356" s="31"/>
      <c r="P356" s="32"/>
      <c r="R356" s="32"/>
      <c r="S356" s="32">
        <f t="shared" si="113"/>
        <v>0</v>
      </c>
      <c r="T356" s="12"/>
      <c r="U356" s="12"/>
      <c r="W356" s="12">
        <f t="shared" si="114"/>
        <v>0</v>
      </c>
      <c r="Y356" s="10">
        <v>15</v>
      </c>
      <c r="Z356" s="30"/>
      <c r="AA356" s="31"/>
      <c r="AB356" s="32"/>
      <c r="AC356" s="32"/>
      <c r="AD356" s="32"/>
      <c r="AE356" s="32">
        <f t="shared" si="115"/>
        <v>0</v>
      </c>
      <c r="AF356" s="12"/>
      <c r="AG356" s="12"/>
      <c r="AH356" s="12"/>
      <c r="AI356" s="12">
        <f t="shared" si="116"/>
        <v>0</v>
      </c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</row>
    <row r="357" spans="1:52" x14ac:dyDescent="0.25">
      <c r="A357" s="10">
        <v>16</v>
      </c>
      <c r="B357" s="30">
        <v>45908</v>
      </c>
      <c r="C357" s="31">
        <f t="shared" si="117"/>
        <v>5016</v>
      </c>
      <c r="D357" s="32">
        <f>832+500</f>
        <v>1332</v>
      </c>
      <c r="E357" s="32"/>
      <c r="F357" s="32"/>
      <c r="G357" s="32">
        <f t="shared" si="111"/>
        <v>1332</v>
      </c>
      <c r="H357" s="12"/>
      <c r="I357" s="12"/>
      <c r="J357" s="12"/>
      <c r="K357" s="12">
        <f t="shared" si="112"/>
        <v>1332</v>
      </c>
      <c r="M357" s="10">
        <v>16</v>
      </c>
      <c r="N357" s="30"/>
      <c r="O357" s="31"/>
      <c r="P357" s="32"/>
      <c r="Q357" s="32"/>
      <c r="R357" s="32"/>
      <c r="S357" s="32">
        <f>SUM(P357:Q357)</f>
        <v>0</v>
      </c>
      <c r="T357" s="12"/>
      <c r="U357" s="12"/>
      <c r="V357" s="12"/>
      <c r="W357" s="12">
        <f>SUM(S357:V357)</f>
        <v>0</v>
      </c>
      <c r="Y357" s="10">
        <v>16</v>
      </c>
      <c r="Z357" s="30"/>
      <c r="AA357" s="31"/>
      <c r="AB357" s="32"/>
      <c r="AC357" s="32"/>
      <c r="AD357" s="32"/>
      <c r="AE357" s="32">
        <f t="shared" si="115"/>
        <v>0</v>
      </c>
      <c r="AF357" s="12"/>
      <c r="AG357" s="12"/>
      <c r="AH357" s="12"/>
      <c r="AI357" s="12">
        <f t="shared" si="116"/>
        <v>0</v>
      </c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</row>
    <row r="358" spans="1:52" x14ac:dyDescent="0.25">
      <c r="A358" s="10">
        <v>17</v>
      </c>
      <c r="B358" s="30">
        <v>45908</v>
      </c>
      <c r="C358" s="31">
        <f t="shared" si="117"/>
        <v>5017</v>
      </c>
      <c r="D358" s="32">
        <f>20032+2980</f>
        <v>23012</v>
      </c>
      <c r="E358" s="32"/>
      <c r="F358" s="32"/>
      <c r="G358" s="32">
        <f t="shared" si="111"/>
        <v>23012</v>
      </c>
      <c r="H358" s="12"/>
      <c r="I358" s="12"/>
      <c r="J358" s="12"/>
      <c r="K358" s="12">
        <f t="shared" si="112"/>
        <v>23012</v>
      </c>
      <c r="M358" s="10">
        <v>17</v>
      </c>
      <c r="N358" s="30"/>
      <c r="O358" s="31"/>
      <c r="P358" s="35"/>
      <c r="Q358" s="32"/>
      <c r="R358" s="32"/>
      <c r="S358" s="32">
        <f t="shared" ref="S358:S380" si="120">SUM(P358:Q358)</f>
        <v>0</v>
      </c>
      <c r="T358" s="12"/>
      <c r="U358" s="12"/>
      <c r="V358" s="12"/>
      <c r="W358" s="12">
        <f t="shared" ref="W358:W383" si="121">SUM(S358:V358)</f>
        <v>0</v>
      </c>
      <c r="Y358" s="10">
        <v>17</v>
      </c>
      <c r="Z358" s="30"/>
      <c r="AA358" s="31"/>
      <c r="AB358" s="35"/>
      <c r="AC358" s="32"/>
      <c r="AD358" s="32"/>
      <c r="AE358" s="32">
        <f t="shared" si="115"/>
        <v>0</v>
      </c>
      <c r="AF358" s="12"/>
      <c r="AG358" s="12"/>
      <c r="AH358" s="12"/>
      <c r="AI358" s="12">
        <f t="shared" si="116"/>
        <v>0</v>
      </c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</row>
    <row r="359" spans="1:52" x14ac:dyDescent="0.25">
      <c r="A359" s="10">
        <v>18</v>
      </c>
      <c r="B359" s="30">
        <v>45908</v>
      </c>
      <c r="C359" s="31">
        <f t="shared" si="117"/>
        <v>5018</v>
      </c>
      <c r="D359" s="32">
        <f>1252+19</f>
        <v>1271</v>
      </c>
      <c r="E359" s="32"/>
      <c r="F359" s="32"/>
      <c r="G359" s="32">
        <f t="shared" si="111"/>
        <v>1271</v>
      </c>
      <c r="H359" s="12"/>
      <c r="I359" s="12"/>
      <c r="J359" s="12"/>
      <c r="K359" s="12">
        <f t="shared" si="112"/>
        <v>1271</v>
      </c>
      <c r="M359" s="10">
        <v>18</v>
      </c>
      <c r="N359" s="30"/>
      <c r="O359" s="31"/>
      <c r="P359" s="32"/>
      <c r="Q359" s="32"/>
      <c r="R359" s="32"/>
      <c r="S359" s="32">
        <f t="shared" si="120"/>
        <v>0</v>
      </c>
      <c r="T359" s="12"/>
      <c r="U359" s="12"/>
      <c r="V359" s="12"/>
      <c r="W359" s="12">
        <f t="shared" si="121"/>
        <v>0</v>
      </c>
      <c r="Y359" s="10">
        <v>18</v>
      </c>
      <c r="Z359" s="30"/>
      <c r="AA359" s="31"/>
      <c r="AB359" s="32"/>
      <c r="AC359" s="32"/>
      <c r="AD359" s="32"/>
      <c r="AE359" s="32">
        <f t="shared" si="115"/>
        <v>0</v>
      </c>
      <c r="AF359" s="12"/>
      <c r="AG359" s="12"/>
      <c r="AH359" s="12"/>
      <c r="AI359" s="12">
        <f t="shared" si="116"/>
        <v>0</v>
      </c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</row>
    <row r="360" spans="1:52" x14ac:dyDescent="0.25">
      <c r="A360" s="10">
        <v>19</v>
      </c>
      <c r="B360" s="30">
        <v>45908</v>
      </c>
      <c r="C360" s="31">
        <f t="shared" si="117"/>
        <v>5019</v>
      </c>
      <c r="D360" s="32">
        <f>50080+4172+687</f>
        <v>54939</v>
      </c>
      <c r="E360" s="32"/>
      <c r="F360" s="32"/>
      <c r="G360" s="32">
        <f t="shared" si="111"/>
        <v>54939</v>
      </c>
      <c r="H360" s="12"/>
      <c r="I360" s="12"/>
      <c r="J360" s="12"/>
      <c r="K360" s="12">
        <f t="shared" si="112"/>
        <v>54939</v>
      </c>
      <c r="M360" s="10">
        <v>19</v>
      </c>
      <c r="N360" s="30"/>
      <c r="O360" s="31"/>
      <c r="P360" s="32"/>
      <c r="Q360" s="32"/>
      <c r="R360" s="32"/>
      <c r="S360" s="32">
        <f t="shared" si="120"/>
        <v>0</v>
      </c>
      <c r="T360" s="12"/>
      <c r="U360" s="12"/>
      <c r="V360" s="12"/>
      <c r="W360" s="12">
        <f t="shared" si="121"/>
        <v>0</v>
      </c>
      <c r="Y360" s="10">
        <v>19</v>
      </c>
      <c r="Z360" s="30"/>
      <c r="AA360" s="31"/>
      <c r="AB360" s="32"/>
      <c r="AC360" s="32"/>
      <c r="AD360" s="32"/>
      <c r="AE360" s="32">
        <f t="shared" si="115"/>
        <v>0</v>
      </c>
      <c r="AF360" s="12"/>
      <c r="AG360" s="12"/>
      <c r="AH360" s="12"/>
      <c r="AI360" s="12">
        <f t="shared" si="116"/>
        <v>0</v>
      </c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</row>
    <row r="361" spans="1:52" x14ac:dyDescent="0.25">
      <c r="A361" s="10">
        <v>20</v>
      </c>
      <c r="B361" s="30">
        <v>45908</v>
      </c>
      <c r="C361" s="31">
        <f t="shared" si="117"/>
        <v>5020</v>
      </c>
      <c r="D361" s="32">
        <f>1252+19</f>
        <v>1271</v>
      </c>
      <c r="E361" s="32"/>
      <c r="F361" s="32"/>
      <c r="G361" s="32">
        <f t="shared" si="111"/>
        <v>1271</v>
      </c>
      <c r="H361" s="12"/>
      <c r="I361" s="12">
        <v>5</v>
      </c>
      <c r="J361" s="12"/>
      <c r="K361" s="12">
        <f t="shared" si="112"/>
        <v>1276</v>
      </c>
      <c r="M361" s="10">
        <v>20</v>
      </c>
      <c r="N361" s="30"/>
      <c r="O361" s="31"/>
      <c r="P361" s="32"/>
      <c r="Q361" s="32"/>
      <c r="R361" s="32"/>
      <c r="S361" s="32">
        <f t="shared" si="120"/>
        <v>0</v>
      </c>
      <c r="T361" s="12"/>
      <c r="U361" s="12"/>
      <c r="V361" s="12"/>
      <c r="W361" s="12">
        <f t="shared" si="121"/>
        <v>0</v>
      </c>
      <c r="Y361" s="10">
        <v>20</v>
      </c>
      <c r="Z361" s="30"/>
      <c r="AA361" s="31"/>
      <c r="AB361" s="32"/>
      <c r="AC361" s="32"/>
      <c r="AD361" s="32"/>
      <c r="AE361" s="32">
        <f t="shared" si="115"/>
        <v>0</v>
      </c>
      <c r="AF361" s="12"/>
      <c r="AG361" s="12"/>
      <c r="AH361" s="12"/>
      <c r="AI361" s="12">
        <f t="shared" si="116"/>
        <v>0</v>
      </c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 spans="1:52" x14ac:dyDescent="0.25">
      <c r="A362" s="10">
        <v>21</v>
      </c>
      <c r="B362" s="30">
        <v>45908</v>
      </c>
      <c r="C362" s="31">
        <f t="shared" si="117"/>
        <v>5021</v>
      </c>
      <c r="D362" s="32">
        <f>1878+29</f>
        <v>1907</v>
      </c>
      <c r="E362" s="32"/>
      <c r="F362" s="32"/>
      <c r="G362" s="32">
        <f t="shared" si="111"/>
        <v>1907</v>
      </c>
      <c r="H362" s="10"/>
      <c r="I362" s="10"/>
      <c r="J362" s="10"/>
      <c r="K362" s="12">
        <f t="shared" si="112"/>
        <v>1907</v>
      </c>
      <c r="M362" s="10">
        <v>21</v>
      </c>
      <c r="N362" s="30"/>
      <c r="O362" s="31"/>
      <c r="P362" s="46"/>
      <c r="Q362" s="31"/>
      <c r="R362" s="31"/>
      <c r="S362" s="32">
        <f t="shared" si="120"/>
        <v>0</v>
      </c>
      <c r="T362" s="10"/>
      <c r="U362" s="10"/>
      <c r="V362" s="10"/>
      <c r="W362" s="12">
        <f t="shared" si="121"/>
        <v>0</v>
      </c>
      <c r="Y362" s="10">
        <v>21</v>
      </c>
      <c r="Z362" s="30"/>
      <c r="AA362" s="31"/>
      <c r="AB362" s="46"/>
      <c r="AC362" s="31"/>
      <c r="AD362" s="31"/>
      <c r="AE362" s="32">
        <f t="shared" si="115"/>
        <v>0</v>
      </c>
      <c r="AF362" s="10"/>
      <c r="AG362" s="10"/>
      <c r="AH362" s="10"/>
      <c r="AI362" s="12">
        <f t="shared" si="116"/>
        <v>0</v>
      </c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</row>
    <row r="363" spans="1:52" x14ac:dyDescent="0.25">
      <c r="A363" s="10">
        <v>22</v>
      </c>
      <c r="B363" s="30">
        <v>45908</v>
      </c>
      <c r="C363" s="31">
        <f t="shared" si="117"/>
        <v>5022</v>
      </c>
      <c r="D363" s="32">
        <f>3130</f>
        <v>3130</v>
      </c>
      <c r="E363" s="32"/>
      <c r="F363" s="32"/>
      <c r="G363" s="32">
        <f t="shared" si="111"/>
        <v>3130</v>
      </c>
      <c r="H363" s="10"/>
      <c r="I363" s="10"/>
      <c r="J363" s="10"/>
      <c r="K363" s="12">
        <f t="shared" si="112"/>
        <v>3130</v>
      </c>
      <c r="M363" s="10">
        <v>22</v>
      </c>
      <c r="N363" s="30"/>
      <c r="O363" s="31"/>
      <c r="P363" s="45"/>
      <c r="Q363" s="31"/>
      <c r="R363" s="31"/>
      <c r="S363" s="32">
        <f t="shared" si="120"/>
        <v>0</v>
      </c>
      <c r="T363" s="10"/>
      <c r="U363" s="10"/>
      <c r="V363" s="10"/>
      <c r="W363" s="12">
        <f t="shared" si="121"/>
        <v>0</v>
      </c>
      <c r="Y363" s="10">
        <v>22</v>
      </c>
      <c r="Z363" s="30"/>
      <c r="AA363" s="31"/>
      <c r="AB363" s="45"/>
      <c r="AC363" s="31"/>
      <c r="AD363" s="31"/>
      <c r="AE363" s="32">
        <f t="shared" si="115"/>
        <v>0</v>
      </c>
      <c r="AF363" s="10"/>
      <c r="AG363" s="10"/>
      <c r="AH363" s="10"/>
      <c r="AI363" s="12">
        <f t="shared" si="116"/>
        <v>0</v>
      </c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</row>
    <row r="364" spans="1:52" x14ac:dyDescent="0.25">
      <c r="A364" s="10">
        <v>23</v>
      </c>
      <c r="B364" s="30"/>
      <c r="C364" s="11" t="s">
        <v>28</v>
      </c>
      <c r="D364" s="32"/>
      <c r="E364" s="32"/>
      <c r="F364" s="32"/>
      <c r="G364" s="32">
        <f t="shared" si="111"/>
        <v>0</v>
      </c>
      <c r="H364" s="10"/>
      <c r="I364" s="10"/>
      <c r="J364" s="12"/>
      <c r="K364" s="12">
        <f t="shared" si="112"/>
        <v>0</v>
      </c>
      <c r="M364" s="10">
        <v>23</v>
      </c>
      <c r="N364" s="30"/>
      <c r="P364" s="47"/>
      <c r="Q364" s="31"/>
      <c r="R364" s="31"/>
      <c r="S364" s="32">
        <f t="shared" si="120"/>
        <v>0</v>
      </c>
      <c r="T364" s="10"/>
      <c r="U364" s="10"/>
      <c r="V364" s="10"/>
      <c r="W364" s="12">
        <f t="shared" si="121"/>
        <v>0</v>
      </c>
      <c r="Y364" s="10">
        <v>23</v>
      </c>
      <c r="Z364" s="30"/>
      <c r="AA364" s="31"/>
      <c r="AB364" s="47"/>
      <c r="AE364" s="32">
        <f t="shared" si="115"/>
        <v>0</v>
      </c>
      <c r="AF364" s="10"/>
      <c r="AG364" s="10"/>
      <c r="AH364" s="10"/>
      <c r="AI364" s="12">
        <f t="shared" si="116"/>
        <v>0</v>
      </c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 spans="1:52" x14ac:dyDescent="0.25">
      <c r="A365" s="10">
        <v>24</v>
      </c>
      <c r="B365" s="30"/>
      <c r="C365" s="31"/>
      <c r="D365" s="32"/>
      <c r="E365" s="32"/>
      <c r="F365" s="32"/>
      <c r="G365" s="32">
        <f t="shared" si="111"/>
        <v>0</v>
      </c>
      <c r="H365" s="10"/>
      <c r="I365" s="10"/>
      <c r="J365" s="10"/>
      <c r="K365" s="12">
        <f t="shared" si="112"/>
        <v>0</v>
      </c>
      <c r="M365" s="10">
        <v>24</v>
      </c>
      <c r="N365" s="30"/>
      <c r="O365" s="31"/>
      <c r="P365" s="47"/>
      <c r="Q365" s="31"/>
      <c r="R365" s="31"/>
      <c r="S365" s="32">
        <f t="shared" si="120"/>
        <v>0</v>
      </c>
      <c r="T365" s="10"/>
      <c r="U365" s="10"/>
      <c r="V365" s="10"/>
      <c r="W365" s="12">
        <f t="shared" si="121"/>
        <v>0</v>
      </c>
      <c r="Y365" s="10">
        <v>24</v>
      </c>
      <c r="Z365" s="30"/>
      <c r="AA365" s="31"/>
      <c r="AB365" s="47"/>
      <c r="AC365" s="31"/>
      <c r="AD365" s="31"/>
      <c r="AE365" s="32">
        <f t="shared" si="115"/>
        <v>0</v>
      </c>
      <c r="AF365" s="10"/>
      <c r="AG365" s="10"/>
      <c r="AH365" s="10"/>
      <c r="AI365" s="12">
        <f t="shared" si="116"/>
        <v>0</v>
      </c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</row>
    <row r="366" spans="1:52" x14ac:dyDescent="0.25">
      <c r="A366" s="10">
        <v>25</v>
      </c>
      <c r="B366" s="30"/>
      <c r="C366" s="31"/>
      <c r="D366" s="32"/>
      <c r="E366" s="32"/>
      <c r="F366" s="32"/>
      <c r="G366" s="32">
        <f t="shared" si="111"/>
        <v>0</v>
      </c>
      <c r="H366" s="10"/>
      <c r="I366" s="10"/>
      <c r="J366" s="10"/>
      <c r="K366" s="12">
        <f t="shared" si="112"/>
        <v>0</v>
      </c>
      <c r="M366" s="10">
        <v>25</v>
      </c>
      <c r="N366" s="30"/>
      <c r="O366" s="31"/>
      <c r="P366" s="47"/>
      <c r="Q366" s="31"/>
      <c r="R366" s="31"/>
      <c r="S366" s="32">
        <f t="shared" si="120"/>
        <v>0</v>
      </c>
      <c r="T366" s="10"/>
      <c r="U366" s="10"/>
      <c r="V366" s="10"/>
      <c r="W366" s="12">
        <f t="shared" si="121"/>
        <v>0</v>
      </c>
      <c r="Y366" s="10">
        <v>25</v>
      </c>
      <c r="Z366" s="30"/>
      <c r="AA366" s="31"/>
      <c r="AB366" s="47"/>
      <c r="AC366" s="31"/>
      <c r="AD366" s="31"/>
      <c r="AE366" s="32">
        <f t="shared" si="115"/>
        <v>0</v>
      </c>
      <c r="AF366" s="10"/>
      <c r="AG366" s="10"/>
      <c r="AH366" s="10"/>
      <c r="AI366" s="12">
        <f t="shared" si="116"/>
        <v>0</v>
      </c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</row>
    <row r="367" spans="1:52" x14ac:dyDescent="0.25">
      <c r="A367" s="10">
        <v>26</v>
      </c>
      <c r="B367" s="30"/>
      <c r="C367" s="31"/>
      <c r="D367" s="32"/>
      <c r="E367" s="32"/>
      <c r="F367" s="32"/>
      <c r="G367" s="32">
        <f t="shared" si="111"/>
        <v>0</v>
      </c>
      <c r="H367" s="10"/>
      <c r="I367" s="10"/>
      <c r="J367" s="10"/>
      <c r="K367" s="12">
        <f t="shared" si="112"/>
        <v>0</v>
      </c>
      <c r="M367" s="10">
        <v>26</v>
      </c>
      <c r="N367" s="30"/>
      <c r="O367" s="31"/>
      <c r="P367" s="47"/>
      <c r="Q367" s="31"/>
      <c r="R367" s="31"/>
      <c r="S367" s="32">
        <f t="shared" si="120"/>
        <v>0</v>
      </c>
      <c r="T367" s="10"/>
      <c r="U367" s="10"/>
      <c r="V367" s="10"/>
      <c r="W367" s="12">
        <f t="shared" si="121"/>
        <v>0</v>
      </c>
      <c r="Y367" s="10">
        <v>26</v>
      </c>
      <c r="Z367" s="30"/>
      <c r="AB367" s="47"/>
      <c r="AC367" s="31"/>
      <c r="AD367" s="31"/>
      <c r="AE367" s="32">
        <f t="shared" si="115"/>
        <v>0</v>
      </c>
      <c r="AF367" s="10"/>
      <c r="AG367" s="10"/>
      <c r="AH367" s="10"/>
      <c r="AI367" s="12">
        <f t="shared" si="116"/>
        <v>0</v>
      </c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</row>
    <row r="368" spans="1:52" x14ac:dyDescent="0.25">
      <c r="A368" s="10">
        <v>27</v>
      </c>
      <c r="B368" s="30"/>
      <c r="C368" s="31"/>
      <c r="D368" s="32"/>
      <c r="E368" s="32"/>
      <c r="F368" s="32"/>
      <c r="G368" s="32">
        <f t="shared" si="111"/>
        <v>0</v>
      </c>
      <c r="H368" s="10"/>
      <c r="I368" s="10"/>
      <c r="J368" s="10"/>
      <c r="K368" s="12">
        <f t="shared" si="112"/>
        <v>0</v>
      </c>
      <c r="M368" s="10">
        <v>27</v>
      </c>
      <c r="N368" s="30"/>
      <c r="O368" s="31"/>
      <c r="P368" s="47"/>
      <c r="Q368" s="31"/>
      <c r="R368" s="31"/>
      <c r="S368" s="32">
        <f t="shared" si="120"/>
        <v>0</v>
      </c>
      <c r="T368" s="10"/>
      <c r="U368" s="10"/>
      <c r="V368" s="10"/>
      <c r="W368" s="12">
        <f t="shared" si="121"/>
        <v>0</v>
      </c>
      <c r="Y368" s="10">
        <v>27</v>
      </c>
      <c r="Z368" s="30"/>
      <c r="AA368" s="31"/>
      <c r="AB368" s="47"/>
      <c r="AC368" s="31"/>
      <c r="AD368" s="31"/>
      <c r="AE368" s="32">
        <f t="shared" si="115"/>
        <v>0</v>
      </c>
      <c r="AF368" s="10"/>
      <c r="AG368" s="10"/>
      <c r="AH368" s="10"/>
      <c r="AI368" s="12">
        <f t="shared" si="116"/>
        <v>0</v>
      </c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</row>
    <row r="369" spans="1:52" x14ac:dyDescent="0.25">
      <c r="A369" s="10">
        <v>28</v>
      </c>
      <c r="B369" s="30"/>
      <c r="C369" s="31"/>
      <c r="D369" s="32"/>
      <c r="E369" s="32"/>
      <c r="F369" s="32"/>
      <c r="G369" s="32">
        <f t="shared" si="111"/>
        <v>0</v>
      </c>
      <c r="H369" s="10"/>
      <c r="I369" s="10"/>
      <c r="J369" s="10"/>
      <c r="K369" s="12">
        <f t="shared" si="112"/>
        <v>0</v>
      </c>
      <c r="M369" s="10">
        <v>28</v>
      </c>
      <c r="N369" s="30"/>
      <c r="O369" s="31"/>
      <c r="P369" s="47"/>
      <c r="Q369" s="31"/>
      <c r="R369" s="31"/>
      <c r="S369" s="32">
        <f t="shared" si="120"/>
        <v>0</v>
      </c>
      <c r="T369" s="10"/>
      <c r="U369" s="10"/>
      <c r="V369" s="10"/>
      <c r="W369" s="12">
        <f t="shared" si="121"/>
        <v>0</v>
      </c>
      <c r="Y369" s="10">
        <v>28</v>
      </c>
      <c r="Z369" s="30"/>
      <c r="AA369" s="31"/>
      <c r="AB369" s="47"/>
      <c r="AC369" s="31"/>
      <c r="AD369" s="31"/>
      <c r="AE369" s="32">
        <f t="shared" si="115"/>
        <v>0</v>
      </c>
      <c r="AF369" s="10"/>
      <c r="AG369" s="10"/>
      <c r="AH369" s="10"/>
      <c r="AI369" s="12">
        <f t="shared" si="116"/>
        <v>0</v>
      </c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</row>
    <row r="370" spans="1:52" x14ac:dyDescent="0.25">
      <c r="A370" s="10">
        <v>29</v>
      </c>
      <c r="B370" s="30"/>
      <c r="C370" s="31"/>
      <c r="D370" s="32"/>
      <c r="E370" s="32"/>
      <c r="F370" s="32"/>
      <c r="G370" s="32">
        <f t="shared" si="111"/>
        <v>0</v>
      </c>
      <c r="H370" s="10"/>
      <c r="I370" s="10"/>
      <c r="J370" s="10"/>
      <c r="K370" s="12">
        <f t="shared" si="112"/>
        <v>0</v>
      </c>
      <c r="M370" s="10">
        <v>29</v>
      </c>
      <c r="N370" s="30"/>
      <c r="O370" s="31"/>
      <c r="P370" s="47"/>
      <c r="Q370" s="31"/>
      <c r="R370" s="31"/>
      <c r="S370" s="32">
        <f t="shared" si="120"/>
        <v>0</v>
      </c>
      <c r="T370" s="10"/>
      <c r="U370" s="10"/>
      <c r="V370" s="10"/>
      <c r="W370" s="12">
        <f t="shared" si="121"/>
        <v>0</v>
      </c>
      <c r="Y370" s="10">
        <v>29</v>
      </c>
      <c r="Z370" s="30"/>
      <c r="AA370" s="31"/>
      <c r="AB370" s="47"/>
      <c r="AC370" s="31"/>
      <c r="AD370" s="31"/>
      <c r="AE370" s="32">
        <f t="shared" si="115"/>
        <v>0</v>
      </c>
      <c r="AF370" s="10"/>
      <c r="AG370" s="10"/>
      <c r="AH370" s="10"/>
      <c r="AI370" s="12">
        <f t="shared" si="116"/>
        <v>0</v>
      </c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</row>
    <row r="371" spans="1:52" x14ac:dyDescent="0.25">
      <c r="A371" s="10">
        <v>30</v>
      </c>
      <c r="B371" s="30"/>
      <c r="C371" s="31"/>
      <c r="D371" s="32"/>
      <c r="E371" s="32"/>
      <c r="F371" s="32"/>
      <c r="G371" s="32">
        <f t="shared" si="111"/>
        <v>0</v>
      </c>
      <c r="H371" s="10"/>
      <c r="I371" s="10"/>
      <c r="J371" s="10"/>
      <c r="K371" s="12">
        <f t="shared" si="112"/>
        <v>0</v>
      </c>
      <c r="M371" s="10">
        <v>30</v>
      </c>
      <c r="N371" s="30"/>
      <c r="O371" s="31"/>
      <c r="P371" s="47"/>
      <c r="Q371" s="31"/>
      <c r="R371" s="31"/>
      <c r="S371" s="32">
        <f t="shared" si="120"/>
        <v>0</v>
      </c>
      <c r="T371" s="10"/>
      <c r="U371" s="10"/>
      <c r="V371" s="10"/>
      <c r="W371" s="12">
        <f t="shared" si="121"/>
        <v>0</v>
      </c>
      <c r="Y371" s="10">
        <v>30</v>
      </c>
      <c r="Z371" s="30"/>
      <c r="AA371" s="31"/>
      <c r="AB371" s="47"/>
      <c r="AC371" s="31"/>
      <c r="AD371" s="31"/>
      <c r="AE371" s="32">
        <f t="shared" si="115"/>
        <v>0</v>
      </c>
      <c r="AF371" s="10"/>
      <c r="AG371" s="10"/>
      <c r="AH371" s="10"/>
      <c r="AI371" s="12">
        <f t="shared" si="116"/>
        <v>0</v>
      </c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 spans="1:52" x14ac:dyDescent="0.25">
      <c r="A372" s="10">
        <v>31</v>
      </c>
      <c r="B372" s="30"/>
      <c r="D372" s="32"/>
      <c r="E372" s="32"/>
      <c r="F372" s="32"/>
      <c r="G372" s="32">
        <f t="shared" si="111"/>
        <v>0</v>
      </c>
      <c r="H372" s="10"/>
      <c r="I372" s="10"/>
      <c r="J372" s="10"/>
      <c r="K372" s="12">
        <f t="shared" si="112"/>
        <v>0</v>
      </c>
      <c r="M372" s="10">
        <v>31</v>
      </c>
      <c r="N372" s="30"/>
      <c r="P372" s="47"/>
      <c r="Q372" s="31"/>
      <c r="R372" s="31"/>
      <c r="S372" s="32">
        <f t="shared" si="120"/>
        <v>0</v>
      </c>
      <c r="T372" s="10"/>
      <c r="U372" s="10"/>
      <c r="V372" s="10"/>
      <c r="W372" s="12">
        <f t="shared" si="121"/>
        <v>0</v>
      </c>
      <c r="Y372" s="10">
        <v>31</v>
      </c>
      <c r="Z372" s="30"/>
      <c r="AB372" s="47"/>
      <c r="AC372" s="31"/>
      <c r="AD372" s="31"/>
      <c r="AE372" s="32">
        <f t="shared" si="115"/>
        <v>0</v>
      </c>
      <c r="AF372" s="10"/>
      <c r="AG372" s="10"/>
      <c r="AH372" s="10"/>
      <c r="AI372" s="12">
        <f t="shared" si="116"/>
        <v>0</v>
      </c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</row>
    <row r="373" spans="1:52" x14ac:dyDescent="0.25">
      <c r="A373" s="10">
        <v>32</v>
      </c>
      <c r="B373" s="30"/>
      <c r="C373" s="31"/>
      <c r="D373" s="32"/>
      <c r="E373" s="32"/>
      <c r="F373" s="32"/>
      <c r="G373" s="32">
        <f t="shared" si="111"/>
        <v>0</v>
      </c>
      <c r="H373" s="10"/>
      <c r="I373" s="10"/>
      <c r="J373" s="10"/>
      <c r="K373" s="12">
        <f t="shared" si="112"/>
        <v>0</v>
      </c>
      <c r="M373" s="10">
        <v>32</v>
      </c>
      <c r="N373" s="30"/>
      <c r="P373" s="47"/>
      <c r="Q373" s="31"/>
      <c r="R373" s="31"/>
      <c r="S373" s="32">
        <f t="shared" si="120"/>
        <v>0</v>
      </c>
      <c r="T373" s="10"/>
      <c r="U373" s="10"/>
      <c r="V373" s="10"/>
      <c r="W373" s="12">
        <f t="shared" si="121"/>
        <v>0</v>
      </c>
      <c r="Y373" s="10">
        <v>32</v>
      </c>
      <c r="Z373" s="30"/>
      <c r="AA373" s="31"/>
      <c r="AB373" s="47"/>
      <c r="AC373" s="31"/>
      <c r="AD373" s="31"/>
      <c r="AE373" s="32">
        <f t="shared" si="115"/>
        <v>0</v>
      </c>
      <c r="AF373" s="10"/>
      <c r="AG373" s="10"/>
      <c r="AH373" s="10"/>
      <c r="AI373" s="12">
        <f t="shared" si="116"/>
        <v>0</v>
      </c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</row>
    <row r="374" spans="1:52" x14ac:dyDescent="0.25">
      <c r="A374" s="10">
        <v>33</v>
      </c>
      <c r="B374" s="30"/>
      <c r="C374" s="31"/>
      <c r="D374" s="32"/>
      <c r="E374" s="32"/>
      <c r="F374" s="32"/>
      <c r="G374" s="32">
        <f t="shared" si="111"/>
        <v>0</v>
      </c>
      <c r="H374" s="10"/>
      <c r="I374" s="10"/>
      <c r="J374" s="10"/>
      <c r="K374" s="12">
        <f t="shared" si="112"/>
        <v>0</v>
      </c>
      <c r="M374" s="10">
        <v>33</v>
      </c>
      <c r="N374" s="30"/>
      <c r="O374" s="31"/>
      <c r="P374" s="47"/>
      <c r="Q374" s="31"/>
      <c r="R374" s="31"/>
      <c r="S374" s="32">
        <f t="shared" si="120"/>
        <v>0</v>
      </c>
      <c r="T374" s="10"/>
      <c r="U374" s="10"/>
      <c r="V374" s="10"/>
      <c r="W374" s="12">
        <f t="shared" si="121"/>
        <v>0</v>
      </c>
      <c r="Y374" s="10">
        <v>33</v>
      </c>
      <c r="Z374" s="30"/>
      <c r="AA374" s="31"/>
      <c r="AB374" s="47"/>
      <c r="AC374" s="31"/>
      <c r="AD374" s="31"/>
      <c r="AE374" s="32">
        <f t="shared" si="115"/>
        <v>0</v>
      </c>
      <c r="AF374" s="10"/>
      <c r="AG374" s="10"/>
      <c r="AH374" s="10"/>
      <c r="AI374" s="12">
        <f t="shared" si="116"/>
        <v>0</v>
      </c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</row>
    <row r="375" spans="1:52" x14ac:dyDescent="0.25">
      <c r="A375" s="10"/>
      <c r="B375" s="30"/>
      <c r="C375" s="31"/>
      <c r="D375" s="32"/>
      <c r="E375" s="32"/>
      <c r="F375" s="32"/>
      <c r="G375" s="32">
        <f t="shared" si="111"/>
        <v>0</v>
      </c>
      <c r="H375" s="10"/>
      <c r="I375" s="10"/>
      <c r="J375" s="10"/>
      <c r="K375" s="12">
        <f t="shared" si="112"/>
        <v>0</v>
      </c>
      <c r="M375" s="10">
        <v>34</v>
      </c>
      <c r="N375" s="30"/>
      <c r="O375" s="31"/>
      <c r="P375" s="47"/>
      <c r="Q375" s="31"/>
      <c r="R375" s="31"/>
      <c r="S375" s="32">
        <f t="shared" si="120"/>
        <v>0</v>
      </c>
      <c r="T375" s="10"/>
      <c r="U375" s="10"/>
      <c r="V375" s="10"/>
      <c r="W375" s="12">
        <f t="shared" si="121"/>
        <v>0</v>
      </c>
      <c r="Y375" s="10">
        <v>34</v>
      </c>
      <c r="Z375" s="30"/>
      <c r="AB375" s="47"/>
      <c r="AC375" s="31"/>
      <c r="AD375" s="31"/>
      <c r="AE375" s="32">
        <f t="shared" si="115"/>
        <v>0</v>
      </c>
      <c r="AF375" s="10"/>
      <c r="AG375" s="10"/>
      <c r="AH375" s="10"/>
      <c r="AI375" s="12">
        <f t="shared" si="116"/>
        <v>0</v>
      </c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</row>
    <row r="376" spans="1:52" x14ac:dyDescent="0.25">
      <c r="A376" s="10"/>
      <c r="B376" s="30"/>
      <c r="C376" s="31"/>
      <c r="D376" s="32"/>
      <c r="E376" s="32"/>
      <c r="F376" s="32"/>
      <c r="G376" s="32"/>
      <c r="H376" s="10"/>
      <c r="I376" s="10"/>
      <c r="J376" s="10"/>
      <c r="K376" s="12"/>
      <c r="M376" s="10">
        <v>35</v>
      </c>
      <c r="N376" s="30"/>
      <c r="O376" s="31"/>
      <c r="P376" s="47"/>
      <c r="Q376" s="31"/>
      <c r="R376" s="31"/>
      <c r="S376" s="32">
        <f t="shared" si="120"/>
        <v>0</v>
      </c>
      <c r="T376" s="10"/>
      <c r="U376" s="10"/>
      <c r="V376" s="10"/>
      <c r="W376" s="12">
        <f t="shared" si="121"/>
        <v>0</v>
      </c>
      <c r="Y376" s="10">
        <v>35</v>
      </c>
      <c r="Z376" s="30"/>
      <c r="AA376" s="31"/>
      <c r="AB376" s="47"/>
      <c r="AC376" s="31"/>
      <c r="AD376" s="31"/>
      <c r="AE376" s="32">
        <f t="shared" si="115"/>
        <v>0</v>
      </c>
      <c r="AF376" s="10"/>
      <c r="AG376" s="10"/>
      <c r="AH376" s="10"/>
      <c r="AI376" s="12">
        <f t="shared" si="116"/>
        <v>0</v>
      </c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</row>
    <row r="377" spans="1:52" x14ac:dyDescent="0.25">
      <c r="A377" s="10"/>
      <c r="B377" s="30"/>
      <c r="C377" s="31"/>
      <c r="D377" s="32"/>
      <c r="E377" s="32"/>
      <c r="F377" s="32"/>
      <c r="G377" s="32"/>
      <c r="H377" s="10"/>
      <c r="I377" s="10"/>
      <c r="J377" s="10"/>
      <c r="K377" s="12"/>
      <c r="M377" s="10">
        <v>36</v>
      </c>
      <c r="N377" s="30"/>
      <c r="O377" s="31"/>
      <c r="P377" s="47"/>
      <c r="Q377" s="31"/>
      <c r="R377" s="31"/>
      <c r="S377" s="32">
        <f t="shared" si="120"/>
        <v>0</v>
      </c>
      <c r="T377" s="10"/>
      <c r="U377" s="10"/>
      <c r="V377" s="10"/>
      <c r="W377" s="12">
        <f t="shared" si="121"/>
        <v>0</v>
      </c>
      <c r="Y377" s="10">
        <v>36</v>
      </c>
      <c r="Z377" s="30"/>
      <c r="AA377" s="31"/>
      <c r="AB377" s="47"/>
      <c r="AC377" s="31"/>
      <c r="AD377" s="31"/>
      <c r="AE377" s="32">
        <f t="shared" si="115"/>
        <v>0</v>
      </c>
      <c r="AF377" s="10"/>
      <c r="AG377" s="10"/>
      <c r="AH377" s="10"/>
      <c r="AI377" s="12">
        <f t="shared" si="116"/>
        <v>0</v>
      </c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 spans="1:52" x14ac:dyDescent="0.25">
      <c r="A378" s="10"/>
      <c r="B378" s="30"/>
      <c r="C378" s="57"/>
      <c r="D378" s="32"/>
      <c r="E378" s="32"/>
      <c r="F378" s="32"/>
      <c r="G378" s="32"/>
      <c r="H378" s="10"/>
      <c r="I378" s="10"/>
      <c r="J378" s="10"/>
      <c r="K378" s="12"/>
      <c r="M378" s="10">
        <v>37</v>
      </c>
      <c r="N378" s="30"/>
      <c r="P378" s="47"/>
      <c r="Q378" s="31"/>
      <c r="R378" s="31"/>
      <c r="S378" s="32">
        <f t="shared" si="120"/>
        <v>0</v>
      </c>
      <c r="T378" s="10"/>
      <c r="U378" s="10"/>
      <c r="V378" s="10"/>
      <c r="W378" s="12">
        <f t="shared" si="121"/>
        <v>0</v>
      </c>
      <c r="Y378" s="10">
        <v>37</v>
      </c>
      <c r="Z378" s="30"/>
      <c r="AA378" s="31"/>
      <c r="AB378" s="47"/>
      <c r="AC378" s="31"/>
      <c r="AD378" s="31"/>
      <c r="AE378" s="32">
        <f t="shared" si="115"/>
        <v>0</v>
      </c>
      <c r="AF378" s="10"/>
      <c r="AG378" s="10"/>
      <c r="AH378" s="10"/>
      <c r="AI378" s="12">
        <f t="shared" si="116"/>
        <v>0</v>
      </c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</row>
    <row r="379" spans="1:52" x14ac:dyDescent="0.25">
      <c r="A379" s="10"/>
      <c r="B379" s="30"/>
      <c r="C379" s="31"/>
      <c r="D379" s="32"/>
      <c r="E379" s="32"/>
      <c r="F379" s="32"/>
      <c r="G379" s="32"/>
      <c r="H379" s="10"/>
      <c r="I379" s="10"/>
      <c r="J379" s="10"/>
      <c r="K379" s="12"/>
      <c r="M379" s="10">
        <v>38</v>
      </c>
      <c r="N379" s="30"/>
      <c r="O379" s="31"/>
      <c r="P379" s="47"/>
      <c r="Q379" s="31"/>
      <c r="R379" s="31"/>
      <c r="S379" s="32">
        <f t="shared" si="120"/>
        <v>0</v>
      </c>
      <c r="T379" s="10"/>
      <c r="U379" s="10"/>
      <c r="V379" s="10"/>
      <c r="W379" s="12">
        <f t="shared" si="121"/>
        <v>0</v>
      </c>
      <c r="Y379" s="10">
        <v>38</v>
      </c>
      <c r="Z379" s="30"/>
      <c r="AA379" s="31"/>
      <c r="AB379" s="47"/>
      <c r="AC379" s="31"/>
      <c r="AD379" s="31"/>
      <c r="AE379" s="32">
        <f t="shared" si="115"/>
        <v>0</v>
      </c>
      <c r="AF379" s="10"/>
      <c r="AG379" s="10"/>
      <c r="AH379" s="10"/>
      <c r="AI379" s="12">
        <f t="shared" si="116"/>
        <v>0</v>
      </c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</row>
    <row r="380" spans="1:52" x14ac:dyDescent="0.25">
      <c r="A380" s="10"/>
      <c r="B380" s="30"/>
      <c r="C380" s="57"/>
      <c r="D380" s="32"/>
      <c r="E380" s="32"/>
      <c r="F380" s="32"/>
      <c r="G380" s="32"/>
      <c r="H380" s="10"/>
      <c r="I380" s="10"/>
      <c r="J380" s="10"/>
      <c r="K380" s="12"/>
      <c r="M380" s="10">
        <v>39</v>
      </c>
      <c r="N380" s="30"/>
      <c r="O380" s="31"/>
      <c r="P380" s="47"/>
      <c r="Q380" s="31"/>
      <c r="R380" s="31"/>
      <c r="S380" s="32">
        <f t="shared" si="120"/>
        <v>0</v>
      </c>
      <c r="T380" s="10"/>
      <c r="U380" s="10"/>
      <c r="V380" s="10"/>
      <c r="W380" s="12">
        <f t="shared" si="121"/>
        <v>0</v>
      </c>
      <c r="Y380" s="10">
        <v>39</v>
      </c>
      <c r="Z380" s="30"/>
      <c r="AA380" s="31"/>
      <c r="AB380" s="47"/>
      <c r="AC380" s="31"/>
      <c r="AD380" s="31"/>
      <c r="AE380" s="32">
        <f t="shared" si="115"/>
        <v>0</v>
      </c>
      <c r="AF380" s="10"/>
      <c r="AG380" s="10"/>
      <c r="AH380" s="10"/>
      <c r="AI380" s="12">
        <f t="shared" si="116"/>
        <v>0</v>
      </c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</row>
    <row r="381" spans="1:52" x14ac:dyDescent="0.25">
      <c r="A381" s="10"/>
      <c r="B381" s="30"/>
      <c r="C381" s="31"/>
      <c r="D381" s="32"/>
      <c r="E381" s="32"/>
      <c r="F381" s="32"/>
      <c r="G381" s="32"/>
      <c r="H381" s="10"/>
      <c r="I381" s="10"/>
      <c r="J381" s="10"/>
      <c r="K381" s="12"/>
      <c r="M381" s="10"/>
      <c r="N381" s="30"/>
      <c r="P381" s="47"/>
      <c r="Q381" s="31"/>
      <c r="R381" s="31"/>
      <c r="S381" s="32"/>
      <c r="T381" s="10"/>
      <c r="U381" s="10"/>
      <c r="V381" s="10"/>
      <c r="W381" s="12">
        <f t="shared" si="121"/>
        <v>0</v>
      </c>
      <c r="Y381" s="10"/>
      <c r="Z381" s="30"/>
      <c r="AB381" s="47"/>
      <c r="AC381" s="31"/>
      <c r="AD381" s="31"/>
      <c r="AE381" s="32"/>
      <c r="AF381" s="10"/>
      <c r="AG381" s="10"/>
      <c r="AH381" s="10"/>
      <c r="AI381" s="12">
        <f t="shared" si="116"/>
        <v>0</v>
      </c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</row>
    <row r="382" spans="1:52" x14ac:dyDescent="0.25">
      <c r="A382" s="10"/>
      <c r="B382" s="30"/>
      <c r="C382" s="31"/>
      <c r="D382" s="32"/>
      <c r="E382" s="32"/>
      <c r="F382" s="32"/>
      <c r="G382" s="32">
        <f t="shared" ref="G382" si="122">SUM(D382:E382)</f>
        <v>0</v>
      </c>
      <c r="H382" s="10"/>
      <c r="I382" s="10"/>
      <c r="J382" s="10"/>
      <c r="K382" s="12">
        <f t="shared" ref="K382" si="123">SUM(G382:J382)</f>
        <v>0</v>
      </c>
      <c r="M382" s="10"/>
      <c r="N382" s="30"/>
      <c r="O382" s="31"/>
      <c r="P382" s="47"/>
      <c r="Q382" s="31"/>
      <c r="R382" s="31"/>
      <c r="S382" s="32">
        <f t="shared" ref="S382" si="124">SUM(P382:Q382)</f>
        <v>0</v>
      </c>
      <c r="T382" s="10"/>
      <c r="U382" s="10"/>
      <c r="V382" s="10"/>
      <c r="W382" s="12">
        <f t="shared" si="121"/>
        <v>0</v>
      </c>
      <c r="Y382" s="10"/>
      <c r="Z382" s="30"/>
      <c r="AA382" s="31"/>
      <c r="AB382" s="47"/>
      <c r="AC382" s="31"/>
      <c r="AD382" s="31"/>
      <c r="AE382" s="32">
        <f t="shared" ref="AE382" si="125">SUM(AB382:AC382)</f>
        <v>0</v>
      </c>
      <c r="AF382" s="10"/>
      <c r="AG382" s="10"/>
      <c r="AH382" s="10"/>
      <c r="AI382" s="12">
        <f t="shared" si="116"/>
        <v>0</v>
      </c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</row>
    <row r="383" spans="1:52" x14ac:dyDescent="0.25">
      <c r="A383" s="10"/>
      <c r="B383" s="30"/>
      <c r="C383" s="30"/>
      <c r="D383" s="32"/>
      <c r="E383" s="32"/>
      <c r="F383" s="32"/>
      <c r="G383" s="32"/>
      <c r="H383" s="10"/>
      <c r="I383" s="10"/>
      <c r="J383" s="10"/>
      <c r="K383" s="12"/>
      <c r="M383" s="10"/>
      <c r="N383" s="31"/>
      <c r="O383" s="31"/>
      <c r="P383" s="31"/>
      <c r="Q383" s="31"/>
      <c r="R383" s="31"/>
      <c r="S383" s="31"/>
      <c r="T383" s="10"/>
      <c r="U383" s="10"/>
      <c r="V383" s="10"/>
      <c r="W383" s="12">
        <f t="shared" si="121"/>
        <v>0</v>
      </c>
      <c r="Y383" s="10"/>
      <c r="Z383" s="31"/>
      <c r="AA383" s="31"/>
      <c r="AB383" s="31"/>
      <c r="AC383" s="31"/>
      <c r="AD383" s="31"/>
      <c r="AE383" s="31"/>
      <c r="AF383" s="10"/>
      <c r="AG383" s="10"/>
      <c r="AH383" s="10"/>
      <c r="AI383" s="12">
        <f t="shared" si="116"/>
        <v>0</v>
      </c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 spans="1:52" x14ac:dyDescent="0.25">
      <c r="B384" s="57"/>
      <c r="C384" s="57"/>
      <c r="D384" s="36"/>
      <c r="E384" s="36"/>
      <c r="F384" s="36"/>
      <c r="G384" s="36"/>
      <c r="H384" s="37"/>
      <c r="I384" s="37"/>
      <c r="J384" s="37"/>
      <c r="K384" s="37"/>
      <c r="N384" s="57"/>
      <c r="O384" s="57"/>
      <c r="P384" s="36"/>
      <c r="Q384" s="36"/>
      <c r="R384" s="36"/>
      <c r="S384" s="36"/>
      <c r="T384" s="37"/>
      <c r="U384" s="37"/>
      <c r="V384" s="37"/>
      <c r="W384" s="37"/>
      <c r="Z384" s="57"/>
      <c r="AA384" s="57"/>
      <c r="AB384" s="36"/>
      <c r="AC384" s="36"/>
      <c r="AD384" s="36"/>
      <c r="AE384" s="36"/>
      <c r="AF384" s="37"/>
      <c r="AG384" s="37"/>
      <c r="AH384" s="37"/>
      <c r="AI384" s="37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</row>
    <row r="385" spans="1:52" x14ac:dyDescent="0.25">
      <c r="B385" s="57"/>
      <c r="C385" s="57"/>
      <c r="D385" s="38">
        <f>SUM(D342:D384)</f>
        <v>162829</v>
      </c>
      <c r="E385" s="38">
        <f t="shared" ref="E385:F385" si="126">SUM(E342:E382)</f>
        <v>0</v>
      </c>
      <c r="F385" s="38">
        <f t="shared" si="126"/>
        <v>0</v>
      </c>
      <c r="G385" s="38">
        <f>SUM(G342:G384)</f>
        <v>162829</v>
      </c>
      <c r="H385" s="4"/>
      <c r="I385" s="39">
        <f>SUM(I342:I384)</f>
        <v>17</v>
      </c>
      <c r="J385" s="39">
        <f>SUM(J342:J384)</f>
        <v>0</v>
      </c>
      <c r="K385" s="40">
        <f>SUM(K342:K384)</f>
        <v>162846</v>
      </c>
      <c r="N385" s="57"/>
      <c r="O385" s="57"/>
      <c r="P385" s="38">
        <f>SUM(P342:P384)</f>
        <v>179629.5</v>
      </c>
      <c r="Q385" s="38">
        <f>SUM(Q342:Q366)</f>
        <v>-1872</v>
      </c>
      <c r="R385" s="38">
        <f>SUM(R342:R366)</f>
        <v>0</v>
      </c>
      <c r="S385" s="38">
        <f>SUM(S342:S384)</f>
        <v>177757.5</v>
      </c>
      <c r="T385" s="4"/>
      <c r="U385" s="41">
        <f>SUM(U342:U384)</f>
        <v>6417</v>
      </c>
      <c r="V385" s="41">
        <f>SUM(V342:V366)</f>
        <v>-924</v>
      </c>
      <c r="W385" s="42">
        <f>SUM(W342:W384)</f>
        <v>183250.5</v>
      </c>
      <c r="Z385" s="57"/>
      <c r="AA385" s="57"/>
      <c r="AB385" s="38">
        <f>SUM(AB342:AB384)</f>
        <v>134038</v>
      </c>
      <c r="AC385" s="38">
        <f>SUM(AC342:AC366)</f>
        <v>-816</v>
      </c>
      <c r="AD385" s="38">
        <f>SUM(AD342:AD366)</f>
        <v>0</v>
      </c>
      <c r="AE385" s="38">
        <f>SUM(AE342:AE384)</f>
        <v>133222</v>
      </c>
      <c r="AF385" s="4"/>
      <c r="AG385" s="41">
        <f>SUM(AG342:AG384)</f>
        <v>0</v>
      </c>
      <c r="AH385" s="41">
        <f>SUM(AH342:AH366)</f>
        <v>0</v>
      </c>
      <c r="AI385" s="42">
        <f>SUM(AI342:AI384)</f>
        <v>133222</v>
      </c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</row>
    <row r="386" spans="1:52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</row>
    <row r="387" spans="1:52" x14ac:dyDescent="0.25">
      <c r="A387" t="s">
        <v>0</v>
      </c>
      <c r="B387" s="57"/>
      <c r="C387" s="57"/>
      <c r="D387" s="57"/>
      <c r="E387" s="57"/>
      <c r="G387" s="57"/>
      <c r="M387" t="s">
        <v>0</v>
      </c>
      <c r="N387" s="57"/>
      <c r="O387" s="57"/>
      <c r="P387" s="57"/>
      <c r="Q387" s="57"/>
      <c r="R387" s="57"/>
      <c r="S387" s="57"/>
      <c r="Y387" t="s">
        <v>0</v>
      </c>
      <c r="Z387" s="57"/>
      <c r="AA387" s="57"/>
      <c r="AB387" s="57"/>
      <c r="AC387" s="57"/>
      <c r="AD387" s="57"/>
      <c r="AE387" s="57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</row>
    <row r="388" spans="1:52" x14ac:dyDescent="0.25">
      <c r="A388" t="s">
        <v>29</v>
      </c>
      <c r="B388" s="57"/>
      <c r="C388" s="57"/>
      <c r="D388" s="57"/>
      <c r="E388" s="57"/>
      <c r="G388" s="57"/>
      <c r="M388" t="s">
        <v>29</v>
      </c>
      <c r="N388" s="57"/>
      <c r="O388" s="57"/>
      <c r="P388" s="57"/>
      <c r="Q388" s="57"/>
      <c r="R388" s="57"/>
      <c r="S388" s="57"/>
      <c r="Y388" t="s">
        <v>29</v>
      </c>
      <c r="Z388" s="57"/>
      <c r="AA388" s="57"/>
      <c r="AB388" s="57"/>
      <c r="AC388" s="57"/>
      <c r="AD388" s="57"/>
      <c r="AE388" s="57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</row>
    <row r="389" spans="1:52" x14ac:dyDescent="0.25">
      <c r="B389" s="57"/>
      <c r="C389" s="57"/>
      <c r="D389" s="57"/>
      <c r="E389" s="57"/>
      <c r="G389" s="57"/>
      <c r="N389" s="57"/>
      <c r="O389" s="57"/>
      <c r="P389" s="57"/>
      <c r="Q389" s="57"/>
      <c r="R389" s="57"/>
      <c r="S389" s="57"/>
      <c r="Z389" s="57"/>
      <c r="AA389" s="57"/>
      <c r="AB389" s="57"/>
      <c r="AC389" s="57"/>
      <c r="AD389" s="57"/>
      <c r="AE389" s="57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</row>
    <row r="390" spans="1:52" x14ac:dyDescent="0.25">
      <c r="A390" s="4" t="s">
        <v>15</v>
      </c>
      <c r="B390" s="57"/>
      <c r="C390" s="57"/>
      <c r="D390" s="57"/>
      <c r="E390" s="57"/>
      <c r="G390" s="57"/>
      <c r="M390" s="4" t="s">
        <v>15</v>
      </c>
      <c r="N390" s="57"/>
      <c r="O390" s="57"/>
      <c r="P390" s="57"/>
      <c r="Q390" s="57"/>
      <c r="R390" s="57"/>
      <c r="S390" s="57"/>
      <c r="Y390" s="4" t="s">
        <v>15</v>
      </c>
      <c r="Z390" s="57"/>
      <c r="AA390" s="57"/>
      <c r="AB390" s="57"/>
      <c r="AC390" s="57"/>
      <c r="AD390" s="57"/>
      <c r="AE390" s="57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</row>
    <row r="391" spans="1:52" x14ac:dyDescent="0.25">
      <c r="B391" s="57"/>
      <c r="C391" s="57"/>
      <c r="D391" s="57"/>
      <c r="E391" s="57"/>
      <c r="G391" s="57"/>
      <c r="N391" s="57"/>
      <c r="O391" s="57"/>
      <c r="P391" s="57"/>
      <c r="Q391" s="57"/>
      <c r="R391" s="57"/>
      <c r="S391" s="57"/>
      <c r="Z391" s="57"/>
      <c r="AA391" s="57"/>
      <c r="AB391" s="57"/>
      <c r="AC391" s="57"/>
      <c r="AD391" s="57"/>
      <c r="AE391" s="57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</row>
    <row r="392" spans="1:52" ht="15.75" x14ac:dyDescent="0.25">
      <c r="A392" t="s">
        <v>46</v>
      </c>
      <c r="B392" s="57"/>
      <c r="C392" s="57"/>
      <c r="D392" s="57"/>
      <c r="E392" s="57"/>
      <c r="G392" s="57"/>
      <c r="I392" s="57" t="s">
        <v>16</v>
      </c>
      <c r="J392" s="19">
        <v>1</v>
      </c>
      <c r="M392" t="s">
        <v>46</v>
      </c>
      <c r="N392" s="57"/>
      <c r="O392" s="57"/>
      <c r="P392" s="57"/>
      <c r="Q392" s="57"/>
      <c r="R392" s="57"/>
      <c r="S392" s="57"/>
      <c r="U392" s="57" t="s">
        <v>16</v>
      </c>
      <c r="V392" s="19">
        <v>2</v>
      </c>
      <c r="Y392" t="s">
        <v>46</v>
      </c>
      <c r="Z392" s="57"/>
      <c r="AA392" s="57"/>
      <c r="AB392" s="57"/>
      <c r="AC392" s="57"/>
      <c r="AD392" s="57"/>
      <c r="AE392" s="57"/>
      <c r="AG392" s="57" t="s">
        <v>16</v>
      </c>
      <c r="AH392" s="20">
        <v>3</v>
      </c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</row>
    <row r="393" spans="1:52" x14ac:dyDescent="0.25">
      <c r="A393" s="21" t="s">
        <v>58</v>
      </c>
      <c r="B393" s="20"/>
      <c r="C393" s="57"/>
      <c r="D393" s="57"/>
      <c r="E393" s="57"/>
      <c r="G393" s="57"/>
      <c r="I393" s="22" t="s">
        <v>17</v>
      </c>
      <c r="J393" s="23" t="s">
        <v>33</v>
      </c>
      <c r="K393" s="24"/>
      <c r="M393" s="21" t="s">
        <v>58</v>
      </c>
      <c r="N393" s="20"/>
      <c r="O393" s="57"/>
      <c r="P393" s="57"/>
      <c r="Q393" s="57"/>
      <c r="R393" s="57"/>
      <c r="S393" s="57"/>
      <c r="U393" s="22" t="s">
        <v>17</v>
      </c>
      <c r="V393" s="23" t="s">
        <v>34</v>
      </c>
      <c r="W393" s="24"/>
      <c r="Y393" s="21" t="s">
        <v>58</v>
      </c>
      <c r="Z393" s="20"/>
      <c r="AA393" s="57"/>
      <c r="AB393" s="57"/>
      <c r="AC393" s="57"/>
      <c r="AD393" s="57"/>
      <c r="AE393" s="57"/>
      <c r="AG393" s="22" t="s">
        <v>17</v>
      </c>
      <c r="AH393" s="23" t="s">
        <v>35</v>
      </c>
      <c r="AI393" s="24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</row>
    <row r="394" spans="1:52" x14ac:dyDescent="0.25">
      <c r="B394" s="57"/>
      <c r="C394" s="57"/>
      <c r="D394" s="57"/>
      <c r="E394" s="57"/>
      <c r="G394" s="57"/>
      <c r="N394" s="57"/>
      <c r="O394" s="57"/>
      <c r="P394" s="57"/>
      <c r="Q394" s="57"/>
      <c r="R394" s="57"/>
      <c r="S394" s="57"/>
      <c r="Z394" s="57"/>
      <c r="AA394" s="57"/>
      <c r="AB394" s="57"/>
      <c r="AC394" s="57"/>
      <c r="AD394" s="57"/>
      <c r="AE394" s="57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</row>
    <row r="395" spans="1:52" x14ac:dyDescent="0.25">
      <c r="B395" s="25"/>
      <c r="C395" s="26"/>
      <c r="D395" s="121" t="s">
        <v>18</v>
      </c>
      <c r="E395" s="121"/>
      <c r="F395" s="98"/>
      <c r="G395" s="27"/>
      <c r="I395" s="119" t="s">
        <v>19</v>
      </c>
      <c r="J395" s="120"/>
      <c r="K395" s="117" t="s">
        <v>20</v>
      </c>
      <c r="N395" s="25"/>
      <c r="O395" s="26"/>
      <c r="P395" s="121" t="s">
        <v>18</v>
      </c>
      <c r="Q395" s="121"/>
      <c r="R395" s="98"/>
      <c r="S395" s="27"/>
      <c r="U395" s="119" t="s">
        <v>19</v>
      </c>
      <c r="V395" s="120"/>
      <c r="W395" s="117" t="s">
        <v>20</v>
      </c>
      <c r="Z395" s="25"/>
      <c r="AA395" s="26"/>
      <c r="AB395" s="121" t="s">
        <v>18</v>
      </c>
      <c r="AC395" s="121"/>
      <c r="AD395" s="99"/>
      <c r="AE395" s="27"/>
      <c r="AG395" s="119" t="s">
        <v>19</v>
      </c>
      <c r="AH395" s="120"/>
      <c r="AI395" s="117" t="s">
        <v>20</v>
      </c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</row>
    <row r="396" spans="1:52" ht="30" x14ac:dyDescent="0.25">
      <c r="B396" s="28" t="s">
        <v>21</v>
      </c>
      <c r="C396" s="28" t="s">
        <v>22</v>
      </c>
      <c r="D396" s="83" t="s">
        <v>23</v>
      </c>
      <c r="E396" s="82" t="s">
        <v>24</v>
      </c>
      <c r="F396" s="84" t="s">
        <v>36</v>
      </c>
      <c r="G396" s="84" t="s">
        <v>25</v>
      </c>
      <c r="I396" s="29" t="s">
        <v>26</v>
      </c>
      <c r="J396" s="29" t="s">
        <v>27</v>
      </c>
      <c r="K396" s="118"/>
      <c r="N396" s="28" t="s">
        <v>21</v>
      </c>
      <c r="O396" s="28" t="s">
        <v>22</v>
      </c>
      <c r="P396" s="83" t="s">
        <v>23</v>
      </c>
      <c r="Q396" s="84" t="s">
        <v>24</v>
      </c>
      <c r="R396" s="84" t="s">
        <v>36</v>
      </c>
      <c r="S396" s="84" t="s">
        <v>25</v>
      </c>
      <c r="U396" s="29" t="s">
        <v>26</v>
      </c>
      <c r="V396" s="29" t="s">
        <v>27</v>
      </c>
      <c r="W396" s="118"/>
      <c r="Z396" s="28" t="s">
        <v>21</v>
      </c>
      <c r="AA396" s="28" t="s">
        <v>22</v>
      </c>
      <c r="AB396" s="83" t="s">
        <v>23</v>
      </c>
      <c r="AC396" s="84" t="s">
        <v>24</v>
      </c>
      <c r="AD396" s="84" t="s">
        <v>36</v>
      </c>
      <c r="AE396" s="84" t="s">
        <v>25</v>
      </c>
      <c r="AG396" s="29" t="s">
        <v>26</v>
      </c>
      <c r="AH396" s="29" t="s">
        <v>27</v>
      </c>
      <c r="AI396" s="118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</row>
    <row r="397" spans="1:52" x14ac:dyDescent="0.25">
      <c r="A397" s="10">
        <v>1</v>
      </c>
      <c r="B397" s="30">
        <v>45969</v>
      </c>
      <c r="C397" s="31">
        <v>5024</v>
      </c>
      <c r="D397" s="32">
        <f>1252+19</f>
        <v>1271</v>
      </c>
      <c r="E397" s="32"/>
      <c r="F397" s="32"/>
      <c r="G397" s="32">
        <f t="shared" ref="G397:G430" si="127">SUM(D397:E397)</f>
        <v>1271</v>
      </c>
      <c r="H397" s="12"/>
      <c r="I397" s="12"/>
      <c r="J397" s="12"/>
      <c r="K397" s="12">
        <f t="shared" ref="K397:K430" si="128">SUM(G397:J397)</f>
        <v>1271</v>
      </c>
      <c r="M397" s="10">
        <v>1</v>
      </c>
      <c r="N397" s="30">
        <v>45969</v>
      </c>
      <c r="O397" s="31">
        <v>5101</v>
      </c>
      <c r="P397" s="32">
        <f>2504+38</f>
        <v>2542</v>
      </c>
      <c r="Q397" s="32"/>
      <c r="R397" s="32"/>
      <c r="S397" s="32">
        <f>SUM(P397:Q397)</f>
        <v>2542</v>
      </c>
      <c r="T397" s="12"/>
      <c r="U397" s="12"/>
      <c r="V397" s="12"/>
      <c r="W397" s="12">
        <f>SUM(S397:V397)</f>
        <v>2542</v>
      </c>
      <c r="Y397" s="10">
        <v>1</v>
      </c>
      <c r="Z397" s="30">
        <v>45969</v>
      </c>
      <c r="AA397" s="31">
        <v>4883</v>
      </c>
      <c r="AB397" s="32">
        <f>103916+3070+3370+29800+2061</f>
        <v>142217</v>
      </c>
      <c r="AC397" s="32"/>
      <c r="AD397" s="32"/>
      <c r="AE397" s="32">
        <f>SUM(AB397:AC397)</f>
        <v>142217</v>
      </c>
      <c r="AF397" s="12"/>
      <c r="AG397" s="12">
        <f>8214+216</f>
        <v>8430</v>
      </c>
      <c r="AH397" s="12"/>
      <c r="AI397" s="12">
        <f>SUM(AE397:AH397)</f>
        <v>150647</v>
      </c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</row>
    <row r="398" spans="1:52" x14ac:dyDescent="0.25">
      <c r="A398" s="10">
        <v>2</v>
      </c>
      <c r="B398" s="30">
        <v>45969</v>
      </c>
      <c r="C398" s="31">
        <f>C397+1</f>
        <v>5025</v>
      </c>
      <c r="D398" s="32">
        <f>1228+2980</f>
        <v>4208</v>
      </c>
      <c r="E398" s="32"/>
      <c r="F398" s="32"/>
      <c r="G398" s="32">
        <f t="shared" si="127"/>
        <v>4208</v>
      </c>
      <c r="H398" s="12"/>
      <c r="I398" s="12"/>
      <c r="J398" s="12"/>
      <c r="K398" s="12">
        <f t="shared" si="128"/>
        <v>4208</v>
      </c>
      <c r="M398" s="10">
        <v>2</v>
      </c>
      <c r="N398" s="30">
        <v>45969</v>
      </c>
      <c r="O398" s="31">
        <f>O397+1</f>
        <v>5102</v>
      </c>
      <c r="P398" s="32">
        <f>1252+614+596+28.5</f>
        <v>2490.5</v>
      </c>
      <c r="Q398" s="32"/>
      <c r="R398" s="32"/>
      <c r="S398" s="32">
        <f t="shared" ref="S398:S411" si="129">SUM(P398:Q398)</f>
        <v>2490.5</v>
      </c>
      <c r="T398" s="12"/>
      <c r="U398" s="12"/>
      <c r="V398" s="12"/>
      <c r="W398" s="12">
        <f t="shared" ref="W398:W411" si="130">SUM(S398:V398)</f>
        <v>2490.5</v>
      </c>
      <c r="Y398" s="10">
        <v>2</v>
      </c>
      <c r="Z398" s="30">
        <v>45969</v>
      </c>
      <c r="AA398" s="31">
        <f>AA397+1</f>
        <v>4884</v>
      </c>
      <c r="AB398" s="32"/>
      <c r="AC398" s="32"/>
      <c r="AD398" s="32"/>
      <c r="AE398" s="32">
        <f t="shared" ref="AE398:AE435" si="131">SUM(AB398:AC398)</f>
        <v>0</v>
      </c>
      <c r="AF398" s="12"/>
      <c r="AG398" s="12"/>
      <c r="AH398" s="12"/>
      <c r="AI398" s="12">
        <f t="shared" ref="AI398:AI438" si="132">SUM(AE398:AH398)</f>
        <v>0</v>
      </c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 spans="1:52" x14ac:dyDescent="0.25">
      <c r="A399" s="10">
        <v>3</v>
      </c>
      <c r="B399" s="30">
        <v>45969</v>
      </c>
      <c r="C399" s="31">
        <f t="shared" ref="C399:C415" si="133">C398+1</f>
        <v>5026</v>
      </c>
      <c r="D399" s="33">
        <f>3130+614+596+426+1348+57</f>
        <v>6171</v>
      </c>
      <c r="E399" s="33"/>
      <c r="F399" s="33"/>
      <c r="G399" s="33">
        <f t="shared" si="127"/>
        <v>6171</v>
      </c>
      <c r="H399" s="34"/>
      <c r="I399" s="34">
        <f>27+26</f>
        <v>53</v>
      </c>
      <c r="J399" s="34"/>
      <c r="K399" s="34">
        <f t="shared" si="128"/>
        <v>6224</v>
      </c>
      <c r="M399" s="10">
        <v>3</v>
      </c>
      <c r="N399" s="30">
        <v>45969</v>
      </c>
      <c r="O399" s="31">
        <f t="shared" ref="O399:O406" si="134">O398+1</f>
        <v>5103</v>
      </c>
      <c r="P399" s="32">
        <f>100160+23840+4260+4160+1832+650</f>
        <v>134902</v>
      </c>
      <c r="Q399" s="32">
        <v>-1971</v>
      </c>
      <c r="R399" s="32"/>
      <c r="S399" s="32">
        <f t="shared" si="129"/>
        <v>132931</v>
      </c>
      <c r="T399" s="12"/>
      <c r="U399" s="12">
        <f>1080+3663+312</f>
        <v>5055</v>
      </c>
      <c r="V399" s="12">
        <f>-420+-126</f>
        <v>-546</v>
      </c>
      <c r="W399" s="12">
        <f t="shared" si="130"/>
        <v>137440</v>
      </c>
      <c r="Y399" s="10">
        <v>3</v>
      </c>
      <c r="Z399" s="30">
        <v>45969</v>
      </c>
      <c r="AA399" s="31">
        <f t="shared" ref="AA399:AA405" si="135">AA398+1</f>
        <v>4885</v>
      </c>
      <c r="AB399" s="33"/>
      <c r="AC399" s="33"/>
      <c r="AD399" s="32"/>
      <c r="AE399" s="32">
        <f t="shared" si="131"/>
        <v>0</v>
      </c>
      <c r="AF399" s="12"/>
      <c r="AG399" s="12"/>
      <c r="AH399" s="12"/>
      <c r="AI399" s="12">
        <f t="shared" si="132"/>
        <v>0</v>
      </c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</row>
    <row r="400" spans="1:52" x14ac:dyDescent="0.25">
      <c r="A400" s="10">
        <v>4</v>
      </c>
      <c r="B400" s="30">
        <v>45969</v>
      </c>
      <c r="C400" s="31">
        <f t="shared" si="133"/>
        <v>5027</v>
      </c>
      <c r="D400" s="32">
        <f>626+10</f>
        <v>636</v>
      </c>
      <c r="E400" s="32"/>
      <c r="F400" s="32"/>
      <c r="G400" s="32">
        <f t="shared" si="127"/>
        <v>636</v>
      </c>
      <c r="H400" s="12"/>
      <c r="I400" s="12"/>
      <c r="J400" s="12"/>
      <c r="K400" s="12">
        <f t="shared" si="128"/>
        <v>636</v>
      </c>
      <c r="M400" s="10">
        <v>4</v>
      </c>
      <c r="N400" s="30">
        <v>45969</v>
      </c>
      <c r="O400" s="31">
        <f t="shared" si="134"/>
        <v>5104</v>
      </c>
      <c r="P400" s="32">
        <f>3130+596+229+1348</f>
        <v>5303</v>
      </c>
      <c r="Q400" s="32"/>
      <c r="R400" s="32"/>
      <c r="S400" s="32">
        <f t="shared" si="129"/>
        <v>5303</v>
      </c>
      <c r="T400" s="12"/>
      <c r="U400" s="12">
        <v>78</v>
      </c>
      <c r="V400" s="12"/>
      <c r="W400" s="12">
        <f t="shared" si="130"/>
        <v>5381</v>
      </c>
      <c r="Y400" s="10">
        <v>4</v>
      </c>
      <c r="Z400" s="30">
        <v>45969</v>
      </c>
      <c r="AA400" s="31">
        <f t="shared" si="135"/>
        <v>4886</v>
      </c>
      <c r="AB400" s="32">
        <f>43820+3070+17880+852+1664+916+1300</f>
        <v>69502</v>
      </c>
      <c r="AC400" s="32"/>
      <c r="AD400" s="32"/>
      <c r="AE400" s="32">
        <f t="shared" si="131"/>
        <v>69502</v>
      </c>
      <c r="AF400" s="12"/>
      <c r="AG400">
        <f>360+16539+624</f>
        <v>17523</v>
      </c>
      <c r="AH400" s="12"/>
      <c r="AI400" s="12">
        <f t="shared" si="132"/>
        <v>87025</v>
      </c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</row>
    <row r="401" spans="1:52" x14ac:dyDescent="0.25">
      <c r="A401" s="10">
        <v>5</v>
      </c>
      <c r="B401" s="30">
        <v>45969</v>
      </c>
      <c r="C401" s="31">
        <f t="shared" si="133"/>
        <v>5028</v>
      </c>
      <c r="D401" s="32">
        <f>6260+95</f>
        <v>6355</v>
      </c>
      <c r="E401" s="32"/>
      <c r="F401" s="32"/>
      <c r="G401" s="32">
        <f t="shared" si="127"/>
        <v>6355</v>
      </c>
      <c r="H401" s="12"/>
      <c r="I401" s="12"/>
      <c r="J401" s="12"/>
      <c r="K401" s="12">
        <f t="shared" si="128"/>
        <v>6355</v>
      </c>
      <c r="M401" s="10">
        <v>5</v>
      </c>
      <c r="N401" s="30">
        <v>45969</v>
      </c>
      <c r="O401" s="31">
        <f t="shared" si="134"/>
        <v>5105</v>
      </c>
      <c r="P401" s="32">
        <f>1252+614+596+28.5</f>
        <v>2490.5</v>
      </c>
      <c r="Q401" s="32"/>
      <c r="R401" s="32"/>
      <c r="S401" s="32">
        <f t="shared" si="129"/>
        <v>2490.5</v>
      </c>
      <c r="T401" s="12"/>
      <c r="U401" s="12"/>
      <c r="V401" s="12"/>
      <c r="W401" s="12">
        <f t="shared" si="130"/>
        <v>2490.5</v>
      </c>
      <c r="Y401" s="10">
        <v>5</v>
      </c>
      <c r="Z401" s="30">
        <v>45969</v>
      </c>
      <c r="AA401" s="31">
        <f t="shared" si="135"/>
        <v>4887</v>
      </c>
      <c r="AB401" s="32">
        <f>614</f>
        <v>614</v>
      </c>
      <c r="AC401" s="32"/>
      <c r="AD401" s="32"/>
      <c r="AE401" s="32">
        <f t="shared" si="131"/>
        <v>614</v>
      </c>
      <c r="AF401" s="12"/>
      <c r="AG401" s="12"/>
      <c r="AH401" s="12"/>
      <c r="AI401" s="12">
        <f t="shared" si="132"/>
        <v>614</v>
      </c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 spans="1:52" x14ac:dyDescent="0.25">
      <c r="A402" s="10">
        <v>6</v>
      </c>
      <c r="B402" s="30">
        <v>45969</v>
      </c>
      <c r="C402" s="31">
        <f t="shared" si="133"/>
        <v>5029</v>
      </c>
      <c r="D402" s="32">
        <f>1878+29</f>
        <v>1907</v>
      </c>
      <c r="E402" s="32"/>
      <c r="F402" s="32"/>
      <c r="G402" s="32">
        <f t="shared" si="127"/>
        <v>1907</v>
      </c>
      <c r="H402" s="12"/>
      <c r="I402" s="12"/>
      <c r="J402" s="12"/>
      <c r="K402" s="12">
        <f t="shared" si="128"/>
        <v>1907</v>
      </c>
      <c r="M402" s="10">
        <v>6</v>
      </c>
      <c r="N402" s="30">
        <v>45969</v>
      </c>
      <c r="O402" s="31">
        <f t="shared" si="134"/>
        <v>5106</v>
      </c>
      <c r="P402" s="32">
        <f>1878+1788+57</f>
        <v>3723</v>
      </c>
      <c r="Q402" s="32"/>
      <c r="R402" s="32"/>
      <c r="S402" s="32">
        <f t="shared" si="129"/>
        <v>3723</v>
      </c>
      <c r="T402" s="12"/>
      <c r="U402" s="12"/>
      <c r="V402" s="10"/>
      <c r="W402" s="12">
        <f t="shared" si="130"/>
        <v>3723</v>
      </c>
      <c r="Y402" s="10">
        <v>6</v>
      </c>
      <c r="Z402" s="30">
        <v>45969</v>
      </c>
      <c r="AA402" s="31">
        <f t="shared" si="135"/>
        <v>4888</v>
      </c>
      <c r="AB402" s="32">
        <f>19406+5526+5960+458</f>
        <v>31350</v>
      </c>
      <c r="AC402" s="32">
        <v>-312</v>
      </c>
      <c r="AD402" s="32"/>
      <c r="AE402" s="32">
        <f t="shared" si="131"/>
        <v>31038</v>
      </c>
      <c r="AF402" s="12"/>
      <c r="AG402" s="12">
        <v>36</v>
      </c>
      <c r="AH402" s="10"/>
      <c r="AI402" s="12">
        <f t="shared" si="132"/>
        <v>31074</v>
      </c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</row>
    <row r="403" spans="1:52" x14ac:dyDescent="0.25">
      <c r="A403" s="10">
        <v>7</v>
      </c>
      <c r="B403" s="30">
        <v>45969</v>
      </c>
      <c r="C403" s="31">
        <f t="shared" si="133"/>
        <v>5030</v>
      </c>
      <c r="D403" s="32">
        <f>5008+1228+1192+95</f>
        <v>7523</v>
      </c>
      <c r="E403" s="32"/>
      <c r="F403" s="32"/>
      <c r="G403" s="32">
        <f t="shared" si="127"/>
        <v>7523</v>
      </c>
      <c r="H403" s="12"/>
      <c r="I403" s="12">
        <f>77+30</f>
        <v>107</v>
      </c>
      <c r="J403" s="12"/>
      <c r="K403" s="12">
        <f t="shared" si="128"/>
        <v>7630</v>
      </c>
      <c r="M403" s="10">
        <v>7</v>
      </c>
      <c r="N403" s="30">
        <v>45969</v>
      </c>
      <c r="O403" s="31">
        <f t="shared" si="134"/>
        <v>5107</v>
      </c>
      <c r="P403" s="32">
        <f>1228</f>
        <v>1228</v>
      </c>
      <c r="Q403" s="32"/>
      <c r="R403" s="32"/>
      <c r="S403" s="32">
        <f t="shared" si="129"/>
        <v>1228</v>
      </c>
      <c r="T403" s="12"/>
      <c r="U403" s="12"/>
      <c r="V403" s="12"/>
      <c r="W403" s="12">
        <f t="shared" si="130"/>
        <v>1228</v>
      </c>
      <c r="Y403" s="10">
        <v>7</v>
      </c>
      <c r="Z403" s="30">
        <v>45969</v>
      </c>
      <c r="AA403" s="31">
        <f t="shared" si="135"/>
        <v>4889</v>
      </c>
      <c r="AB403" s="32">
        <f>8138+1192</f>
        <v>9330</v>
      </c>
      <c r="AC403" s="32"/>
      <c r="AD403" s="32"/>
      <c r="AE403" s="32">
        <f t="shared" si="131"/>
        <v>9330</v>
      </c>
      <c r="AF403" s="12"/>
      <c r="AG403" s="58"/>
      <c r="AH403" s="12"/>
      <c r="AI403" s="12">
        <f t="shared" si="132"/>
        <v>9330</v>
      </c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</row>
    <row r="404" spans="1:52" x14ac:dyDescent="0.25">
      <c r="A404" s="10">
        <v>8</v>
      </c>
      <c r="B404" s="30">
        <v>45969</v>
      </c>
      <c r="C404" s="31">
        <f t="shared" si="133"/>
        <v>5031</v>
      </c>
      <c r="D404" s="32">
        <f>3130+614+48</f>
        <v>3792</v>
      </c>
      <c r="E404" s="32"/>
      <c r="F404" s="32"/>
      <c r="G404" s="32">
        <f t="shared" si="127"/>
        <v>3792</v>
      </c>
      <c r="H404" s="12"/>
      <c r="I404" s="12"/>
      <c r="J404" s="12"/>
      <c r="K404" s="12">
        <f t="shared" si="128"/>
        <v>3792</v>
      </c>
      <c r="M404" s="10">
        <v>8</v>
      </c>
      <c r="N404" s="30">
        <v>45969</v>
      </c>
      <c r="O404" s="31">
        <f t="shared" si="134"/>
        <v>5108</v>
      </c>
      <c r="P404" s="32">
        <f>3756+1192+76</f>
        <v>5024</v>
      </c>
      <c r="Q404" s="32"/>
      <c r="R404" s="32"/>
      <c r="S404" s="32">
        <f t="shared" si="129"/>
        <v>5024</v>
      </c>
      <c r="T404" s="12"/>
      <c r="U404" s="12"/>
      <c r="V404" s="12"/>
      <c r="W404" s="12">
        <f t="shared" si="130"/>
        <v>5024</v>
      </c>
      <c r="Y404" s="10">
        <v>8</v>
      </c>
      <c r="Z404" s="30">
        <v>45969</v>
      </c>
      <c r="AA404" s="31">
        <f t="shared" si="135"/>
        <v>4890</v>
      </c>
      <c r="AB404" s="32">
        <f>31300+5960+458</f>
        <v>37718</v>
      </c>
      <c r="AC404" s="32"/>
      <c r="AE404" s="32">
        <f t="shared" si="131"/>
        <v>37718</v>
      </c>
      <c r="AF404" s="12"/>
      <c r="AG404" s="12">
        <v>70</v>
      </c>
      <c r="AH404" s="12"/>
      <c r="AI404" s="12">
        <f t="shared" si="132"/>
        <v>37788</v>
      </c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</row>
    <row r="405" spans="1:52" x14ac:dyDescent="0.25">
      <c r="A405" s="10">
        <v>9</v>
      </c>
      <c r="B405" s="30">
        <v>45969</v>
      </c>
      <c r="C405" s="31">
        <f t="shared" si="133"/>
        <v>5032</v>
      </c>
      <c r="D405" s="32">
        <f>1842</f>
        <v>1842</v>
      </c>
      <c r="E405" s="32"/>
      <c r="F405" s="32"/>
      <c r="G405" s="32">
        <f t="shared" si="127"/>
        <v>1842</v>
      </c>
      <c r="H405" s="12"/>
      <c r="I405" s="12"/>
      <c r="J405" s="12"/>
      <c r="K405" s="12">
        <f t="shared" si="128"/>
        <v>1842</v>
      </c>
      <c r="M405" s="10">
        <v>9</v>
      </c>
      <c r="N405" s="30">
        <v>45969</v>
      </c>
      <c r="O405" s="31">
        <f t="shared" si="134"/>
        <v>5109</v>
      </c>
      <c r="P405" s="32">
        <f>2504+38</f>
        <v>2542</v>
      </c>
      <c r="Q405" s="32"/>
      <c r="R405" s="32"/>
      <c r="S405" s="32">
        <f t="shared" si="129"/>
        <v>2542</v>
      </c>
      <c r="T405" s="12"/>
      <c r="U405" s="12"/>
      <c r="V405" s="12"/>
      <c r="W405" s="12">
        <f t="shared" si="130"/>
        <v>2542</v>
      </c>
      <c r="Y405" s="10">
        <v>9</v>
      </c>
      <c r="Z405" s="30">
        <v>45969</v>
      </c>
      <c r="AA405" s="31">
        <f t="shared" si="135"/>
        <v>4891</v>
      </c>
      <c r="AB405">
        <f>1348+229</f>
        <v>1577</v>
      </c>
      <c r="AC405" s="32"/>
      <c r="AD405" s="32"/>
      <c r="AE405" s="32">
        <f t="shared" si="131"/>
        <v>1577</v>
      </c>
      <c r="AF405" s="12"/>
      <c r="AH405" s="12"/>
      <c r="AI405" s="12">
        <f t="shared" si="132"/>
        <v>1577</v>
      </c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 spans="1:52" x14ac:dyDescent="0.25">
      <c r="A406" s="10">
        <v>10</v>
      </c>
      <c r="B406" s="30">
        <v>45969</v>
      </c>
      <c r="C406" s="31">
        <f t="shared" si="133"/>
        <v>5033</v>
      </c>
      <c r="D406" s="32">
        <f>626+1192+29</f>
        <v>1847</v>
      </c>
      <c r="E406" s="32"/>
      <c r="F406" s="32"/>
      <c r="G406" s="32">
        <f t="shared" si="127"/>
        <v>1847</v>
      </c>
      <c r="H406" s="12"/>
      <c r="I406" s="12"/>
      <c r="J406" s="12"/>
      <c r="K406" s="12">
        <f t="shared" si="128"/>
        <v>1847</v>
      </c>
      <c r="M406" s="10">
        <v>10</v>
      </c>
      <c r="N406" s="30">
        <v>45969</v>
      </c>
      <c r="O406" s="31">
        <f t="shared" si="134"/>
        <v>5110</v>
      </c>
      <c r="P406" s="32">
        <f>3130+47.5</f>
        <v>3177.5</v>
      </c>
      <c r="Q406" s="32"/>
      <c r="R406" s="32"/>
      <c r="S406" s="32">
        <f t="shared" si="129"/>
        <v>3177.5</v>
      </c>
      <c r="T406" s="12"/>
      <c r="U406" s="12"/>
      <c r="V406" s="12"/>
      <c r="W406" s="12">
        <f t="shared" si="130"/>
        <v>3177.5</v>
      </c>
      <c r="Y406" s="10">
        <v>10</v>
      </c>
      <c r="Z406" s="30"/>
      <c r="AA406" s="11" t="s">
        <v>28</v>
      </c>
      <c r="AB406" s="32"/>
      <c r="AC406" s="32"/>
      <c r="AD406" s="32"/>
      <c r="AE406" s="32">
        <f t="shared" si="131"/>
        <v>0</v>
      </c>
      <c r="AF406" s="12"/>
      <c r="AG406" s="12"/>
      <c r="AH406" s="12"/>
      <c r="AI406" s="12">
        <f t="shared" si="132"/>
        <v>0</v>
      </c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</row>
    <row r="407" spans="1:52" x14ac:dyDescent="0.25">
      <c r="A407" s="10">
        <v>11</v>
      </c>
      <c r="B407" s="30">
        <v>45969</v>
      </c>
      <c r="C407" s="31">
        <f t="shared" si="133"/>
        <v>5034</v>
      </c>
      <c r="D407" s="32">
        <f>9390+143</f>
        <v>9533</v>
      </c>
      <c r="E407" s="32"/>
      <c r="F407" s="32"/>
      <c r="G407" s="32">
        <f t="shared" si="127"/>
        <v>9533</v>
      </c>
      <c r="H407" s="12"/>
      <c r="I407" s="12"/>
      <c r="J407" s="12"/>
      <c r="K407" s="12">
        <f t="shared" si="128"/>
        <v>9533</v>
      </c>
      <c r="M407" s="10">
        <v>11</v>
      </c>
      <c r="N407" s="30"/>
      <c r="O407" s="11" t="s">
        <v>28</v>
      </c>
      <c r="P407" s="32"/>
      <c r="Q407" s="32"/>
      <c r="R407" s="32"/>
      <c r="S407" s="32">
        <f t="shared" si="129"/>
        <v>0</v>
      </c>
      <c r="T407" s="12"/>
      <c r="U407" s="12"/>
      <c r="V407" s="12"/>
      <c r="W407" s="12">
        <f t="shared" si="130"/>
        <v>0</v>
      </c>
      <c r="Y407" s="10">
        <v>11</v>
      </c>
      <c r="Z407" s="30"/>
      <c r="AA407" s="31"/>
      <c r="AB407" s="32"/>
      <c r="AC407" s="32"/>
      <c r="AD407" s="32"/>
      <c r="AE407" s="32">
        <f t="shared" si="131"/>
        <v>0</v>
      </c>
      <c r="AF407" s="12"/>
      <c r="AG407" s="12"/>
      <c r="AH407" s="12"/>
      <c r="AI407" s="12">
        <f t="shared" si="132"/>
        <v>0</v>
      </c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</row>
    <row r="408" spans="1:52" x14ac:dyDescent="0.25">
      <c r="A408" s="10">
        <v>12</v>
      </c>
      <c r="B408" s="30">
        <v>45969</v>
      </c>
      <c r="C408" s="31">
        <f t="shared" si="133"/>
        <v>5035</v>
      </c>
      <c r="D408" s="32">
        <f>3130+48</f>
        <v>3178</v>
      </c>
      <c r="E408" s="32"/>
      <c r="F408" s="32"/>
      <c r="G408" s="32">
        <f t="shared" si="127"/>
        <v>3178</v>
      </c>
      <c r="H408" s="12"/>
      <c r="I408" s="12"/>
      <c r="J408" s="10"/>
      <c r="K408" s="12">
        <f t="shared" si="128"/>
        <v>3178</v>
      </c>
      <c r="M408" s="10">
        <v>12</v>
      </c>
      <c r="N408" s="30"/>
      <c r="O408" s="31"/>
      <c r="P408" s="32"/>
      <c r="Q408" s="32"/>
      <c r="R408" s="32"/>
      <c r="S408" s="32">
        <f t="shared" si="129"/>
        <v>0</v>
      </c>
      <c r="T408" s="12"/>
      <c r="U408" s="12"/>
      <c r="V408" s="12"/>
      <c r="W408" s="12">
        <f t="shared" si="130"/>
        <v>0</v>
      </c>
      <c r="Y408" s="10">
        <v>12</v>
      </c>
      <c r="Z408" s="30"/>
      <c r="AA408" s="31"/>
      <c r="AB408" s="32"/>
      <c r="AC408" s="32"/>
      <c r="AD408" s="32"/>
      <c r="AE408" s="32">
        <f t="shared" si="131"/>
        <v>0</v>
      </c>
      <c r="AF408" s="12"/>
      <c r="AG408" s="12"/>
      <c r="AH408" s="12"/>
      <c r="AI408" s="12">
        <f t="shared" si="132"/>
        <v>0</v>
      </c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</row>
    <row r="409" spans="1:52" x14ac:dyDescent="0.25">
      <c r="A409" s="10">
        <v>13</v>
      </c>
      <c r="B409" s="30">
        <v>45969</v>
      </c>
      <c r="C409" s="31">
        <f t="shared" si="133"/>
        <v>5036</v>
      </c>
      <c r="D409" s="32">
        <f>1878+29</f>
        <v>1907</v>
      </c>
      <c r="E409" s="32"/>
      <c r="F409" s="32"/>
      <c r="G409" s="32">
        <f t="shared" si="127"/>
        <v>1907</v>
      </c>
      <c r="H409" s="12"/>
      <c r="I409" s="12">
        <v>5</v>
      </c>
      <c r="J409" s="12"/>
      <c r="K409" s="12">
        <f t="shared" si="128"/>
        <v>1912</v>
      </c>
      <c r="M409" s="10">
        <v>13</v>
      </c>
      <c r="N409" s="30"/>
      <c r="O409" s="31"/>
      <c r="P409" s="32"/>
      <c r="Q409" s="32"/>
      <c r="R409" s="32"/>
      <c r="S409" s="32">
        <f t="shared" si="129"/>
        <v>0</v>
      </c>
      <c r="T409" s="12"/>
      <c r="U409" s="12"/>
      <c r="V409" s="12"/>
      <c r="W409" s="12">
        <f t="shared" si="130"/>
        <v>0</v>
      </c>
      <c r="Y409" s="10">
        <v>13</v>
      </c>
      <c r="Z409" s="30"/>
      <c r="AA409" s="31"/>
      <c r="AB409" s="32"/>
      <c r="AC409" s="32"/>
      <c r="AD409" s="32"/>
      <c r="AE409" s="32">
        <f t="shared" si="131"/>
        <v>0</v>
      </c>
      <c r="AF409" s="12"/>
      <c r="AG409" s="12"/>
      <c r="AH409" s="12"/>
      <c r="AI409" s="12">
        <f t="shared" si="132"/>
        <v>0</v>
      </c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</row>
    <row r="410" spans="1:52" x14ac:dyDescent="0.25">
      <c r="A410" s="10">
        <v>14</v>
      </c>
      <c r="B410" s="30">
        <v>45969</v>
      </c>
      <c r="C410" s="31">
        <f t="shared" si="133"/>
        <v>5037</v>
      </c>
      <c r="D410" s="32">
        <f>1252+19</f>
        <v>1271</v>
      </c>
      <c r="E410" s="32"/>
      <c r="F410" s="32"/>
      <c r="G410" s="32">
        <f t="shared" si="127"/>
        <v>1271</v>
      </c>
      <c r="H410" s="12"/>
      <c r="I410" s="12"/>
      <c r="J410" s="12"/>
      <c r="K410" s="12">
        <f t="shared" si="128"/>
        <v>1271</v>
      </c>
      <c r="M410" s="10">
        <v>14</v>
      </c>
      <c r="N410" s="30"/>
      <c r="O410" s="31"/>
      <c r="P410" s="32"/>
      <c r="Q410" s="32"/>
      <c r="R410" s="32"/>
      <c r="S410" s="32">
        <f t="shared" si="129"/>
        <v>0</v>
      </c>
      <c r="T410" s="12"/>
      <c r="U410" s="12"/>
      <c r="V410" s="12"/>
      <c r="W410" s="12">
        <f t="shared" si="130"/>
        <v>0</v>
      </c>
      <c r="Y410" s="10">
        <v>14</v>
      </c>
      <c r="Z410" s="30"/>
      <c r="AA410" s="31"/>
      <c r="AB410" s="32"/>
      <c r="AC410" s="32"/>
      <c r="AD410" s="32"/>
      <c r="AE410" s="32">
        <f t="shared" si="131"/>
        <v>0</v>
      </c>
      <c r="AF410" s="12"/>
      <c r="AG410" s="12"/>
      <c r="AH410" s="12"/>
      <c r="AI410" s="12">
        <f t="shared" si="132"/>
        <v>0</v>
      </c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</row>
    <row r="411" spans="1:52" x14ac:dyDescent="0.25">
      <c r="A411" s="10">
        <v>15</v>
      </c>
      <c r="B411" s="30">
        <v>45969</v>
      </c>
      <c r="C411" s="31">
        <f t="shared" si="133"/>
        <v>5038</v>
      </c>
      <c r="D411" s="32">
        <f>3756+57</f>
        <v>3813</v>
      </c>
      <c r="E411" s="32"/>
      <c r="F411" s="32"/>
      <c r="G411" s="32">
        <f t="shared" si="127"/>
        <v>3813</v>
      </c>
      <c r="H411" s="12"/>
      <c r="I411" s="12"/>
      <c r="J411" s="12"/>
      <c r="K411" s="12">
        <f t="shared" si="128"/>
        <v>3813</v>
      </c>
      <c r="M411" s="10">
        <v>15</v>
      </c>
      <c r="N411" s="30"/>
      <c r="O411" s="31"/>
      <c r="P411" s="32"/>
      <c r="R411" s="32"/>
      <c r="S411" s="32">
        <f t="shared" si="129"/>
        <v>0</v>
      </c>
      <c r="T411" s="12"/>
      <c r="U411" s="12"/>
      <c r="W411" s="12">
        <f t="shared" si="130"/>
        <v>0</v>
      </c>
      <c r="Y411" s="10">
        <v>15</v>
      </c>
      <c r="Z411" s="30"/>
      <c r="AA411" s="31"/>
      <c r="AB411" s="32"/>
      <c r="AC411" s="32"/>
      <c r="AD411" s="32"/>
      <c r="AE411" s="32">
        <f t="shared" si="131"/>
        <v>0</v>
      </c>
      <c r="AF411" s="12"/>
      <c r="AG411" s="12"/>
      <c r="AH411" s="12"/>
      <c r="AI411" s="12">
        <f t="shared" si="132"/>
        <v>0</v>
      </c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</row>
    <row r="412" spans="1:52" x14ac:dyDescent="0.25">
      <c r="A412" s="10">
        <v>16</v>
      </c>
      <c r="B412" s="30">
        <v>45969</v>
      </c>
      <c r="C412" s="31">
        <f t="shared" si="133"/>
        <v>5039</v>
      </c>
      <c r="D412" s="32">
        <f>2504+596+48</f>
        <v>3148</v>
      </c>
      <c r="E412" s="32"/>
      <c r="F412" s="32"/>
      <c r="G412" s="32">
        <f t="shared" si="127"/>
        <v>3148</v>
      </c>
      <c r="H412" s="12"/>
      <c r="I412" s="12"/>
      <c r="J412" s="12"/>
      <c r="K412" s="12">
        <f t="shared" si="128"/>
        <v>3148</v>
      </c>
      <c r="M412" s="10">
        <v>16</v>
      </c>
      <c r="N412" s="30"/>
      <c r="O412" s="31"/>
      <c r="P412" s="32"/>
      <c r="Q412" s="32"/>
      <c r="R412" s="32"/>
      <c r="S412" s="32">
        <f>SUM(P412:Q412)</f>
        <v>0</v>
      </c>
      <c r="T412" s="12"/>
      <c r="U412" s="12"/>
      <c r="V412" s="12"/>
      <c r="W412" s="12">
        <f>SUM(S412:V412)</f>
        <v>0</v>
      </c>
      <c r="Y412" s="10">
        <v>16</v>
      </c>
      <c r="Z412" s="30"/>
      <c r="AA412" s="31"/>
      <c r="AB412" s="32"/>
      <c r="AC412" s="32"/>
      <c r="AD412" s="32"/>
      <c r="AE412" s="32">
        <f t="shared" si="131"/>
        <v>0</v>
      </c>
      <c r="AF412" s="12"/>
      <c r="AG412" s="12"/>
      <c r="AH412" s="12"/>
      <c r="AI412" s="12">
        <f t="shared" si="132"/>
        <v>0</v>
      </c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</row>
    <row r="413" spans="1:52" x14ac:dyDescent="0.25">
      <c r="A413" s="10">
        <v>17</v>
      </c>
      <c r="B413" s="30">
        <v>45969</v>
      </c>
      <c r="C413" s="31">
        <f t="shared" si="133"/>
        <v>5040</v>
      </c>
      <c r="D413" s="32">
        <f>1252+596+29</f>
        <v>1877</v>
      </c>
      <c r="E413" s="32"/>
      <c r="F413" s="32"/>
      <c r="G413" s="32">
        <f t="shared" si="127"/>
        <v>1877</v>
      </c>
      <c r="H413" s="12"/>
      <c r="I413" s="12"/>
      <c r="J413" s="12"/>
      <c r="K413" s="12">
        <f t="shared" si="128"/>
        <v>1877</v>
      </c>
      <c r="M413" s="10">
        <v>17</v>
      </c>
      <c r="N413" s="30"/>
      <c r="O413" s="31"/>
      <c r="P413" s="35"/>
      <c r="Q413" s="32"/>
      <c r="R413" s="32"/>
      <c r="S413" s="32">
        <f t="shared" ref="S413:S435" si="136">SUM(P413:Q413)</f>
        <v>0</v>
      </c>
      <c r="T413" s="12"/>
      <c r="U413" s="12"/>
      <c r="V413" s="12"/>
      <c r="W413" s="12">
        <f t="shared" ref="W413:W438" si="137">SUM(S413:V413)</f>
        <v>0</v>
      </c>
      <c r="Y413" s="10">
        <v>17</v>
      </c>
      <c r="Z413" s="30"/>
      <c r="AA413" s="31"/>
      <c r="AB413" s="35"/>
      <c r="AC413" s="32"/>
      <c r="AD413" s="32"/>
      <c r="AE413" s="32">
        <f t="shared" si="131"/>
        <v>0</v>
      </c>
      <c r="AF413" s="12"/>
      <c r="AG413" s="12"/>
      <c r="AH413" s="12"/>
      <c r="AI413" s="12">
        <f t="shared" si="132"/>
        <v>0</v>
      </c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</row>
    <row r="414" spans="1:52" x14ac:dyDescent="0.25">
      <c r="A414" s="10">
        <v>18</v>
      </c>
      <c r="B414" s="30">
        <v>45969</v>
      </c>
      <c r="C414" s="31">
        <f t="shared" si="133"/>
        <v>5041</v>
      </c>
      <c r="D414" s="32">
        <f>3130+48</f>
        <v>3178</v>
      </c>
      <c r="E414" s="32"/>
      <c r="F414" s="32"/>
      <c r="G414" s="32">
        <f t="shared" si="127"/>
        <v>3178</v>
      </c>
      <c r="H414" s="12"/>
      <c r="I414" s="12"/>
      <c r="J414" s="12"/>
      <c r="K414" s="12">
        <f t="shared" si="128"/>
        <v>3178</v>
      </c>
      <c r="M414" s="10">
        <v>18</v>
      </c>
      <c r="N414" s="30"/>
      <c r="O414" s="31"/>
      <c r="P414" s="32"/>
      <c r="Q414" s="32"/>
      <c r="R414" s="32"/>
      <c r="S414" s="32">
        <f t="shared" si="136"/>
        <v>0</v>
      </c>
      <c r="T414" s="12"/>
      <c r="U414" s="12"/>
      <c r="V414" s="12"/>
      <c r="W414" s="12">
        <f t="shared" si="137"/>
        <v>0</v>
      </c>
      <c r="Y414" s="10">
        <v>18</v>
      </c>
      <c r="Z414" s="30"/>
      <c r="AA414" s="31"/>
      <c r="AB414" s="32"/>
      <c r="AC414" s="32"/>
      <c r="AD414" s="32"/>
      <c r="AE414" s="32">
        <f t="shared" si="131"/>
        <v>0</v>
      </c>
      <c r="AF414" s="12"/>
      <c r="AG414" s="12"/>
      <c r="AH414" s="12"/>
      <c r="AI414" s="12">
        <f t="shared" si="132"/>
        <v>0</v>
      </c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</row>
    <row r="415" spans="1:52" x14ac:dyDescent="0.25">
      <c r="A415" s="10">
        <v>19</v>
      </c>
      <c r="B415" s="30">
        <v>45969</v>
      </c>
      <c r="C415" s="31">
        <f t="shared" si="133"/>
        <v>5042</v>
      </c>
      <c r="D415" s="32">
        <f>626+10</f>
        <v>636</v>
      </c>
      <c r="E415" s="32"/>
      <c r="F415" s="32"/>
      <c r="G415" s="32">
        <f t="shared" si="127"/>
        <v>636</v>
      </c>
      <c r="H415" s="12"/>
      <c r="I415" s="12"/>
      <c r="J415" s="12"/>
      <c r="K415" s="12">
        <f t="shared" si="128"/>
        <v>636</v>
      </c>
      <c r="M415" s="10">
        <v>19</v>
      </c>
      <c r="N415" s="30"/>
      <c r="O415" s="31"/>
      <c r="P415" s="32"/>
      <c r="Q415" s="32"/>
      <c r="R415" s="32"/>
      <c r="S415" s="32">
        <f t="shared" si="136"/>
        <v>0</v>
      </c>
      <c r="T415" s="12"/>
      <c r="U415" s="12"/>
      <c r="V415" s="12"/>
      <c r="W415" s="12">
        <f t="shared" si="137"/>
        <v>0</v>
      </c>
      <c r="Y415" s="10">
        <v>19</v>
      </c>
      <c r="Z415" s="30"/>
      <c r="AA415" s="31"/>
      <c r="AB415" s="32"/>
      <c r="AC415" s="32"/>
      <c r="AD415" s="32"/>
      <c r="AE415" s="32">
        <f t="shared" si="131"/>
        <v>0</v>
      </c>
      <c r="AF415" s="12"/>
      <c r="AG415" s="12"/>
      <c r="AH415" s="12"/>
      <c r="AI415" s="12">
        <f t="shared" si="132"/>
        <v>0</v>
      </c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</row>
    <row r="416" spans="1:52" x14ac:dyDescent="0.25">
      <c r="A416" s="10">
        <v>20</v>
      </c>
      <c r="B416" s="30">
        <v>45969</v>
      </c>
      <c r="C416" s="31">
        <v>5046</v>
      </c>
      <c r="D416" s="32">
        <f>3130+48</f>
        <v>3178</v>
      </c>
      <c r="E416" s="32"/>
      <c r="F416" s="32"/>
      <c r="G416" s="32">
        <f t="shared" si="127"/>
        <v>3178</v>
      </c>
      <c r="H416" s="12"/>
      <c r="I416" s="12"/>
      <c r="J416" s="12"/>
      <c r="K416" s="12">
        <f t="shared" si="128"/>
        <v>3178</v>
      </c>
      <c r="M416" s="10">
        <v>20</v>
      </c>
      <c r="N416" s="30"/>
      <c r="O416" s="31"/>
      <c r="P416" s="32"/>
      <c r="Q416" s="32"/>
      <c r="R416" s="32"/>
      <c r="S416" s="32">
        <f t="shared" si="136"/>
        <v>0</v>
      </c>
      <c r="T416" s="12"/>
      <c r="U416" s="12"/>
      <c r="V416" s="12"/>
      <c r="W416" s="12">
        <f t="shared" si="137"/>
        <v>0</v>
      </c>
      <c r="Y416" s="10">
        <v>20</v>
      </c>
      <c r="Z416" s="30"/>
      <c r="AA416" s="31"/>
      <c r="AB416" s="32"/>
      <c r="AC416" s="32"/>
      <c r="AD416" s="32"/>
      <c r="AE416" s="32">
        <f t="shared" si="131"/>
        <v>0</v>
      </c>
      <c r="AF416" s="12"/>
      <c r="AG416" s="12"/>
      <c r="AH416" s="12"/>
      <c r="AI416" s="12">
        <f t="shared" si="132"/>
        <v>0</v>
      </c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</row>
    <row r="417" spans="1:52" x14ac:dyDescent="0.25">
      <c r="A417" s="10">
        <v>21</v>
      </c>
      <c r="B417" s="30"/>
      <c r="C417" s="11" t="s">
        <v>28</v>
      </c>
      <c r="D417" s="32"/>
      <c r="E417" s="32"/>
      <c r="F417" s="32"/>
      <c r="G417" s="32">
        <f t="shared" si="127"/>
        <v>0</v>
      </c>
      <c r="H417" s="10"/>
      <c r="I417" s="10"/>
      <c r="J417" s="10"/>
      <c r="K417" s="12">
        <f t="shared" si="128"/>
        <v>0</v>
      </c>
      <c r="M417" s="10">
        <v>21</v>
      </c>
      <c r="N417" s="30"/>
      <c r="O417" s="31"/>
      <c r="P417" s="46"/>
      <c r="Q417" s="31"/>
      <c r="R417" s="31"/>
      <c r="S417" s="32">
        <f t="shared" si="136"/>
        <v>0</v>
      </c>
      <c r="T417" s="10"/>
      <c r="U417" s="10"/>
      <c r="V417" s="10"/>
      <c r="W417" s="12">
        <f t="shared" si="137"/>
        <v>0</v>
      </c>
      <c r="Y417" s="10">
        <v>21</v>
      </c>
      <c r="Z417" s="30"/>
      <c r="AA417" s="31"/>
      <c r="AB417" s="46"/>
      <c r="AC417" s="31"/>
      <c r="AD417" s="31"/>
      <c r="AE417" s="32">
        <f t="shared" si="131"/>
        <v>0</v>
      </c>
      <c r="AF417" s="10"/>
      <c r="AG417" s="10"/>
      <c r="AH417" s="10"/>
      <c r="AI417" s="12">
        <f t="shared" si="132"/>
        <v>0</v>
      </c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</row>
    <row r="418" spans="1:52" x14ac:dyDescent="0.25">
      <c r="A418" s="10">
        <v>22</v>
      </c>
      <c r="B418" s="30"/>
      <c r="C418" s="31"/>
      <c r="D418" s="32"/>
      <c r="E418" s="32"/>
      <c r="F418" s="32"/>
      <c r="G418" s="32">
        <f t="shared" si="127"/>
        <v>0</v>
      </c>
      <c r="H418" s="10"/>
      <c r="I418" s="10"/>
      <c r="J418" s="10"/>
      <c r="K418" s="12">
        <f t="shared" si="128"/>
        <v>0</v>
      </c>
      <c r="M418" s="10">
        <v>22</v>
      </c>
      <c r="N418" s="30"/>
      <c r="O418" s="31"/>
      <c r="P418" s="45"/>
      <c r="Q418" s="31"/>
      <c r="R418" s="31"/>
      <c r="S418" s="32">
        <f t="shared" si="136"/>
        <v>0</v>
      </c>
      <c r="T418" s="10"/>
      <c r="U418" s="10"/>
      <c r="V418" s="10"/>
      <c r="W418" s="12">
        <f t="shared" si="137"/>
        <v>0</v>
      </c>
      <c r="Y418" s="10">
        <v>22</v>
      </c>
      <c r="Z418" s="30"/>
      <c r="AA418" s="31"/>
      <c r="AB418" s="45"/>
      <c r="AC418" s="31"/>
      <c r="AD418" s="31"/>
      <c r="AE418" s="32">
        <f t="shared" si="131"/>
        <v>0</v>
      </c>
      <c r="AF418" s="10"/>
      <c r="AG418" s="10"/>
      <c r="AH418" s="10"/>
      <c r="AI418" s="12">
        <f t="shared" si="132"/>
        <v>0</v>
      </c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</row>
    <row r="419" spans="1:52" x14ac:dyDescent="0.25">
      <c r="A419" s="10">
        <v>23</v>
      </c>
      <c r="B419" s="30"/>
      <c r="D419" s="32"/>
      <c r="E419" s="32"/>
      <c r="F419" s="32"/>
      <c r="G419" s="32">
        <f t="shared" si="127"/>
        <v>0</v>
      </c>
      <c r="H419" s="10"/>
      <c r="I419" s="10"/>
      <c r="J419" s="12"/>
      <c r="K419" s="12">
        <f t="shared" si="128"/>
        <v>0</v>
      </c>
      <c r="M419" s="10">
        <v>23</v>
      </c>
      <c r="N419" s="30"/>
      <c r="O419" s="31"/>
      <c r="P419" s="47"/>
      <c r="Q419" s="31"/>
      <c r="R419" s="31"/>
      <c r="S419" s="32">
        <f t="shared" si="136"/>
        <v>0</v>
      </c>
      <c r="T419" s="10"/>
      <c r="U419" s="10"/>
      <c r="V419" s="10"/>
      <c r="W419" s="12">
        <f t="shared" si="137"/>
        <v>0</v>
      </c>
      <c r="Y419" s="10">
        <v>23</v>
      </c>
      <c r="Z419" s="30"/>
      <c r="AA419" s="31"/>
      <c r="AB419" s="47"/>
      <c r="AE419" s="32">
        <f t="shared" si="131"/>
        <v>0</v>
      </c>
      <c r="AF419" s="10"/>
      <c r="AG419" s="10"/>
      <c r="AH419" s="10"/>
      <c r="AI419" s="12">
        <f t="shared" si="132"/>
        <v>0</v>
      </c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</row>
    <row r="420" spans="1:52" x14ac:dyDescent="0.25">
      <c r="A420" s="10">
        <v>24</v>
      </c>
      <c r="B420" s="30"/>
      <c r="C420" s="31"/>
      <c r="D420" s="32"/>
      <c r="E420" s="32"/>
      <c r="F420" s="32"/>
      <c r="G420" s="32">
        <f t="shared" si="127"/>
        <v>0</v>
      </c>
      <c r="H420" s="10"/>
      <c r="I420" s="10"/>
      <c r="J420" s="10"/>
      <c r="K420" s="12">
        <f t="shared" si="128"/>
        <v>0</v>
      </c>
      <c r="M420" s="10">
        <v>24</v>
      </c>
      <c r="N420" s="30"/>
      <c r="O420" s="31"/>
      <c r="P420" s="47"/>
      <c r="Q420" s="31"/>
      <c r="R420" s="31"/>
      <c r="S420" s="32">
        <f t="shared" si="136"/>
        <v>0</v>
      </c>
      <c r="T420" s="10"/>
      <c r="U420" s="10"/>
      <c r="V420" s="10"/>
      <c r="W420" s="12">
        <f t="shared" si="137"/>
        <v>0</v>
      </c>
      <c r="Y420" s="10">
        <v>24</v>
      </c>
      <c r="Z420" s="30"/>
      <c r="AA420" s="31"/>
      <c r="AB420" s="47"/>
      <c r="AC420" s="31"/>
      <c r="AD420" s="31"/>
      <c r="AE420" s="32">
        <f t="shared" si="131"/>
        <v>0</v>
      </c>
      <c r="AF420" s="10"/>
      <c r="AG420" s="10"/>
      <c r="AH420" s="10"/>
      <c r="AI420" s="12">
        <f t="shared" si="132"/>
        <v>0</v>
      </c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</row>
    <row r="421" spans="1:52" x14ac:dyDescent="0.25">
      <c r="A421" s="10">
        <v>25</v>
      </c>
      <c r="B421" s="30"/>
      <c r="C421" s="31"/>
      <c r="D421" s="32"/>
      <c r="E421" s="32"/>
      <c r="F421" s="32"/>
      <c r="G421" s="32">
        <f t="shared" si="127"/>
        <v>0</v>
      </c>
      <c r="H421" s="10"/>
      <c r="I421" s="10"/>
      <c r="J421" s="10"/>
      <c r="K421" s="12">
        <f t="shared" si="128"/>
        <v>0</v>
      </c>
      <c r="M421" s="10">
        <v>25</v>
      </c>
      <c r="N421" s="30"/>
      <c r="O421" s="31"/>
      <c r="P421" s="47"/>
      <c r="Q421" s="31"/>
      <c r="R421" s="31"/>
      <c r="S421" s="32">
        <f t="shared" si="136"/>
        <v>0</v>
      </c>
      <c r="T421" s="10"/>
      <c r="U421" s="10"/>
      <c r="V421" s="10"/>
      <c r="W421" s="12">
        <f t="shared" si="137"/>
        <v>0</v>
      </c>
      <c r="Y421" s="10">
        <v>25</v>
      </c>
      <c r="Z421" s="30"/>
      <c r="AA421" s="31"/>
      <c r="AB421" s="47"/>
      <c r="AC421" s="31"/>
      <c r="AD421" s="31"/>
      <c r="AE421" s="32">
        <f t="shared" si="131"/>
        <v>0</v>
      </c>
      <c r="AF421" s="10"/>
      <c r="AG421" s="10"/>
      <c r="AH421" s="10"/>
      <c r="AI421" s="12">
        <f t="shared" si="132"/>
        <v>0</v>
      </c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</row>
    <row r="422" spans="1:52" x14ac:dyDescent="0.25">
      <c r="A422" s="10">
        <v>26</v>
      </c>
      <c r="B422" s="30"/>
      <c r="D422" s="32"/>
      <c r="E422" s="32"/>
      <c r="F422" s="32"/>
      <c r="G422" s="32">
        <f t="shared" si="127"/>
        <v>0</v>
      </c>
      <c r="H422" s="10"/>
      <c r="I422" s="10"/>
      <c r="J422" s="10"/>
      <c r="K422" s="12">
        <f t="shared" si="128"/>
        <v>0</v>
      </c>
      <c r="M422" s="10">
        <v>26</v>
      </c>
      <c r="N422" s="30"/>
      <c r="O422" s="31"/>
      <c r="P422" s="47"/>
      <c r="Q422" s="31"/>
      <c r="R422" s="31"/>
      <c r="S422" s="32">
        <f t="shared" si="136"/>
        <v>0</v>
      </c>
      <c r="T422" s="10"/>
      <c r="U422" s="10"/>
      <c r="V422" s="10"/>
      <c r="W422" s="12">
        <f t="shared" si="137"/>
        <v>0</v>
      </c>
      <c r="Y422" s="10">
        <v>26</v>
      </c>
      <c r="Z422" s="30"/>
      <c r="AA422" s="31"/>
      <c r="AB422" s="47"/>
      <c r="AC422" s="31"/>
      <c r="AD422" s="31"/>
      <c r="AE422" s="32">
        <f t="shared" si="131"/>
        <v>0</v>
      </c>
      <c r="AF422" s="10"/>
      <c r="AG422" s="10"/>
      <c r="AH422" s="10"/>
      <c r="AI422" s="12">
        <f t="shared" si="132"/>
        <v>0</v>
      </c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 spans="1:52" x14ac:dyDescent="0.25">
      <c r="A423" s="10">
        <v>27</v>
      </c>
      <c r="B423" s="30"/>
      <c r="C423" s="31"/>
      <c r="D423" s="32"/>
      <c r="E423" s="32"/>
      <c r="F423" s="32"/>
      <c r="G423" s="32">
        <f t="shared" si="127"/>
        <v>0</v>
      </c>
      <c r="H423" s="10"/>
      <c r="I423" s="10"/>
      <c r="J423" s="10"/>
      <c r="K423" s="12">
        <f t="shared" si="128"/>
        <v>0</v>
      </c>
      <c r="M423" s="10">
        <v>27</v>
      </c>
      <c r="N423" s="30"/>
      <c r="O423" s="31"/>
      <c r="P423" s="47"/>
      <c r="Q423" s="31"/>
      <c r="R423" s="31"/>
      <c r="S423" s="32">
        <f t="shared" si="136"/>
        <v>0</v>
      </c>
      <c r="T423" s="10"/>
      <c r="U423" s="10"/>
      <c r="V423" s="10"/>
      <c r="W423" s="12">
        <f t="shared" si="137"/>
        <v>0</v>
      </c>
      <c r="Y423" s="10">
        <v>27</v>
      </c>
      <c r="Z423" s="30"/>
      <c r="AA423" s="31"/>
      <c r="AB423" s="47"/>
      <c r="AC423" s="31"/>
      <c r="AD423" s="31"/>
      <c r="AE423" s="32">
        <f t="shared" si="131"/>
        <v>0</v>
      </c>
      <c r="AF423" s="10"/>
      <c r="AG423" s="10"/>
      <c r="AH423" s="10"/>
      <c r="AI423" s="12">
        <f t="shared" si="132"/>
        <v>0</v>
      </c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</row>
    <row r="424" spans="1:52" x14ac:dyDescent="0.25">
      <c r="A424" s="10">
        <v>28</v>
      </c>
      <c r="B424" s="30"/>
      <c r="C424" s="31"/>
      <c r="D424" s="32"/>
      <c r="E424" s="32"/>
      <c r="F424" s="32"/>
      <c r="G424" s="32">
        <f t="shared" si="127"/>
        <v>0</v>
      </c>
      <c r="H424" s="10"/>
      <c r="I424" s="10"/>
      <c r="J424" s="10"/>
      <c r="K424" s="12">
        <f t="shared" si="128"/>
        <v>0</v>
      </c>
      <c r="M424" s="10">
        <v>28</v>
      </c>
      <c r="N424" s="30"/>
      <c r="O424" s="31"/>
      <c r="P424" s="47"/>
      <c r="Q424" s="31"/>
      <c r="R424" s="31"/>
      <c r="S424" s="32">
        <f t="shared" si="136"/>
        <v>0</v>
      </c>
      <c r="T424" s="10"/>
      <c r="U424" s="10"/>
      <c r="V424" s="10"/>
      <c r="W424" s="12">
        <f t="shared" si="137"/>
        <v>0</v>
      </c>
      <c r="Y424" s="10">
        <v>28</v>
      </c>
      <c r="Z424" s="30"/>
      <c r="AA424" s="31"/>
      <c r="AB424" s="47"/>
      <c r="AC424" s="31"/>
      <c r="AD424" s="31"/>
      <c r="AE424" s="32">
        <f t="shared" si="131"/>
        <v>0</v>
      </c>
      <c r="AF424" s="10"/>
      <c r="AG424" s="10"/>
      <c r="AH424" s="10"/>
      <c r="AI424" s="12">
        <f t="shared" si="132"/>
        <v>0</v>
      </c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</row>
    <row r="425" spans="1:52" x14ac:dyDescent="0.25">
      <c r="A425" s="10">
        <v>29</v>
      </c>
      <c r="B425" s="30"/>
      <c r="C425" s="31"/>
      <c r="D425" s="32"/>
      <c r="E425" s="32"/>
      <c r="F425" s="32"/>
      <c r="G425" s="32">
        <f t="shared" si="127"/>
        <v>0</v>
      </c>
      <c r="H425" s="10"/>
      <c r="I425" s="10"/>
      <c r="J425" s="10"/>
      <c r="K425" s="12">
        <f t="shared" si="128"/>
        <v>0</v>
      </c>
      <c r="M425" s="10">
        <v>29</v>
      </c>
      <c r="N425" s="30"/>
      <c r="O425" s="31"/>
      <c r="P425" s="47"/>
      <c r="Q425" s="31"/>
      <c r="R425" s="31"/>
      <c r="S425" s="32">
        <f t="shared" si="136"/>
        <v>0</v>
      </c>
      <c r="T425" s="10"/>
      <c r="U425" s="10"/>
      <c r="V425" s="10"/>
      <c r="W425" s="12">
        <f t="shared" si="137"/>
        <v>0</v>
      </c>
      <c r="Y425" s="10">
        <v>29</v>
      </c>
      <c r="Z425" s="30"/>
      <c r="AA425" s="31"/>
      <c r="AB425" s="47"/>
      <c r="AC425" s="31"/>
      <c r="AD425" s="31"/>
      <c r="AE425" s="32">
        <f t="shared" si="131"/>
        <v>0</v>
      </c>
      <c r="AF425" s="10"/>
      <c r="AG425" s="10"/>
      <c r="AH425" s="10"/>
      <c r="AI425" s="12">
        <f t="shared" si="132"/>
        <v>0</v>
      </c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</row>
    <row r="426" spans="1:52" x14ac:dyDescent="0.25">
      <c r="A426" s="10">
        <v>30</v>
      </c>
      <c r="B426" s="30"/>
      <c r="C426" s="31"/>
      <c r="D426" s="32"/>
      <c r="E426" s="32"/>
      <c r="F426" s="32"/>
      <c r="G426" s="32">
        <f t="shared" si="127"/>
        <v>0</v>
      </c>
      <c r="H426" s="10"/>
      <c r="I426" s="10"/>
      <c r="J426" s="10"/>
      <c r="K426" s="12">
        <f t="shared" si="128"/>
        <v>0</v>
      </c>
      <c r="M426" s="10">
        <v>30</v>
      </c>
      <c r="N426" s="30"/>
      <c r="O426" s="31"/>
      <c r="P426" s="47"/>
      <c r="Q426" s="31"/>
      <c r="R426" s="31"/>
      <c r="S426" s="32">
        <f t="shared" si="136"/>
        <v>0</v>
      </c>
      <c r="T426" s="10"/>
      <c r="U426" s="10"/>
      <c r="V426" s="10"/>
      <c r="W426" s="12">
        <f t="shared" si="137"/>
        <v>0</v>
      </c>
      <c r="Y426" s="10">
        <v>30</v>
      </c>
      <c r="Z426" s="30"/>
      <c r="AA426" s="31"/>
      <c r="AB426" s="47"/>
      <c r="AC426" s="31"/>
      <c r="AD426" s="31"/>
      <c r="AE426" s="32">
        <f t="shared" si="131"/>
        <v>0</v>
      </c>
      <c r="AF426" s="10"/>
      <c r="AG426" s="10"/>
      <c r="AH426" s="10"/>
      <c r="AI426" s="12">
        <f t="shared" si="132"/>
        <v>0</v>
      </c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 spans="1:52" x14ac:dyDescent="0.25">
      <c r="A427" s="10">
        <v>31</v>
      </c>
      <c r="B427" s="30"/>
      <c r="C427" s="57"/>
      <c r="D427" s="32"/>
      <c r="E427" s="32"/>
      <c r="F427" s="32"/>
      <c r="G427" s="32">
        <f t="shared" si="127"/>
        <v>0</v>
      </c>
      <c r="H427" s="10"/>
      <c r="I427" s="10"/>
      <c r="J427" s="10"/>
      <c r="K427" s="12">
        <f t="shared" si="128"/>
        <v>0</v>
      </c>
      <c r="M427" s="10">
        <v>31</v>
      </c>
      <c r="N427" s="30"/>
      <c r="P427" s="47"/>
      <c r="Q427" s="31"/>
      <c r="R427" s="31"/>
      <c r="S427" s="32">
        <f t="shared" si="136"/>
        <v>0</v>
      </c>
      <c r="T427" s="10"/>
      <c r="U427" s="10"/>
      <c r="V427" s="10"/>
      <c r="W427" s="12">
        <f t="shared" si="137"/>
        <v>0</v>
      </c>
      <c r="Y427" s="10">
        <v>31</v>
      </c>
      <c r="Z427" s="30"/>
      <c r="AB427" s="47"/>
      <c r="AC427" s="31"/>
      <c r="AD427" s="31"/>
      <c r="AE427" s="32">
        <f t="shared" si="131"/>
        <v>0</v>
      </c>
      <c r="AF427" s="10"/>
      <c r="AG427" s="10"/>
      <c r="AH427" s="10"/>
      <c r="AI427" s="12">
        <f t="shared" si="132"/>
        <v>0</v>
      </c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</row>
    <row r="428" spans="1:52" x14ac:dyDescent="0.25">
      <c r="A428" s="10">
        <v>32</v>
      </c>
      <c r="B428" s="30"/>
      <c r="C428" s="31"/>
      <c r="D428" s="32"/>
      <c r="E428" s="32"/>
      <c r="F428" s="32"/>
      <c r="G428" s="32">
        <f t="shared" si="127"/>
        <v>0</v>
      </c>
      <c r="H428" s="10"/>
      <c r="I428" s="10"/>
      <c r="J428" s="10"/>
      <c r="K428" s="12">
        <f t="shared" si="128"/>
        <v>0</v>
      </c>
      <c r="M428" s="10">
        <v>32</v>
      </c>
      <c r="N428" s="30"/>
      <c r="P428" s="47"/>
      <c r="Q428" s="31"/>
      <c r="R428" s="31"/>
      <c r="S428" s="32">
        <f t="shared" si="136"/>
        <v>0</v>
      </c>
      <c r="T428" s="10"/>
      <c r="U428" s="10"/>
      <c r="V428" s="10"/>
      <c r="W428" s="12">
        <f t="shared" si="137"/>
        <v>0</v>
      </c>
      <c r="Y428" s="10">
        <v>32</v>
      </c>
      <c r="Z428" s="30"/>
      <c r="AA428" s="31"/>
      <c r="AB428" s="47"/>
      <c r="AC428" s="31"/>
      <c r="AD428" s="31"/>
      <c r="AE428" s="32">
        <f t="shared" si="131"/>
        <v>0</v>
      </c>
      <c r="AF428" s="10"/>
      <c r="AG428" s="10"/>
      <c r="AH428" s="10"/>
      <c r="AI428" s="12">
        <f t="shared" si="132"/>
        <v>0</v>
      </c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</row>
    <row r="429" spans="1:52" x14ac:dyDescent="0.25">
      <c r="A429" s="10">
        <v>33</v>
      </c>
      <c r="B429" s="30"/>
      <c r="C429" s="31"/>
      <c r="D429" s="32"/>
      <c r="E429" s="32"/>
      <c r="F429" s="32"/>
      <c r="G429" s="32">
        <f t="shared" si="127"/>
        <v>0</v>
      </c>
      <c r="H429" s="10"/>
      <c r="I429" s="10"/>
      <c r="J429" s="10"/>
      <c r="K429" s="12">
        <f t="shared" si="128"/>
        <v>0</v>
      </c>
      <c r="M429" s="10">
        <v>33</v>
      </c>
      <c r="N429" s="30"/>
      <c r="O429" s="31"/>
      <c r="P429" s="47"/>
      <c r="Q429" s="31"/>
      <c r="R429" s="31"/>
      <c r="S429" s="32">
        <f t="shared" si="136"/>
        <v>0</v>
      </c>
      <c r="T429" s="10"/>
      <c r="U429" s="10"/>
      <c r="V429" s="10"/>
      <c r="W429" s="12">
        <f t="shared" si="137"/>
        <v>0</v>
      </c>
      <c r="Y429" s="10">
        <v>33</v>
      </c>
      <c r="Z429" s="30"/>
      <c r="AA429" s="31"/>
      <c r="AB429" s="47"/>
      <c r="AC429" s="31"/>
      <c r="AD429" s="31"/>
      <c r="AE429" s="32">
        <f t="shared" si="131"/>
        <v>0</v>
      </c>
      <c r="AF429" s="10"/>
      <c r="AG429" s="10"/>
      <c r="AH429" s="10"/>
      <c r="AI429" s="12">
        <f t="shared" si="132"/>
        <v>0</v>
      </c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</row>
    <row r="430" spans="1:52" x14ac:dyDescent="0.25">
      <c r="A430" s="10"/>
      <c r="B430" s="30"/>
      <c r="C430" s="31"/>
      <c r="D430" s="32"/>
      <c r="E430" s="32"/>
      <c r="F430" s="32"/>
      <c r="G430" s="32">
        <f t="shared" si="127"/>
        <v>0</v>
      </c>
      <c r="H430" s="10"/>
      <c r="I430" s="10"/>
      <c r="J430" s="10"/>
      <c r="K430" s="12">
        <f t="shared" si="128"/>
        <v>0</v>
      </c>
      <c r="M430" s="10">
        <v>34</v>
      </c>
      <c r="N430" s="30"/>
      <c r="O430" s="31"/>
      <c r="P430" s="47"/>
      <c r="Q430" s="31"/>
      <c r="R430" s="31"/>
      <c r="S430" s="32">
        <f t="shared" si="136"/>
        <v>0</v>
      </c>
      <c r="T430" s="10"/>
      <c r="U430" s="10"/>
      <c r="V430" s="10"/>
      <c r="W430" s="12">
        <f t="shared" si="137"/>
        <v>0</v>
      </c>
      <c r="Y430" s="10">
        <v>34</v>
      </c>
      <c r="Z430" s="30"/>
      <c r="AB430" s="47"/>
      <c r="AC430" s="31"/>
      <c r="AD430" s="31"/>
      <c r="AE430" s="32">
        <f t="shared" si="131"/>
        <v>0</v>
      </c>
      <c r="AF430" s="10"/>
      <c r="AG430" s="10"/>
      <c r="AH430" s="10"/>
      <c r="AI430" s="12">
        <f t="shared" si="132"/>
        <v>0</v>
      </c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</row>
    <row r="431" spans="1:52" x14ac:dyDescent="0.25">
      <c r="A431" s="10"/>
      <c r="B431" s="30"/>
      <c r="C431" s="31"/>
      <c r="D431" s="32"/>
      <c r="E431" s="32"/>
      <c r="F431" s="32"/>
      <c r="G431" s="32"/>
      <c r="H431" s="10"/>
      <c r="I431" s="10"/>
      <c r="J431" s="10"/>
      <c r="K431" s="12"/>
      <c r="M431" s="10">
        <v>35</v>
      </c>
      <c r="N431" s="30"/>
      <c r="O431" s="31"/>
      <c r="P431" s="47"/>
      <c r="Q431" s="31"/>
      <c r="R431" s="31"/>
      <c r="S431" s="32">
        <f t="shared" si="136"/>
        <v>0</v>
      </c>
      <c r="T431" s="10"/>
      <c r="U431" s="10"/>
      <c r="V431" s="10"/>
      <c r="W431" s="12">
        <f t="shared" si="137"/>
        <v>0</v>
      </c>
      <c r="Y431" s="10">
        <v>35</v>
      </c>
      <c r="Z431" s="30"/>
      <c r="AA431" s="31"/>
      <c r="AB431" s="47"/>
      <c r="AC431" s="31"/>
      <c r="AD431" s="31"/>
      <c r="AE431" s="32">
        <f t="shared" si="131"/>
        <v>0</v>
      </c>
      <c r="AF431" s="10"/>
      <c r="AG431" s="10"/>
      <c r="AH431" s="10"/>
      <c r="AI431" s="12">
        <f t="shared" si="132"/>
        <v>0</v>
      </c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</row>
    <row r="432" spans="1:52" x14ac:dyDescent="0.25">
      <c r="A432" s="10"/>
      <c r="B432" s="30"/>
      <c r="C432" s="31"/>
      <c r="D432" s="32"/>
      <c r="E432" s="32"/>
      <c r="F432" s="32"/>
      <c r="G432" s="32"/>
      <c r="H432" s="10"/>
      <c r="I432" s="10"/>
      <c r="J432" s="10"/>
      <c r="K432" s="12"/>
      <c r="M432" s="10">
        <v>36</v>
      </c>
      <c r="N432" s="30"/>
      <c r="O432" s="31"/>
      <c r="P432" s="47"/>
      <c r="Q432" s="31"/>
      <c r="R432" s="31"/>
      <c r="S432" s="32">
        <f t="shared" si="136"/>
        <v>0</v>
      </c>
      <c r="T432" s="10"/>
      <c r="U432" s="10"/>
      <c r="V432" s="10"/>
      <c r="W432" s="12">
        <f t="shared" si="137"/>
        <v>0</v>
      </c>
      <c r="Y432" s="10">
        <v>36</v>
      </c>
      <c r="Z432" s="30"/>
      <c r="AA432" s="31"/>
      <c r="AB432" s="47"/>
      <c r="AC432" s="31"/>
      <c r="AD432" s="31"/>
      <c r="AE432" s="32">
        <f t="shared" si="131"/>
        <v>0</v>
      </c>
      <c r="AF432" s="10"/>
      <c r="AG432" s="10"/>
      <c r="AH432" s="10"/>
      <c r="AI432" s="12">
        <f t="shared" si="132"/>
        <v>0</v>
      </c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</row>
    <row r="433" spans="1:52" x14ac:dyDescent="0.25">
      <c r="A433" s="10"/>
      <c r="B433" s="30"/>
      <c r="C433" s="57"/>
      <c r="D433" s="32"/>
      <c r="E433" s="32"/>
      <c r="F433" s="32"/>
      <c r="G433" s="32"/>
      <c r="H433" s="10"/>
      <c r="I433" s="10"/>
      <c r="J433" s="10"/>
      <c r="K433" s="12"/>
      <c r="M433" s="10">
        <v>37</v>
      </c>
      <c r="N433" s="30"/>
      <c r="P433" s="47"/>
      <c r="Q433" s="31"/>
      <c r="R433" s="31"/>
      <c r="S433" s="32">
        <f t="shared" si="136"/>
        <v>0</v>
      </c>
      <c r="T433" s="10"/>
      <c r="U433" s="10"/>
      <c r="V433" s="10"/>
      <c r="W433" s="12">
        <f t="shared" si="137"/>
        <v>0</v>
      </c>
      <c r="Y433" s="10">
        <v>37</v>
      </c>
      <c r="Z433" s="30"/>
      <c r="AA433" s="31"/>
      <c r="AB433" s="47"/>
      <c r="AC433" s="31"/>
      <c r="AD433" s="31"/>
      <c r="AE433" s="32">
        <f t="shared" si="131"/>
        <v>0</v>
      </c>
      <c r="AF433" s="10"/>
      <c r="AG433" s="10"/>
      <c r="AH433" s="10"/>
      <c r="AI433" s="12">
        <f t="shared" si="132"/>
        <v>0</v>
      </c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</row>
    <row r="434" spans="1:52" x14ac:dyDescent="0.25">
      <c r="A434" s="10"/>
      <c r="B434" s="30"/>
      <c r="C434" s="31"/>
      <c r="D434" s="32"/>
      <c r="E434" s="32"/>
      <c r="F434" s="32"/>
      <c r="G434" s="32"/>
      <c r="H434" s="10"/>
      <c r="I434" s="10"/>
      <c r="J434" s="10"/>
      <c r="K434" s="12"/>
      <c r="M434" s="10">
        <v>38</v>
      </c>
      <c r="N434" s="30"/>
      <c r="O434" s="31"/>
      <c r="P434" s="47"/>
      <c r="Q434" s="31"/>
      <c r="R434" s="31"/>
      <c r="S434" s="32">
        <f t="shared" si="136"/>
        <v>0</v>
      </c>
      <c r="T434" s="10"/>
      <c r="U434" s="10"/>
      <c r="V434" s="10"/>
      <c r="W434" s="12">
        <f t="shared" si="137"/>
        <v>0</v>
      </c>
      <c r="Y434" s="10">
        <v>38</v>
      </c>
      <c r="Z434" s="30"/>
      <c r="AA434" s="31"/>
      <c r="AB434" s="47"/>
      <c r="AC434" s="31"/>
      <c r="AD434" s="31"/>
      <c r="AE434" s="32">
        <f t="shared" si="131"/>
        <v>0</v>
      </c>
      <c r="AF434" s="10"/>
      <c r="AG434" s="10"/>
      <c r="AH434" s="10"/>
      <c r="AI434" s="12">
        <f t="shared" si="132"/>
        <v>0</v>
      </c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</row>
    <row r="435" spans="1:52" x14ac:dyDescent="0.25">
      <c r="A435" s="10"/>
      <c r="B435" s="30"/>
      <c r="C435" s="57"/>
      <c r="D435" s="32"/>
      <c r="E435" s="32"/>
      <c r="F435" s="32"/>
      <c r="G435" s="32"/>
      <c r="H435" s="10"/>
      <c r="I435" s="10"/>
      <c r="J435" s="10"/>
      <c r="K435" s="12"/>
      <c r="M435" s="10">
        <v>39</v>
      </c>
      <c r="N435" s="30"/>
      <c r="O435" s="31"/>
      <c r="P435" s="47"/>
      <c r="Q435" s="31"/>
      <c r="R435" s="31"/>
      <c r="S435" s="32">
        <f t="shared" si="136"/>
        <v>0</v>
      </c>
      <c r="T435" s="10"/>
      <c r="U435" s="10"/>
      <c r="V435" s="10"/>
      <c r="W435" s="12">
        <f t="shared" si="137"/>
        <v>0</v>
      </c>
      <c r="Y435" s="10">
        <v>39</v>
      </c>
      <c r="Z435" s="30"/>
      <c r="AA435" s="31"/>
      <c r="AB435" s="47"/>
      <c r="AC435" s="31"/>
      <c r="AD435" s="31"/>
      <c r="AE435" s="32">
        <f t="shared" si="131"/>
        <v>0</v>
      </c>
      <c r="AF435" s="10"/>
      <c r="AG435" s="10"/>
      <c r="AH435" s="10"/>
      <c r="AI435" s="12">
        <f t="shared" si="132"/>
        <v>0</v>
      </c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</row>
    <row r="436" spans="1:52" x14ac:dyDescent="0.25">
      <c r="A436" s="10"/>
      <c r="B436" s="30"/>
      <c r="C436" s="31"/>
      <c r="D436" s="32"/>
      <c r="E436" s="32"/>
      <c r="F436" s="32"/>
      <c r="G436" s="32"/>
      <c r="H436" s="10"/>
      <c r="I436" s="10"/>
      <c r="J436" s="10"/>
      <c r="K436" s="12"/>
      <c r="M436" s="10"/>
      <c r="N436" s="30"/>
      <c r="P436" s="47"/>
      <c r="Q436" s="31"/>
      <c r="R436" s="31"/>
      <c r="S436" s="32"/>
      <c r="T436" s="10"/>
      <c r="U436" s="10"/>
      <c r="V436" s="10"/>
      <c r="W436" s="12">
        <f t="shared" si="137"/>
        <v>0</v>
      </c>
      <c r="Y436" s="10"/>
      <c r="Z436" s="30"/>
      <c r="AB436" s="47"/>
      <c r="AC436" s="31"/>
      <c r="AD436" s="31"/>
      <c r="AE436" s="32"/>
      <c r="AF436" s="10"/>
      <c r="AG436" s="10"/>
      <c r="AH436" s="10"/>
      <c r="AI436" s="12">
        <f t="shared" si="132"/>
        <v>0</v>
      </c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</row>
    <row r="437" spans="1:52" x14ac:dyDescent="0.25">
      <c r="A437" s="10"/>
      <c r="B437" s="30"/>
      <c r="C437" s="31"/>
      <c r="D437" s="32"/>
      <c r="E437" s="32"/>
      <c r="F437" s="32"/>
      <c r="G437" s="32">
        <f t="shared" ref="G437" si="138">SUM(D437:E437)</f>
        <v>0</v>
      </c>
      <c r="H437" s="10"/>
      <c r="I437" s="10"/>
      <c r="J437" s="10"/>
      <c r="K437" s="12">
        <f t="shared" ref="K437" si="139">SUM(G437:J437)</f>
        <v>0</v>
      </c>
      <c r="M437" s="10"/>
      <c r="N437" s="30"/>
      <c r="O437" s="31"/>
      <c r="P437" s="47"/>
      <c r="Q437" s="31"/>
      <c r="R437" s="31"/>
      <c r="S437" s="32">
        <f t="shared" ref="S437" si="140">SUM(P437:Q437)</f>
        <v>0</v>
      </c>
      <c r="T437" s="10"/>
      <c r="U437" s="10"/>
      <c r="V437" s="10"/>
      <c r="W437" s="12">
        <f t="shared" si="137"/>
        <v>0</v>
      </c>
      <c r="Y437" s="10"/>
      <c r="Z437" s="30"/>
      <c r="AA437" s="31"/>
      <c r="AB437" s="47"/>
      <c r="AC437" s="31"/>
      <c r="AD437" s="31"/>
      <c r="AE437" s="32">
        <f t="shared" ref="AE437" si="141">SUM(AB437:AC437)</f>
        <v>0</v>
      </c>
      <c r="AF437" s="10"/>
      <c r="AG437" s="10"/>
      <c r="AH437" s="10"/>
      <c r="AI437" s="12">
        <f t="shared" si="132"/>
        <v>0</v>
      </c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</row>
    <row r="438" spans="1:52" x14ac:dyDescent="0.25">
      <c r="A438" s="10"/>
      <c r="B438" s="30"/>
      <c r="C438" s="30"/>
      <c r="D438" s="32"/>
      <c r="E438" s="32"/>
      <c r="F438" s="32"/>
      <c r="G438" s="32"/>
      <c r="H438" s="10"/>
      <c r="I438" s="10"/>
      <c r="J438" s="10"/>
      <c r="K438" s="12"/>
      <c r="M438" s="10"/>
      <c r="N438" s="31"/>
      <c r="O438" s="31"/>
      <c r="P438" s="31"/>
      <c r="Q438" s="31"/>
      <c r="R438" s="31"/>
      <c r="S438" s="31"/>
      <c r="T438" s="10"/>
      <c r="U438" s="10"/>
      <c r="V438" s="10"/>
      <c r="W438" s="12">
        <f t="shared" si="137"/>
        <v>0</v>
      </c>
      <c r="Y438" s="10"/>
      <c r="Z438" s="31"/>
      <c r="AA438" s="31"/>
      <c r="AB438" s="31"/>
      <c r="AC438" s="31"/>
      <c r="AD438" s="31"/>
      <c r="AE438" s="31"/>
      <c r="AF438" s="10"/>
      <c r="AG438" s="10"/>
      <c r="AH438" s="10"/>
      <c r="AI438" s="12">
        <f t="shared" si="132"/>
        <v>0</v>
      </c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</row>
    <row r="439" spans="1:52" x14ac:dyDescent="0.25">
      <c r="B439" s="57"/>
      <c r="C439" s="57"/>
      <c r="D439" s="36"/>
      <c r="E439" s="36"/>
      <c r="F439" s="36"/>
      <c r="G439" s="36"/>
      <c r="H439" s="37"/>
      <c r="I439" s="37"/>
      <c r="J439" s="37"/>
      <c r="K439" s="37"/>
      <c r="N439" s="57"/>
      <c r="O439" s="57"/>
      <c r="P439" s="36"/>
      <c r="Q439" s="36"/>
      <c r="R439" s="36"/>
      <c r="S439" s="36"/>
      <c r="T439" s="37"/>
      <c r="U439" s="37"/>
      <c r="V439" s="37"/>
      <c r="W439" s="37"/>
      <c r="Z439" s="57"/>
      <c r="AA439" s="57"/>
      <c r="AB439" s="36"/>
      <c r="AC439" s="36"/>
      <c r="AD439" s="36"/>
      <c r="AE439" s="36"/>
      <c r="AF439" s="37"/>
      <c r="AG439" s="37"/>
      <c r="AH439" s="37"/>
      <c r="AI439" s="37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</row>
    <row r="440" spans="1:52" x14ac:dyDescent="0.25">
      <c r="B440" s="57"/>
      <c r="C440" s="57"/>
      <c r="D440" s="38">
        <f>SUM(D397:D439)</f>
        <v>67271</v>
      </c>
      <c r="E440" s="38">
        <f t="shared" ref="E440:F440" si="142">SUM(E397:E437)</f>
        <v>0</v>
      </c>
      <c r="F440" s="38">
        <f t="shared" si="142"/>
        <v>0</v>
      </c>
      <c r="G440" s="38">
        <f>SUM(G397:G439)</f>
        <v>67271</v>
      </c>
      <c r="H440" s="4"/>
      <c r="I440" s="39">
        <f>SUM(I397:I439)</f>
        <v>165</v>
      </c>
      <c r="J440" s="39">
        <f>SUM(J397:J439)</f>
        <v>0</v>
      </c>
      <c r="K440" s="40">
        <f>SUM(K397:K439)</f>
        <v>67436</v>
      </c>
      <c r="N440" s="57"/>
      <c r="O440" s="57"/>
      <c r="P440" s="38">
        <f>SUM(P397:P439)</f>
        <v>163422.5</v>
      </c>
      <c r="Q440" s="38">
        <f>SUM(Q397:Q421)</f>
        <v>-1971</v>
      </c>
      <c r="R440" s="38">
        <f>SUM(R397:R421)</f>
        <v>0</v>
      </c>
      <c r="S440" s="38">
        <f>SUM(S397:S439)</f>
        <v>161451.5</v>
      </c>
      <c r="T440" s="4"/>
      <c r="U440" s="41">
        <f>SUM(U397:U439)</f>
        <v>5133</v>
      </c>
      <c r="V440" s="41">
        <f>SUM(V397:V421)</f>
        <v>-546</v>
      </c>
      <c r="W440" s="42">
        <f>SUM(W397:W439)</f>
        <v>166038.5</v>
      </c>
      <c r="Z440" s="57"/>
      <c r="AA440" s="57"/>
      <c r="AB440" s="38">
        <f>SUM(AB397:AB439)</f>
        <v>292308</v>
      </c>
      <c r="AC440" s="38">
        <f>SUM(AC397:AC421)</f>
        <v>-312</v>
      </c>
      <c r="AD440" s="38">
        <f>SUM(AD397:AD421)</f>
        <v>0</v>
      </c>
      <c r="AE440" s="38">
        <f>SUM(AE397:AE439)</f>
        <v>291996</v>
      </c>
      <c r="AF440" s="4"/>
      <c r="AG440" s="41">
        <f>SUM(AG397:AG439)</f>
        <v>26059</v>
      </c>
      <c r="AH440" s="41">
        <f>SUM(AH397:AH421)</f>
        <v>0</v>
      </c>
      <c r="AI440" s="42">
        <f>SUM(AI397:AI439)</f>
        <v>318055</v>
      </c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</row>
    <row r="441" spans="1:52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</row>
    <row r="442" spans="1:52" x14ac:dyDescent="0.25">
      <c r="A442" t="s">
        <v>0</v>
      </c>
      <c r="B442" s="57"/>
      <c r="C442" s="57"/>
      <c r="D442" s="57"/>
      <c r="E442" s="57"/>
      <c r="G442" s="57"/>
      <c r="M442" t="s">
        <v>0</v>
      </c>
      <c r="N442" s="57"/>
      <c r="O442" s="57"/>
      <c r="P442" s="57"/>
      <c r="Q442" s="57"/>
      <c r="R442" s="57"/>
      <c r="S442" s="57"/>
      <c r="Y442" t="s">
        <v>0</v>
      </c>
      <c r="Z442" s="57"/>
      <c r="AA442" s="57"/>
      <c r="AB442" s="57"/>
      <c r="AC442" s="57"/>
      <c r="AD442" s="57"/>
      <c r="AE442" s="57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</row>
    <row r="443" spans="1:52" x14ac:dyDescent="0.25">
      <c r="A443" t="s">
        <v>29</v>
      </c>
      <c r="B443" s="57"/>
      <c r="C443" s="57"/>
      <c r="D443" s="57"/>
      <c r="E443" s="57"/>
      <c r="G443" s="57"/>
      <c r="M443" t="s">
        <v>29</v>
      </c>
      <c r="N443" s="57"/>
      <c r="O443" s="57"/>
      <c r="P443" s="57"/>
      <c r="Q443" s="57"/>
      <c r="R443" s="57"/>
      <c r="S443" s="57"/>
      <c r="Y443" t="s">
        <v>29</v>
      </c>
      <c r="Z443" s="57"/>
      <c r="AA443" s="57"/>
      <c r="AB443" s="57"/>
      <c r="AC443" s="57"/>
      <c r="AD443" s="57"/>
      <c r="AE443" s="57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</row>
    <row r="444" spans="1:52" x14ac:dyDescent="0.25">
      <c r="B444" s="57"/>
      <c r="C444" s="57"/>
      <c r="D444" s="57"/>
      <c r="E444" s="57"/>
      <c r="G444" s="57"/>
      <c r="N444" s="57"/>
      <c r="O444" s="57"/>
      <c r="P444" s="57"/>
      <c r="Q444" s="57"/>
      <c r="R444" s="57"/>
      <c r="S444" s="57"/>
      <c r="Z444" s="57"/>
      <c r="AA444" s="57"/>
      <c r="AB444" s="57"/>
      <c r="AC444" s="57"/>
      <c r="AD444" s="57"/>
      <c r="AE444" s="57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</row>
    <row r="445" spans="1:52" x14ac:dyDescent="0.25">
      <c r="A445" s="4" t="s">
        <v>15</v>
      </c>
      <c r="B445" s="57"/>
      <c r="C445" s="57"/>
      <c r="D445" s="57"/>
      <c r="E445" s="57"/>
      <c r="G445" s="57"/>
      <c r="M445" s="4" t="s">
        <v>15</v>
      </c>
      <c r="N445" s="57"/>
      <c r="O445" s="57"/>
      <c r="P445" s="57"/>
      <c r="Q445" s="57"/>
      <c r="R445" s="57"/>
      <c r="S445" s="57"/>
      <c r="Y445" s="4" t="s">
        <v>15</v>
      </c>
      <c r="Z445" s="57"/>
      <c r="AA445" s="57"/>
      <c r="AB445" s="57"/>
      <c r="AC445" s="57"/>
      <c r="AD445" s="57"/>
      <c r="AE445" s="57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</row>
    <row r="446" spans="1:52" x14ac:dyDescent="0.25">
      <c r="B446" s="57"/>
      <c r="C446" s="57"/>
      <c r="D446" s="57"/>
      <c r="E446" s="57"/>
      <c r="G446" s="57"/>
      <c r="N446" s="57"/>
      <c r="O446" s="57"/>
      <c r="P446" s="57"/>
      <c r="Q446" s="57"/>
      <c r="R446" s="57"/>
      <c r="S446" s="57"/>
      <c r="Z446" s="57"/>
      <c r="AA446" s="57"/>
      <c r="AB446" s="57"/>
      <c r="AC446" s="57"/>
      <c r="AD446" s="57"/>
      <c r="AE446" s="57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</row>
    <row r="447" spans="1:52" ht="15.75" x14ac:dyDescent="0.25">
      <c r="A447" t="s">
        <v>47</v>
      </c>
      <c r="B447" s="57"/>
      <c r="C447" s="57"/>
      <c r="D447" s="57"/>
      <c r="E447" s="57"/>
      <c r="G447" s="57"/>
      <c r="I447" s="57" t="s">
        <v>16</v>
      </c>
      <c r="J447" s="19">
        <v>1</v>
      </c>
      <c r="M447" t="s">
        <v>47</v>
      </c>
      <c r="N447" s="57"/>
      <c r="O447" s="57"/>
      <c r="P447" s="57"/>
      <c r="Q447" s="57"/>
      <c r="R447" s="57"/>
      <c r="S447" s="57"/>
      <c r="U447" s="57" t="s">
        <v>16</v>
      </c>
      <c r="V447" s="19">
        <v>2</v>
      </c>
      <c r="Y447" t="s">
        <v>47</v>
      </c>
      <c r="Z447" s="57"/>
      <c r="AA447" s="57"/>
      <c r="AB447" s="57"/>
      <c r="AC447" s="57"/>
      <c r="AD447" s="57"/>
      <c r="AE447" s="57"/>
      <c r="AG447" s="57" t="s">
        <v>16</v>
      </c>
      <c r="AH447" s="20">
        <v>3</v>
      </c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</row>
    <row r="448" spans="1:52" x14ac:dyDescent="0.25">
      <c r="A448" s="21" t="s">
        <v>60</v>
      </c>
      <c r="B448" s="20"/>
      <c r="C448" s="57"/>
      <c r="D448" s="57"/>
      <c r="E448" s="57"/>
      <c r="G448" s="57"/>
      <c r="I448" s="22" t="s">
        <v>17</v>
      </c>
      <c r="J448" s="23" t="s">
        <v>33</v>
      </c>
      <c r="K448" s="24"/>
      <c r="M448" s="21" t="s">
        <v>60</v>
      </c>
      <c r="N448" s="20"/>
      <c r="O448" s="57"/>
      <c r="P448" s="57"/>
      <c r="Q448" s="57"/>
      <c r="R448" s="57"/>
      <c r="S448" s="57"/>
      <c r="U448" s="22" t="s">
        <v>17</v>
      </c>
      <c r="V448" s="23" t="s">
        <v>34</v>
      </c>
      <c r="W448" s="24"/>
      <c r="Y448" s="21" t="s">
        <v>60</v>
      </c>
      <c r="Z448" s="20"/>
      <c r="AA448" s="57"/>
      <c r="AB448" s="57"/>
      <c r="AC448" s="57"/>
      <c r="AD448" s="57"/>
      <c r="AE448" s="57"/>
      <c r="AG448" s="22" t="s">
        <v>17</v>
      </c>
      <c r="AH448" s="23" t="s">
        <v>35</v>
      </c>
      <c r="AI448" s="24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</row>
    <row r="449" spans="1:52" x14ac:dyDescent="0.25">
      <c r="B449" s="57"/>
      <c r="C449" s="57"/>
      <c r="D449" s="57"/>
      <c r="E449" s="57"/>
      <c r="G449" s="57"/>
      <c r="N449" s="57"/>
      <c r="O449" s="57"/>
      <c r="P449" s="57"/>
      <c r="Q449" s="57"/>
      <c r="R449" s="57"/>
      <c r="S449" s="57"/>
      <c r="Z449" s="57"/>
      <c r="AA449" s="57"/>
      <c r="AB449" s="57"/>
      <c r="AC449" s="57"/>
      <c r="AD449" s="57"/>
      <c r="AE449" s="57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</row>
    <row r="450" spans="1:52" x14ac:dyDescent="0.25">
      <c r="B450" s="25"/>
      <c r="C450" s="26"/>
      <c r="D450" s="121" t="s">
        <v>18</v>
      </c>
      <c r="E450" s="121"/>
      <c r="F450" s="100"/>
      <c r="G450" s="27"/>
      <c r="I450" s="119" t="s">
        <v>19</v>
      </c>
      <c r="J450" s="120"/>
      <c r="K450" s="117" t="s">
        <v>20</v>
      </c>
      <c r="N450" s="25"/>
      <c r="O450" s="26"/>
      <c r="P450" s="121" t="s">
        <v>18</v>
      </c>
      <c r="Q450" s="121"/>
      <c r="R450" s="101"/>
      <c r="S450" s="27"/>
      <c r="U450" s="119" t="s">
        <v>19</v>
      </c>
      <c r="V450" s="120"/>
      <c r="W450" s="117" t="s">
        <v>20</v>
      </c>
      <c r="Z450" s="25"/>
      <c r="AA450" s="26"/>
      <c r="AB450" s="121" t="s">
        <v>18</v>
      </c>
      <c r="AC450" s="121"/>
      <c r="AD450" s="102"/>
      <c r="AE450" s="27"/>
      <c r="AG450" s="119" t="s">
        <v>19</v>
      </c>
      <c r="AH450" s="120"/>
      <c r="AI450" s="117" t="s">
        <v>20</v>
      </c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</row>
    <row r="451" spans="1:52" ht="30" x14ac:dyDescent="0.25">
      <c r="B451" s="28" t="s">
        <v>21</v>
      </c>
      <c r="C451" s="28" t="s">
        <v>22</v>
      </c>
      <c r="D451" s="83" t="s">
        <v>23</v>
      </c>
      <c r="E451" s="82" t="s">
        <v>24</v>
      </c>
      <c r="F451" s="84" t="s">
        <v>36</v>
      </c>
      <c r="G451" s="84" t="s">
        <v>25</v>
      </c>
      <c r="I451" s="29" t="s">
        <v>26</v>
      </c>
      <c r="J451" s="29" t="s">
        <v>27</v>
      </c>
      <c r="K451" s="118"/>
      <c r="N451" s="28" t="s">
        <v>21</v>
      </c>
      <c r="O451" s="28" t="s">
        <v>22</v>
      </c>
      <c r="P451" s="83" t="s">
        <v>23</v>
      </c>
      <c r="Q451" s="84" t="s">
        <v>24</v>
      </c>
      <c r="R451" s="84" t="s">
        <v>36</v>
      </c>
      <c r="S451" s="84" t="s">
        <v>25</v>
      </c>
      <c r="U451" s="29" t="s">
        <v>26</v>
      </c>
      <c r="V451" s="29" t="s">
        <v>27</v>
      </c>
      <c r="W451" s="118"/>
      <c r="Z451" s="28" t="s">
        <v>21</v>
      </c>
      <c r="AA451" s="28" t="s">
        <v>22</v>
      </c>
      <c r="AB451" s="83" t="s">
        <v>23</v>
      </c>
      <c r="AC451" s="84" t="s">
        <v>24</v>
      </c>
      <c r="AD451" s="84" t="s">
        <v>36</v>
      </c>
      <c r="AE451" s="84" t="s">
        <v>25</v>
      </c>
      <c r="AG451" s="29" t="s">
        <v>26</v>
      </c>
      <c r="AH451" s="29" t="s">
        <v>27</v>
      </c>
      <c r="AI451" s="118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</row>
    <row r="452" spans="1:52" x14ac:dyDescent="0.25">
      <c r="A452" s="10">
        <v>1</v>
      </c>
      <c r="B452" s="30">
        <v>45999</v>
      </c>
      <c r="C452" s="31">
        <v>5043</v>
      </c>
      <c r="D452" s="32">
        <f>6500+2500+9750+1300+5000+3525+3334+18420+4565+6740</f>
        <v>61634</v>
      </c>
      <c r="E452" s="32"/>
      <c r="F452" s="32"/>
      <c r="G452" s="32">
        <f t="shared" ref="G452:G485" si="143">SUM(D452:E452)</f>
        <v>61634</v>
      </c>
      <c r="H452" s="12"/>
      <c r="I452" s="12">
        <f>600+1200+3330+600+1110+4200+2400+1200+120+5550+600</f>
        <v>20910</v>
      </c>
      <c r="J452" s="12"/>
      <c r="K452" s="12">
        <f t="shared" ref="K452:K485" si="144">SUM(G452:J452)</f>
        <v>82544</v>
      </c>
      <c r="M452" s="10">
        <v>1</v>
      </c>
      <c r="N452" s="30">
        <v>45999</v>
      </c>
      <c r="O452" s="31">
        <v>5111</v>
      </c>
      <c r="P452" s="32">
        <f>3756+57</f>
        <v>3813</v>
      </c>
      <c r="Q452" s="32"/>
      <c r="R452" s="32"/>
      <c r="S452" s="32">
        <f>SUM(P452:Q452)</f>
        <v>3813</v>
      </c>
      <c r="T452" s="12"/>
      <c r="U452" s="12"/>
      <c r="V452" s="12"/>
      <c r="W452" s="12">
        <f>SUM(S452:V452)</f>
        <v>3813</v>
      </c>
      <c r="Y452" s="10">
        <v>1</v>
      </c>
      <c r="Z452" s="30">
        <v>45999</v>
      </c>
      <c r="AA452" s="31">
        <v>4892</v>
      </c>
      <c r="AB452" s="32">
        <f>37560+3070+5960+687</f>
        <v>47277</v>
      </c>
      <c r="AC452" s="32">
        <v>-468</v>
      </c>
      <c r="AD452" s="32"/>
      <c r="AE452" s="32">
        <f>SUM(AB452:AC452)</f>
        <v>46809</v>
      </c>
      <c r="AF452" s="12"/>
      <c r="AG452" s="12"/>
      <c r="AH452" s="12"/>
      <c r="AI452" s="12">
        <f>SUM(AE452:AH452)</f>
        <v>46809</v>
      </c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</row>
    <row r="453" spans="1:52" x14ac:dyDescent="0.25">
      <c r="A453" s="10">
        <v>2</v>
      </c>
      <c r="B453" s="30">
        <v>45999</v>
      </c>
      <c r="C453" s="31">
        <f>C452+1</f>
        <v>5044</v>
      </c>
      <c r="D453" s="32">
        <f>29120+2204+1142+16640+2204+2350+10050+1582+1102</f>
        <v>66394</v>
      </c>
      <c r="E453" s="32"/>
      <c r="F453" s="32"/>
      <c r="G453" s="32">
        <f t="shared" si="143"/>
        <v>66394</v>
      </c>
      <c r="H453" s="12"/>
      <c r="I453" s="12">
        <v>120</v>
      </c>
      <c r="J453" s="12"/>
      <c r="K453" s="12">
        <f t="shared" si="144"/>
        <v>66514</v>
      </c>
      <c r="M453" s="10">
        <v>2</v>
      </c>
      <c r="N453" s="30">
        <v>45999</v>
      </c>
      <c r="O453" s="31">
        <f>O452+1</f>
        <v>5112</v>
      </c>
      <c r="P453" s="32">
        <f>5008+596+76</f>
        <v>5680</v>
      </c>
      <c r="Q453" s="32"/>
      <c r="R453" s="32"/>
      <c r="S453" s="32">
        <f t="shared" ref="S453:S466" si="145">SUM(P453:Q453)</f>
        <v>5680</v>
      </c>
      <c r="T453" s="12"/>
      <c r="U453" s="12"/>
      <c r="V453" s="12"/>
      <c r="W453" s="12">
        <f t="shared" ref="W453:W466" si="146">SUM(S453:V453)</f>
        <v>5680</v>
      </c>
      <c r="Y453" s="10">
        <v>2</v>
      </c>
      <c r="Z453" s="30">
        <v>45999</v>
      </c>
      <c r="AA453" s="31">
        <f>AA452+1</f>
        <v>4893</v>
      </c>
      <c r="AB453" s="32">
        <f>187800+1348+9130+17880+8520+2010+8320+2500+7500</f>
        <v>245008</v>
      </c>
      <c r="AC453" s="32"/>
      <c r="AD453" s="32"/>
      <c r="AE453" s="32">
        <f t="shared" ref="AE453:AE490" si="147">SUM(AB453:AC453)</f>
        <v>245008</v>
      </c>
      <c r="AF453" s="12"/>
      <c r="AG453" s="12">
        <f>120*116+111*332</f>
        <v>50772</v>
      </c>
      <c r="AH453" s="12">
        <f>-1554+-120+-36540</f>
        <v>-38214</v>
      </c>
      <c r="AI453" s="12">
        <f t="shared" ref="AI453:AI493" si="148">SUM(AE453:AH453)</f>
        <v>257566</v>
      </c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</row>
    <row r="454" spans="1:52" x14ac:dyDescent="0.25">
      <c r="A454" s="10">
        <v>3</v>
      </c>
      <c r="B454" s="30">
        <v>45999</v>
      </c>
      <c r="C454" s="31">
        <f t="shared" ref="C454:C469" si="149">C453+1</f>
        <v>5045</v>
      </c>
      <c r="D454" s="33">
        <f>1447+29800+4260+1582</f>
        <v>37089</v>
      </c>
      <c r="E454" s="33"/>
      <c r="F454" s="33"/>
      <c r="G454" s="33">
        <f t="shared" si="143"/>
        <v>37089</v>
      </c>
      <c r="H454" s="34"/>
      <c r="I454" s="34"/>
      <c r="J454" s="34">
        <f>-1332+-588+-4788+-2016+-17640</f>
        <v>-26364</v>
      </c>
      <c r="K454" s="34">
        <f t="shared" si="144"/>
        <v>10725</v>
      </c>
      <c r="M454" s="10">
        <v>3</v>
      </c>
      <c r="N454" s="30">
        <v>45999</v>
      </c>
      <c r="O454" s="31">
        <f t="shared" ref="O454:O460" si="150">O453+1</f>
        <v>5113</v>
      </c>
      <c r="P454" s="32">
        <f>5008+614+76</f>
        <v>5698</v>
      </c>
      <c r="Q454" s="32"/>
      <c r="R454" s="32"/>
      <c r="S454" s="32">
        <f t="shared" si="145"/>
        <v>5698</v>
      </c>
      <c r="T454" s="12"/>
      <c r="U454" s="12">
        <v>13.5</v>
      </c>
      <c r="V454" s="12"/>
      <c r="W454" s="12">
        <f t="shared" si="146"/>
        <v>5711.5</v>
      </c>
      <c r="Y454" s="10">
        <v>3</v>
      </c>
      <c r="Z454" s="30">
        <v>45999</v>
      </c>
      <c r="AA454" s="31">
        <f t="shared" ref="AA454:AA457" si="151">AA453+1</f>
        <v>4894</v>
      </c>
      <c r="AB454" s="33">
        <f>1447+1172+2350+1167+2204+3525+5510+3250+13000</f>
        <v>33625</v>
      </c>
      <c r="AC454" s="33"/>
      <c r="AD454" s="32"/>
      <c r="AE454" s="32">
        <f t="shared" si="147"/>
        <v>33625</v>
      </c>
      <c r="AF454" s="12"/>
      <c r="AG454" s="12"/>
      <c r="AH454" s="12"/>
      <c r="AI454" s="12">
        <f t="shared" si="148"/>
        <v>33625</v>
      </c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</row>
    <row r="455" spans="1:52" x14ac:dyDescent="0.25">
      <c r="A455" s="10">
        <v>4</v>
      </c>
      <c r="B455" s="30">
        <v>45999</v>
      </c>
      <c r="C455" s="31">
        <v>5051</v>
      </c>
      <c r="D455" s="32">
        <f>1878+596+38</f>
        <v>2512</v>
      </c>
      <c r="E455" s="32"/>
      <c r="F455" s="32"/>
      <c r="G455" s="32">
        <f t="shared" si="143"/>
        <v>2512</v>
      </c>
      <c r="H455" s="12"/>
      <c r="I455" s="12"/>
      <c r="J455" s="12"/>
      <c r="K455" s="12">
        <f t="shared" si="144"/>
        <v>2512</v>
      </c>
      <c r="M455" s="10">
        <v>4</v>
      </c>
      <c r="N455" s="30">
        <v>45999</v>
      </c>
      <c r="O455" s="31">
        <f t="shared" si="150"/>
        <v>5114</v>
      </c>
      <c r="P455" s="32">
        <f>5634+1192+1252</f>
        <v>8078</v>
      </c>
      <c r="Q455" s="32"/>
      <c r="R455" s="32"/>
      <c r="S455" s="32">
        <f t="shared" si="145"/>
        <v>8078</v>
      </c>
      <c r="T455" s="12"/>
      <c r="U455" s="12"/>
      <c r="V455" s="12"/>
      <c r="W455" s="12">
        <f t="shared" si="146"/>
        <v>8078</v>
      </c>
      <c r="Y455" s="10">
        <v>4</v>
      </c>
      <c r="Z455" s="30">
        <v>45999</v>
      </c>
      <c r="AA455" s="31">
        <f t="shared" si="151"/>
        <v>4895</v>
      </c>
      <c r="AB455" s="32">
        <f>1142+5510+4550</f>
        <v>11202</v>
      </c>
      <c r="AC455" s="32"/>
      <c r="AD455" s="32"/>
      <c r="AE455" s="32">
        <f t="shared" si="147"/>
        <v>11202</v>
      </c>
      <c r="AF455" s="12"/>
      <c r="AH455" s="12"/>
      <c r="AI455" s="12">
        <f t="shared" si="148"/>
        <v>11202</v>
      </c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</row>
    <row r="456" spans="1:52" x14ac:dyDescent="0.25">
      <c r="A456" s="10">
        <v>5</v>
      </c>
      <c r="B456" s="30">
        <v>45999</v>
      </c>
      <c r="C456" s="31">
        <f t="shared" si="149"/>
        <v>5052</v>
      </c>
      <c r="D456" s="32">
        <f>3130+48</f>
        <v>3178</v>
      </c>
      <c r="E456" s="32"/>
      <c r="F456" s="32"/>
      <c r="G456" s="32">
        <f t="shared" si="143"/>
        <v>3178</v>
      </c>
      <c r="H456" s="12"/>
      <c r="I456" s="12"/>
      <c r="J456" s="12"/>
      <c r="K456" s="12">
        <f t="shared" si="144"/>
        <v>3178</v>
      </c>
      <c r="M456" s="10">
        <v>5</v>
      </c>
      <c r="N456" s="30">
        <v>45999</v>
      </c>
      <c r="O456" s="31">
        <f t="shared" si="150"/>
        <v>5115</v>
      </c>
      <c r="P456" s="32">
        <f>1252+19</f>
        <v>1271</v>
      </c>
      <c r="Q456" s="32"/>
      <c r="R456" s="32"/>
      <c r="S456" s="32">
        <f t="shared" si="145"/>
        <v>1271</v>
      </c>
      <c r="T456" s="12"/>
      <c r="U456" s="12"/>
      <c r="V456" s="12"/>
      <c r="W456" s="12">
        <f t="shared" si="146"/>
        <v>1271</v>
      </c>
      <c r="Y456" s="10">
        <v>5</v>
      </c>
      <c r="Z456" s="30">
        <v>45999</v>
      </c>
      <c r="AA456" s="31">
        <f t="shared" si="151"/>
        <v>4896</v>
      </c>
      <c r="AB456" s="32">
        <f>112680+11920+1374</f>
        <v>125974</v>
      </c>
      <c r="AC456" s="32">
        <v>-1236</v>
      </c>
      <c r="AD456" s="32"/>
      <c r="AE456" s="32">
        <f t="shared" si="147"/>
        <v>124738</v>
      </c>
      <c r="AF456" s="12"/>
      <c r="AG456" s="12"/>
      <c r="AH456" s="12"/>
      <c r="AI456" s="12">
        <f t="shared" si="148"/>
        <v>124738</v>
      </c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</row>
    <row r="457" spans="1:52" x14ac:dyDescent="0.25">
      <c r="A457" s="10">
        <v>6</v>
      </c>
      <c r="B457" s="30">
        <v>45999</v>
      </c>
      <c r="C457" s="31">
        <f t="shared" si="149"/>
        <v>5053</v>
      </c>
      <c r="D457" s="32">
        <f>2504+614+38</f>
        <v>3156</v>
      </c>
      <c r="E457" s="32"/>
      <c r="F457" s="32"/>
      <c r="G457" s="32">
        <f t="shared" si="143"/>
        <v>3156</v>
      </c>
      <c r="H457" s="12"/>
      <c r="I457" s="12"/>
      <c r="J457" s="12"/>
      <c r="K457" s="12">
        <f t="shared" si="144"/>
        <v>3156</v>
      </c>
      <c r="M457" s="10">
        <v>6</v>
      </c>
      <c r="N457" s="30">
        <v>45999</v>
      </c>
      <c r="O457" s="31">
        <f t="shared" si="150"/>
        <v>5116</v>
      </c>
      <c r="P457" s="32">
        <f>31300+458</f>
        <v>31758</v>
      </c>
      <c r="Q457" s="32">
        <v>-416</v>
      </c>
      <c r="R457" s="32"/>
      <c r="S457" s="32">
        <f t="shared" si="145"/>
        <v>31342</v>
      </c>
      <c r="T457" s="12"/>
      <c r="U457" s="12">
        <v>72</v>
      </c>
      <c r="V457" s="10"/>
      <c r="W457" s="12">
        <f t="shared" si="146"/>
        <v>31414</v>
      </c>
      <c r="Y457" s="10">
        <v>6</v>
      </c>
      <c r="Z457" s="30">
        <v>45999</v>
      </c>
      <c r="AA457" s="31">
        <f t="shared" si="151"/>
        <v>4897</v>
      </c>
      <c r="AB457" s="32">
        <f>4382+1788+95</f>
        <v>6265</v>
      </c>
      <c r="AC457" s="32"/>
      <c r="AD457" s="32"/>
      <c r="AE457" s="32">
        <f t="shared" si="147"/>
        <v>6265</v>
      </c>
      <c r="AF457" s="12"/>
      <c r="AG457" s="12">
        <v>22</v>
      </c>
      <c r="AH457" s="10"/>
      <c r="AI457" s="12">
        <f t="shared" si="148"/>
        <v>6287</v>
      </c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</row>
    <row r="458" spans="1:52" x14ac:dyDescent="0.25">
      <c r="A458" s="10">
        <v>7</v>
      </c>
      <c r="B458" s="30">
        <v>45999</v>
      </c>
      <c r="C458" s="31">
        <f t="shared" si="149"/>
        <v>5054</v>
      </c>
      <c r="D458" s="32">
        <f>1252+19</f>
        <v>1271</v>
      </c>
      <c r="E458" s="32"/>
      <c r="F458" s="32"/>
      <c r="G458" s="32">
        <f t="shared" si="143"/>
        <v>1271</v>
      </c>
      <c r="H458" s="12"/>
      <c r="I458" s="12"/>
      <c r="J458" s="12"/>
      <c r="K458" s="12">
        <f t="shared" si="144"/>
        <v>1271</v>
      </c>
      <c r="M458" s="10">
        <v>7</v>
      </c>
      <c r="N458" s="30">
        <v>45999</v>
      </c>
      <c r="O458" s="31">
        <f t="shared" si="150"/>
        <v>5117</v>
      </c>
      <c r="P458" s="32">
        <f>43820</f>
        <v>43820</v>
      </c>
      <c r="Q458" s="32">
        <v>-560</v>
      </c>
      <c r="R458" s="32"/>
      <c r="S458" s="32">
        <f t="shared" si="145"/>
        <v>43260</v>
      </c>
      <c r="T458" s="12"/>
      <c r="U458" s="12"/>
      <c r="V458" s="12"/>
      <c r="W458" s="12">
        <f t="shared" si="146"/>
        <v>43260</v>
      </c>
      <c r="Y458" s="10">
        <v>7</v>
      </c>
      <c r="Z458" s="30"/>
      <c r="AA458" s="11" t="s">
        <v>28</v>
      </c>
      <c r="AB458" s="32"/>
      <c r="AC458" s="32"/>
      <c r="AD458" s="32"/>
      <c r="AE458" s="32">
        <f t="shared" si="147"/>
        <v>0</v>
      </c>
      <c r="AF458" s="12"/>
      <c r="AG458" s="58"/>
      <c r="AH458" s="12"/>
      <c r="AI458" s="12">
        <f t="shared" si="148"/>
        <v>0</v>
      </c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</row>
    <row r="459" spans="1:52" x14ac:dyDescent="0.25">
      <c r="A459" s="10">
        <v>8</v>
      </c>
      <c r="B459" s="30">
        <v>45999</v>
      </c>
      <c r="C459" s="31">
        <f t="shared" si="149"/>
        <v>5055</v>
      </c>
      <c r="D459" s="32">
        <f>6260+95</f>
        <v>6355</v>
      </c>
      <c r="E459" s="32"/>
      <c r="F459" s="32"/>
      <c r="G459" s="32">
        <f t="shared" si="143"/>
        <v>6355</v>
      </c>
      <c r="H459" s="12"/>
      <c r="I459" s="12"/>
      <c r="J459" s="12"/>
      <c r="K459" s="12">
        <f t="shared" si="144"/>
        <v>6355</v>
      </c>
      <c r="M459" s="10">
        <v>8</v>
      </c>
      <c r="N459" s="30">
        <v>45999</v>
      </c>
      <c r="O459" s="31">
        <f t="shared" si="150"/>
        <v>5118</v>
      </c>
      <c r="P459" s="32">
        <f>5634+85.5</f>
        <v>5719.5</v>
      </c>
      <c r="Q459" s="32"/>
      <c r="R459" s="32"/>
      <c r="S459" s="32">
        <f t="shared" si="145"/>
        <v>5719.5</v>
      </c>
      <c r="T459" s="12"/>
      <c r="U459" s="12"/>
      <c r="V459" s="12"/>
      <c r="W459" s="12">
        <f t="shared" si="146"/>
        <v>5719.5</v>
      </c>
      <c r="Y459" s="10">
        <v>8</v>
      </c>
      <c r="Z459" s="30"/>
      <c r="AA459" s="31"/>
      <c r="AB459" s="32"/>
      <c r="AC459" s="32"/>
      <c r="AE459" s="32">
        <f t="shared" si="147"/>
        <v>0</v>
      </c>
      <c r="AF459" s="12"/>
      <c r="AG459" s="12"/>
      <c r="AH459" s="12"/>
      <c r="AI459" s="12">
        <f t="shared" si="148"/>
        <v>0</v>
      </c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</row>
    <row r="460" spans="1:52" x14ac:dyDescent="0.25">
      <c r="A460" s="10">
        <v>9</v>
      </c>
      <c r="B460" s="30">
        <v>45999</v>
      </c>
      <c r="C460" s="31">
        <f t="shared" si="149"/>
        <v>5056</v>
      </c>
      <c r="D460" s="32">
        <f>7512+114</f>
        <v>7626</v>
      </c>
      <c r="E460" s="32"/>
      <c r="F460" s="32"/>
      <c r="G460" s="32">
        <f t="shared" si="143"/>
        <v>7626</v>
      </c>
      <c r="H460" s="12"/>
      <c r="I460" s="12"/>
      <c r="J460" s="12"/>
      <c r="K460" s="12">
        <f t="shared" si="144"/>
        <v>7626</v>
      </c>
      <c r="M460" s="10">
        <v>9</v>
      </c>
      <c r="N460" s="30">
        <v>45999</v>
      </c>
      <c r="O460" s="31">
        <f t="shared" si="150"/>
        <v>5119</v>
      </c>
      <c r="P460" s="32">
        <f>4382+674</f>
        <v>5056</v>
      </c>
      <c r="Q460" s="32"/>
      <c r="R460" s="32"/>
      <c r="S460" s="32">
        <f t="shared" si="145"/>
        <v>5056</v>
      </c>
      <c r="T460" s="12"/>
      <c r="U460" s="12"/>
      <c r="V460" s="12"/>
      <c r="W460" s="12">
        <f t="shared" si="146"/>
        <v>5056</v>
      </c>
      <c r="Y460" s="10">
        <v>9</v>
      </c>
      <c r="Z460" s="30"/>
      <c r="AA460" s="31"/>
      <c r="AC460" s="32"/>
      <c r="AD460" s="32"/>
      <c r="AE460" s="32">
        <f t="shared" si="147"/>
        <v>0</v>
      </c>
      <c r="AF460" s="12"/>
      <c r="AH460" s="12"/>
      <c r="AI460" s="12">
        <f t="shared" si="148"/>
        <v>0</v>
      </c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</row>
    <row r="461" spans="1:52" x14ac:dyDescent="0.25">
      <c r="A461" s="10">
        <v>10</v>
      </c>
      <c r="B461" s="30">
        <v>45999</v>
      </c>
      <c r="C461" s="31">
        <f t="shared" si="149"/>
        <v>5057</v>
      </c>
      <c r="D461" s="32">
        <f>27544+229</f>
        <v>27773</v>
      </c>
      <c r="E461" s="32"/>
      <c r="F461" s="32"/>
      <c r="G461" s="32">
        <f t="shared" si="143"/>
        <v>27773</v>
      </c>
      <c r="H461" s="12"/>
      <c r="I461" s="12"/>
      <c r="J461" s="12"/>
      <c r="K461" s="12">
        <f t="shared" si="144"/>
        <v>27773</v>
      </c>
      <c r="M461" s="10">
        <v>10</v>
      </c>
      <c r="N461" s="30"/>
      <c r="O461" s="11" t="s">
        <v>28</v>
      </c>
      <c r="P461" s="32"/>
      <c r="Q461" s="32"/>
      <c r="R461" s="32"/>
      <c r="S461" s="32">
        <f t="shared" si="145"/>
        <v>0</v>
      </c>
      <c r="T461" s="12"/>
      <c r="U461" s="12"/>
      <c r="V461" s="12"/>
      <c r="W461" s="12">
        <f t="shared" si="146"/>
        <v>0</v>
      </c>
      <c r="Y461" s="10">
        <v>10</v>
      </c>
      <c r="Z461" s="30"/>
      <c r="AB461" s="32"/>
      <c r="AC461" s="32"/>
      <c r="AD461" s="32"/>
      <c r="AE461" s="32">
        <f t="shared" si="147"/>
        <v>0</v>
      </c>
      <c r="AF461" s="12"/>
      <c r="AG461" s="12"/>
      <c r="AH461" s="12"/>
      <c r="AI461" s="12">
        <f t="shared" si="148"/>
        <v>0</v>
      </c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</row>
    <row r="462" spans="1:52" x14ac:dyDescent="0.25">
      <c r="A462" s="10">
        <v>11</v>
      </c>
      <c r="B462" s="30">
        <v>45999</v>
      </c>
      <c r="C462" s="31">
        <f t="shared" si="149"/>
        <v>5058</v>
      </c>
      <c r="D462" s="32">
        <f>1878+29</f>
        <v>1907</v>
      </c>
      <c r="E462" s="32"/>
      <c r="F462" s="32"/>
      <c r="G462" s="32">
        <f t="shared" si="143"/>
        <v>1907</v>
      </c>
      <c r="H462" s="12"/>
      <c r="I462" s="12"/>
      <c r="J462" s="12"/>
      <c r="K462" s="12">
        <f t="shared" si="144"/>
        <v>1907</v>
      </c>
      <c r="M462" s="10">
        <v>11</v>
      </c>
      <c r="N462" s="30"/>
      <c r="P462" s="32"/>
      <c r="Q462" s="32"/>
      <c r="R462" s="32"/>
      <c r="S462" s="32">
        <f t="shared" si="145"/>
        <v>0</v>
      </c>
      <c r="T462" s="12"/>
      <c r="U462" s="12"/>
      <c r="V462" s="12"/>
      <c r="W462" s="12">
        <f t="shared" si="146"/>
        <v>0</v>
      </c>
      <c r="Y462" s="10">
        <v>11</v>
      </c>
      <c r="Z462" s="30"/>
      <c r="AA462" s="31"/>
      <c r="AB462" s="32"/>
      <c r="AC462" s="32"/>
      <c r="AD462" s="32"/>
      <c r="AE462" s="32">
        <f t="shared" si="147"/>
        <v>0</v>
      </c>
      <c r="AF462" s="12"/>
      <c r="AG462" s="12"/>
      <c r="AH462" s="12"/>
      <c r="AI462" s="12">
        <f t="shared" si="148"/>
        <v>0</v>
      </c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</row>
    <row r="463" spans="1:52" x14ac:dyDescent="0.25">
      <c r="A463" s="10">
        <v>12</v>
      </c>
      <c r="B463" s="30">
        <v>45999</v>
      </c>
      <c r="C463" s="31">
        <f t="shared" si="149"/>
        <v>5059</v>
      </c>
      <c r="D463" s="32">
        <f>2504+596+48</f>
        <v>3148</v>
      </c>
      <c r="E463" s="32"/>
      <c r="F463" s="32"/>
      <c r="G463" s="32">
        <f t="shared" si="143"/>
        <v>3148</v>
      </c>
      <c r="H463" s="12"/>
      <c r="I463" s="12"/>
      <c r="J463" s="10"/>
      <c r="K463" s="12">
        <f t="shared" si="144"/>
        <v>3148</v>
      </c>
      <c r="M463" s="10">
        <v>12</v>
      </c>
      <c r="N463" s="30"/>
      <c r="O463" s="31"/>
      <c r="P463" s="32"/>
      <c r="Q463" s="32"/>
      <c r="R463" s="32"/>
      <c r="S463" s="32">
        <f t="shared" si="145"/>
        <v>0</v>
      </c>
      <c r="T463" s="12"/>
      <c r="U463" s="12"/>
      <c r="V463" s="12"/>
      <c r="W463" s="12">
        <f t="shared" si="146"/>
        <v>0</v>
      </c>
      <c r="Y463" s="10">
        <v>12</v>
      </c>
      <c r="Z463" s="30"/>
      <c r="AA463" s="31"/>
      <c r="AB463" s="32"/>
      <c r="AC463" s="32"/>
      <c r="AD463" s="32"/>
      <c r="AE463" s="32">
        <f t="shared" si="147"/>
        <v>0</v>
      </c>
      <c r="AF463" s="12"/>
      <c r="AG463" s="12"/>
      <c r="AH463" s="12"/>
      <c r="AI463" s="12">
        <f t="shared" si="148"/>
        <v>0</v>
      </c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</row>
    <row r="464" spans="1:52" x14ac:dyDescent="0.25">
      <c r="A464" s="10">
        <v>13</v>
      </c>
      <c r="B464" s="30">
        <v>45999</v>
      </c>
      <c r="C464" s="31">
        <f t="shared" si="149"/>
        <v>5060</v>
      </c>
      <c r="D464" s="32">
        <f>7512+114</f>
        <v>7626</v>
      </c>
      <c r="E464" s="32"/>
      <c r="F464" s="32"/>
      <c r="G464" s="32">
        <f t="shared" si="143"/>
        <v>7626</v>
      </c>
      <c r="H464" s="12"/>
      <c r="I464" s="12"/>
      <c r="J464" s="12"/>
      <c r="K464" s="12">
        <f t="shared" si="144"/>
        <v>7626</v>
      </c>
      <c r="M464" s="10">
        <v>13</v>
      </c>
      <c r="N464" s="30"/>
      <c r="O464" s="31"/>
      <c r="P464" s="32"/>
      <c r="Q464" s="32"/>
      <c r="R464" s="32"/>
      <c r="S464" s="32">
        <f t="shared" si="145"/>
        <v>0</v>
      </c>
      <c r="T464" s="12"/>
      <c r="U464" s="12"/>
      <c r="V464" s="12"/>
      <c r="W464" s="12">
        <f t="shared" si="146"/>
        <v>0</v>
      </c>
      <c r="Y464" s="10">
        <v>13</v>
      </c>
      <c r="Z464" s="30"/>
      <c r="AA464" s="31"/>
      <c r="AB464" s="32"/>
      <c r="AC464" s="32"/>
      <c r="AD464" s="32"/>
      <c r="AE464" s="32">
        <f t="shared" si="147"/>
        <v>0</v>
      </c>
      <c r="AF464" s="12"/>
      <c r="AG464" s="12"/>
      <c r="AH464" s="12"/>
      <c r="AI464" s="12">
        <f t="shared" si="148"/>
        <v>0</v>
      </c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</row>
    <row r="465" spans="1:52" x14ac:dyDescent="0.25">
      <c r="A465" s="10">
        <v>14</v>
      </c>
      <c r="B465" s="30">
        <v>45999</v>
      </c>
      <c r="C465" s="31">
        <f t="shared" si="149"/>
        <v>5061</v>
      </c>
      <c r="D465" s="32">
        <f>6886+105</f>
        <v>6991</v>
      </c>
      <c r="E465" s="32"/>
      <c r="F465" s="32"/>
      <c r="G465" s="32">
        <f t="shared" si="143"/>
        <v>6991</v>
      </c>
      <c r="H465" s="12"/>
      <c r="I465" s="12">
        <v>54</v>
      </c>
      <c r="J465" s="12"/>
      <c r="K465" s="12">
        <f t="shared" si="144"/>
        <v>7045</v>
      </c>
      <c r="M465" s="10">
        <v>14</v>
      </c>
      <c r="N465" s="30"/>
      <c r="O465" s="31"/>
      <c r="P465" s="32"/>
      <c r="Q465" s="32"/>
      <c r="R465" s="32"/>
      <c r="S465" s="32">
        <f t="shared" si="145"/>
        <v>0</v>
      </c>
      <c r="T465" s="12"/>
      <c r="U465" s="12"/>
      <c r="V465" s="12"/>
      <c r="W465" s="12">
        <f t="shared" si="146"/>
        <v>0</v>
      </c>
      <c r="Y465" s="10">
        <v>14</v>
      </c>
      <c r="Z465" s="30"/>
      <c r="AA465" s="31"/>
      <c r="AB465" s="32"/>
      <c r="AC465" s="32"/>
      <c r="AD465" s="32"/>
      <c r="AE465" s="32">
        <f t="shared" si="147"/>
        <v>0</v>
      </c>
      <c r="AF465" s="12"/>
      <c r="AG465" s="12"/>
      <c r="AH465" s="12"/>
      <c r="AI465" s="12">
        <f t="shared" si="148"/>
        <v>0</v>
      </c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</row>
    <row r="466" spans="1:52" x14ac:dyDescent="0.25">
      <c r="A466" s="10">
        <v>15</v>
      </c>
      <c r="B466" s="30">
        <v>45999</v>
      </c>
      <c r="C466" s="31">
        <f t="shared" si="149"/>
        <v>5062</v>
      </c>
      <c r="D466" s="32">
        <f>25666+2980</f>
        <v>28646</v>
      </c>
      <c r="E466" s="32"/>
      <c r="F466" s="32"/>
      <c r="G466" s="32">
        <f t="shared" si="143"/>
        <v>28646</v>
      </c>
      <c r="H466" s="12"/>
      <c r="I466" s="12"/>
      <c r="J466" s="12"/>
      <c r="K466" s="12">
        <f t="shared" si="144"/>
        <v>28646</v>
      </c>
      <c r="M466" s="10">
        <v>15</v>
      </c>
      <c r="N466" s="30"/>
      <c r="O466" s="31"/>
      <c r="P466" s="32"/>
      <c r="R466" s="32"/>
      <c r="S466" s="32">
        <f t="shared" si="145"/>
        <v>0</v>
      </c>
      <c r="T466" s="12"/>
      <c r="U466" s="12"/>
      <c r="W466" s="12">
        <f t="shared" si="146"/>
        <v>0</v>
      </c>
      <c r="Y466" s="10">
        <v>15</v>
      </c>
      <c r="Z466" s="30"/>
      <c r="AA466" s="31"/>
      <c r="AB466" s="32"/>
      <c r="AC466" s="32"/>
      <c r="AD466" s="32"/>
      <c r="AE466" s="32">
        <f t="shared" si="147"/>
        <v>0</v>
      </c>
      <c r="AF466" s="12"/>
      <c r="AG466" s="12"/>
      <c r="AH466" s="12"/>
      <c r="AI466" s="12">
        <f t="shared" si="148"/>
        <v>0</v>
      </c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</row>
    <row r="467" spans="1:52" x14ac:dyDescent="0.25">
      <c r="A467" s="10">
        <v>16</v>
      </c>
      <c r="B467" s="30">
        <v>45999</v>
      </c>
      <c r="C467" s="31">
        <f t="shared" si="149"/>
        <v>5063</v>
      </c>
      <c r="D467" s="32">
        <f>38812+5960+687</f>
        <v>45459</v>
      </c>
      <c r="E467" s="32"/>
      <c r="F467" s="32"/>
      <c r="G467" s="32">
        <f t="shared" si="143"/>
        <v>45459</v>
      </c>
      <c r="H467" s="12"/>
      <c r="I467" s="12"/>
      <c r="J467" s="12"/>
      <c r="K467" s="12">
        <f t="shared" si="144"/>
        <v>45459</v>
      </c>
      <c r="M467" s="10">
        <v>16</v>
      </c>
      <c r="N467" s="30"/>
      <c r="O467" s="31"/>
      <c r="P467" s="32"/>
      <c r="Q467" s="32"/>
      <c r="R467" s="32"/>
      <c r="S467" s="32">
        <f>SUM(P467:Q467)</f>
        <v>0</v>
      </c>
      <c r="T467" s="12"/>
      <c r="U467" s="12"/>
      <c r="V467" s="12"/>
      <c r="W467" s="12">
        <f>SUM(S467:V467)</f>
        <v>0</v>
      </c>
      <c r="Y467" s="10">
        <v>16</v>
      </c>
      <c r="Z467" s="30"/>
      <c r="AA467" s="31"/>
      <c r="AB467" s="32"/>
      <c r="AC467" s="32"/>
      <c r="AD467" s="32"/>
      <c r="AE467" s="32">
        <f t="shared" si="147"/>
        <v>0</v>
      </c>
      <c r="AF467" s="12"/>
      <c r="AG467" s="12"/>
      <c r="AH467" s="12"/>
      <c r="AI467" s="12">
        <f t="shared" si="148"/>
        <v>0</v>
      </c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</row>
    <row r="468" spans="1:52" x14ac:dyDescent="0.25">
      <c r="A468" s="10">
        <v>17</v>
      </c>
      <c r="B468" s="30">
        <v>45999</v>
      </c>
      <c r="C468" s="31">
        <f t="shared" si="149"/>
        <v>5064</v>
      </c>
      <c r="D468" s="32">
        <f>1878+29</f>
        <v>1907</v>
      </c>
      <c r="E468" s="32"/>
      <c r="F468" s="32"/>
      <c r="G468" s="32">
        <f t="shared" si="143"/>
        <v>1907</v>
      </c>
      <c r="H468" s="12"/>
      <c r="I468" s="12"/>
      <c r="J468" s="12"/>
      <c r="K468" s="12">
        <f t="shared" si="144"/>
        <v>1907</v>
      </c>
      <c r="M468" s="10">
        <v>17</v>
      </c>
      <c r="N468" s="30"/>
      <c r="O468" s="31"/>
      <c r="P468" s="35"/>
      <c r="Q468" s="32"/>
      <c r="R468" s="32"/>
      <c r="S468" s="32">
        <f t="shared" ref="S468:S490" si="152">SUM(P468:Q468)</f>
        <v>0</v>
      </c>
      <c r="T468" s="12"/>
      <c r="U468" s="12"/>
      <c r="V468" s="12"/>
      <c r="W468" s="12">
        <f t="shared" ref="W468:W493" si="153">SUM(S468:V468)</f>
        <v>0</v>
      </c>
      <c r="Y468" s="10">
        <v>17</v>
      </c>
      <c r="Z468" s="30"/>
      <c r="AA468" s="31"/>
      <c r="AB468" s="35"/>
      <c r="AC468" s="32"/>
      <c r="AD468" s="32"/>
      <c r="AE468" s="32">
        <f t="shared" si="147"/>
        <v>0</v>
      </c>
      <c r="AF468" s="12"/>
      <c r="AG468" s="12"/>
      <c r="AH468" s="12"/>
      <c r="AI468" s="12">
        <f t="shared" si="148"/>
        <v>0</v>
      </c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</row>
    <row r="469" spans="1:52" x14ac:dyDescent="0.25">
      <c r="A469" s="10">
        <v>18</v>
      </c>
      <c r="B469" s="30">
        <v>45999</v>
      </c>
      <c r="C469" s="31">
        <f t="shared" si="149"/>
        <v>5065</v>
      </c>
      <c r="D469" s="32">
        <f>3130+48</f>
        <v>3178</v>
      </c>
      <c r="E469" s="32"/>
      <c r="F469" s="32"/>
      <c r="G469" s="32">
        <f t="shared" si="143"/>
        <v>3178</v>
      </c>
      <c r="H469" s="12"/>
      <c r="I469" s="12"/>
      <c r="J469" s="12"/>
      <c r="K469" s="12">
        <f t="shared" si="144"/>
        <v>3178</v>
      </c>
      <c r="M469" s="10">
        <v>18</v>
      </c>
      <c r="N469" s="30"/>
      <c r="O469" s="31"/>
      <c r="P469" s="32"/>
      <c r="Q469" s="32"/>
      <c r="R469" s="32"/>
      <c r="S469" s="32">
        <f t="shared" si="152"/>
        <v>0</v>
      </c>
      <c r="T469" s="12"/>
      <c r="U469" s="12"/>
      <c r="V469" s="12"/>
      <c r="W469" s="12">
        <f t="shared" si="153"/>
        <v>0</v>
      </c>
      <c r="Y469" s="10">
        <v>18</v>
      </c>
      <c r="Z469" s="30"/>
      <c r="AA469" s="31"/>
      <c r="AB469" s="32"/>
      <c r="AC469" s="32"/>
      <c r="AD469" s="32"/>
      <c r="AE469" s="32">
        <f t="shared" si="147"/>
        <v>0</v>
      </c>
      <c r="AF469" s="12"/>
      <c r="AG469" s="12"/>
      <c r="AH469" s="12"/>
      <c r="AI469" s="12">
        <f t="shared" si="148"/>
        <v>0</v>
      </c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</row>
    <row r="470" spans="1:52" x14ac:dyDescent="0.25">
      <c r="A470" s="10">
        <v>19</v>
      </c>
      <c r="B470" s="30"/>
      <c r="C470" s="11" t="s">
        <v>28</v>
      </c>
      <c r="D470" s="32"/>
      <c r="E470" s="32"/>
      <c r="F470" s="32"/>
      <c r="G470" s="32">
        <f t="shared" si="143"/>
        <v>0</v>
      </c>
      <c r="H470" s="12"/>
      <c r="I470" s="12"/>
      <c r="J470" s="12"/>
      <c r="K470" s="12">
        <f t="shared" si="144"/>
        <v>0</v>
      </c>
      <c r="M470" s="10">
        <v>19</v>
      </c>
      <c r="N470" s="30"/>
      <c r="O470" s="31"/>
      <c r="P470" s="32"/>
      <c r="Q470" s="32"/>
      <c r="R470" s="32"/>
      <c r="S470" s="32">
        <f t="shared" si="152"/>
        <v>0</v>
      </c>
      <c r="T470" s="12"/>
      <c r="U470" s="12"/>
      <c r="V470" s="12"/>
      <c r="W470" s="12">
        <f t="shared" si="153"/>
        <v>0</v>
      </c>
      <c r="Y470" s="10">
        <v>19</v>
      </c>
      <c r="Z470" s="30"/>
      <c r="AA470" s="31"/>
      <c r="AB470" s="32"/>
      <c r="AC470" s="32"/>
      <c r="AD470" s="32"/>
      <c r="AE470" s="32">
        <f t="shared" si="147"/>
        <v>0</v>
      </c>
      <c r="AF470" s="12"/>
      <c r="AG470" s="12"/>
      <c r="AH470" s="12"/>
      <c r="AI470" s="12">
        <f t="shared" si="148"/>
        <v>0</v>
      </c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</row>
    <row r="471" spans="1:52" x14ac:dyDescent="0.25">
      <c r="A471" s="10">
        <v>20</v>
      </c>
      <c r="B471" s="30"/>
      <c r="C471" s="31"/>
      <c r="D471" s="32"/>
      <c r="E471" s="32"/>
      <c r="F471" s="32"/>
      <c r="G471" s="32">
        <f t="shared" si="143"/>
        <v>0</v>
      </c>
      <c r="H471" s="12"/>
      <c r="I471" s="12"/>
      <c r="J471" s="12"/>
      <c r="K471" s="12">
        <f t="shared" si="144"/>
        <v>0</v>
      </c>
      <c r="M471" s="10">
        <v>20</v>
      </c>
      <c r="N471" s="30"/>
      <c r="O471" s="31"/>
      <c r="P471" s="32"/>
      <c r="Q471" s="32"/>
      <c r="R471" s="32"/>
      <c r="S471" s="32">
        <f t="shared" si="152"/>
        <v>0</v>
      </c>
      <c r="T471" s="12"/>
      <c r="U471" s="12"/>
      <c r="V471" s="12"/>
      <c r="W471" s="12">
        <f t="shared" si="153"/>
        <v>0</v>
      </c>
      <c r="Y471" s="10">
        <v>20</v>
      </c>
      <c r="Z471" s="30"/>
      <c r="AA471" s="31"/>
      <c r="AB471" s="32"/>
      <c r="AC471" s="32"/>
      <c r="AD471" s="32"/>
      <c r="AE471" s="32">
        <f t="shared" si="147"/>
        <v>0</v>
      </c>
      <c r="AF471" s="12"/>
      <c r="AG471" s="12"/>
      <c r="AH471" s="12"/>
      <c r="AI471" s="12">
        <f t="shared" si="148"/>
        <v>0</v>
      </c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</row>
    <row r="472" spans="1:52" x14ac:dyDescent="0.25">
      <c r="A472" s="10">
        <v>21</v>
      </c>
      <c r="B472" s="30"/>
      <c r="D472" s="32"/>
      <c r="E472" s="32"/>
      <c r="F472" s="32"/>
      <c r="G472" s="32">
        <f t="shared" si="143"/>
        <v>0</v>
      </c>
      <c r="H472" s="10"/>
      <c r="I472" s="10"/>
      <c r="J472" s="10"/>
      <c r="K472" s="12">
        <f t="shared" si="144"/>
        <v>0</v>
      </c>
      <c r="M472" s="10">
        <v>21</v>
      </c>
      <c r="N472" s="30"/>
      <c r="O472" s="31"/>
      <c r="P472" s="46"/>
      <c r="Q472" s="31"/>
      <c r="R472" s="31"/>
      <c r="S472" s="32">
        <f t="shared" si="152"/>
        <v>0</v>
      </c>
      <c r="T472" s="10"/>
      <c r="U472" s="10"/>
      <c r="V472" s="10"/>
      <c r="W472" s="12">
        <f t="shared" si="153"/>
        <v>0</v>
      </c>
      <c r="Y472" s="10">
        <v>21</v>
      </c>
      <c r="Z472" s="30"/>
      <c r="AA472" s="11"/>
      <c r="AB472" s="46"/>
      <c r="AC472" s="31"/>
      <c r="AD472" s="31"/>
      <c r="AE472" s="32">
        <f t="shared" si="147"/>
        <v>0</v>
      </c>
      <c r="AF472" s="10"/>
      <c r="AG472" s="10"/>
      <c r="AH472" s="10"/>
      <c r="AI472" s="12">
        <f t="shared" si="148"/>
        <v>0</v>
      </c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</row>
    <row r="473" spans="1:52" x14ac:dyDescent="0.25">
      <c r="A473" s="10">
        <v>22</v>
      </c>
      <c r="B473" s="30"/>
      <c r="C473" s="31"/>
      <c r="D473" s="32"/>
      <c r="E473" s="32"/>
      <c r="F473" s="32"/>
      <c r="G473" s="32">
        <f t="shared" si="143"/>
        <v>0</v>
      </c>
      <c r="H473" s="10"/>
      <c r="I473" s="10"/>
      <c r="J473" s="10"/>
      <c r="K473" s="12">
        <f t="shared" si="144"/>
        <v>0</v>
      </c>
      <c r="M473" s="10">
        <v>22</v>
      </c>
      <c r="N473" s="30"/>
      <c r="O473" s="31"/>
      <c r="P473" s="45"/>
      <c r="Q473" s="31"/>
      <c r="R473" s="31"/>
      <c r="S473" s="32">
        <f t="shared" si="152"/>
        <v>0</v>
      </c>
      <c r="T473" s="10"/>
      <c r="U473" s="10"/>
      <c r="V473" s="10"/>
      <c r="W473" s="12">
        <f t="shared" si="153"/>
        <v>0</v>
      </c>
      <c r="Y473" s="10">
        <v>22</v>
      </c>
      <c r="Z473" s="30"/>
      <c r="AA473" s="31"/>
      <c r="AB473" s="45"/>
      <c r="AC473" s="31"/>
      <c r="AD473" s="31"/>
      <c r="AE473" s="32">
        <f t="shared" si="147"/>
        <v>0</v>
      </c>
      <c r="AF473" s="10"/>
      <c r="AG473" s="10"/>
      <c r="AH473" s="10"/>
      <c r="AI473" s="12">
        <f t="shared" si="148"/>
        <v>0</v>
      </c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</row>
    <row r="474" spans="1:52" x14ac:dyDescent="0.25">
      <c r="A474" s="10">
        <v>23</v>
      </c>
      <c r="B474" s="30"/>
      <c r="C474" s="57"/>
      <c r="D474" s="32"/>
      <c r="E474" s="32"/>
      <c r="F474" s="32"/>
      <c r="G474" s="32">
        <f t="shared" si="143"/>
        <v>0</v>
      </c>
      <c r="H474" s="10"/>
      <c r="I474" s="10"/>
      <c r="J474" s="12"/>
      <c r="K474" s="12">
        <f t="shared" si="144"/>
        <v>0</v>
      </c>
      <c r="M474" s="10">
        <v>23</v>
      </c>
      <c r="N474" s="30"/>
      <c r="O474" s="31"/>
      <c r="P474" s="47"/>
      <c r="Q474" s="31"/>
      <c r="R474" s="31"/>
      <c r="S474" s="32">
        <f t="shared" si="152"/>
        <v>0</v>
      </c>
      <c r="T474" s="10"/>
      <c r="U474" s="10"/>
      <c r="V474" s="10"/>
      <c r="W474" s="12">
        <f t="shared" si="153"/>
        <v>0</v>
      </c>
      <c r="Y474" s="10">
        <v>23</v>
      </c>
      <c r="Z474" s="30"/>
      <c r="AA474" s="31"/>
      <c r="AB474" s="47"/>
      <c r="AE474" s="32">
        <f t="shared" si="147"/>
        <v>0</v>
      </c>
      <c r="AF474" s="10"/>
      <c r="AG474" s="10"/>
      <c r="AH474" s="10"/>
      <c r="AI474" s="12">
        <f t="shared" si="148"/>
        <v>0</v>
      </c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</row>
    <row r="475" spans="1:52" x14ac:dyDescent="0.25">
      <c r="A475" s="10">
        <v>24</v>
      </c>
      <c r="B475" s="30"/>
      <c r="C475" s="31"/>
      <c r="D475" s="32"/>
      <c r="E475" s="32"/>
      <c r="F475" s="32"/>
      <c r="G475" s="32">
        <f t="shared" si="143"/>
        <v>0</v>
      </c>
      <c r="H475" s="10"/>
      <c r="I475" s="10"/>
      <c r="J475" s="10"/>
      <c r="K475" s="12">
        <f t="shared" si="144"/>
        <v>0</v>
      </c>
      <c r="M475" s="10">
        <v>24</v>
      </c>
      <c r="N475" s="30"/>
      <c r="O475" s="31"/>
      <c r="P475" s="47"/>
      <c r="Q475" s="31"/>
      <c r="R475" s="31"/>
      <c r="S475" s="32">
        <f t="shared" si="152"/>
        <v>0</v>
      </c>
      <c r="T475" s="10"/>
      <c r="U475" s="10"/>
      <c r="V475" s="10"/>
      <c r="W475" s="12">
        <f t="shared" si="153"/>
        <v>0</v>
      </c>
      <c r="Y475" s="10">
        <v>24</v>
      </c>
      <c r="Z475" s="30"/>
      <c r="AA475" s="31"/>
      <c r="AB475" s="47"/>
      <c r="AC475" s="31"/>
      <c r="AD475" s="31"/>
      <c r="AE475" s="32">
        <f t="shared" si="147"/>
        <v>0</v>
      </c>
      <c r="AF475" s="10"/>
      <c r="AG475" s="10"/>
      <c r="AH475" s="10"/>
      <c r="AI475" s="12">
        <f t="shared" si="148"/>
        <v>0</v>
      </c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</row>
    <row r="476" spans="1:52" x14ac:dyDescent="0.25">
      <c r="A476" s="10">
        <v>25</v>
      </c>
      <c r="B476" s="30"/>
      <c r="C476" s="31"/>
      <c r="D476" s="32"/>
      <c r="E476" s="32"/>
      <c r="F476" s="32"/>
      <c r="G476" s="32">
        <f t="shared" si="143"/>
        <v>0</v>
      </c>
      <c r="H476" s="10"/>
      <c r="I476" s="10"/>
      <c r="J476" s="10"/>
      <c r="K476" s="12">
        <f t="shared" si="144"/>
        <v>0</v>
      </c>
      <c r="M476" s="10">
        <v>25</v>
      </c>
      <c r="N476" s="30"/>
      <c r="O476" s="31"/>
      <c r="P476" s="47"/>
      <c r="Q476" s="31"/>
      <c r="R476" s="31"/>
      <c r="S476" s="32">
        <f t="shared" si="152"/>
        <v>0</v>
      </c>
      <c r="T476" s="10"/>
      <c r="U476" s="10"/>
      <c r="V476" s="10"/>
      <c r="W476" s="12">
        <f t="shared" si="153"/>
        <v>0</v>
      </c>
      <c r="Y476" s="10">
        <v>25</v>
      </c>
      <c r="Z476" s="30"/>
      <c r="AA476" s="31"/>
      <c r="AB476" s="47"/>
      <c r="AC476" s="31"/>
      <c r="AD476" s="31"/>
      <c r="AE476" s="32">
        <f t="shared" si="147"/>
        <v>0</v>
      </c>
      <c r="AF476" s="10"/>
      <c r="AG476" s="10"/>
      <c r="AH476" s="10"/>
      <c r="AI476" s="12">
        <f t="shared" si="148"/>
        <v>0</v>
      </c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</row>
    <row r="477" spans="1:52" x14ac:dyDescent="0.25">
      <c r="A477" s="10">
        <v>26</v>
      </c>
      <c r="B477" s="30"/>
      <c r="C477" s="57"/>
      <c r="D477" s="32"/>
      <c r="E477" s="32"/>
      <c r="F477" s="32"/>
      <c r="G477" s="32">
        <f t="shared" si="143"/>
        <v>0</v>
      </c>
      <c r="H477" s="10"/>
      <c r="I477" s="10"/>
      <c r="J477" s="10"/>
      <c r="K477" s="12">
        <f t="shared" si="144"/>
        <v>0</v>
      </c>
      <c r="M477" s="10">
        <v>26</v>
      </c>
      <c r="N477" s="30"/>
      <c r="O477" s="31"/>
      <c r="P477" s="47"/>
      <c r="Q477" s="31"/>
      <c r="R477" s="31"/>
      <c r="S477" s="32">
        <f t="shared" si="152"/>
        <v>0</v>
      </c>
      <c r="T477" s="10"/>
      <c r="U477" s="10"/>
      <c r="V477" s="10"/>
      <c r="W477" s="12">
        <f t="shared" si="153"/>
        <v>0</v>
      </c>
      <c r="Y477" s="10">
        <v>26</v>
      </c>
      <c r="Z477" s="30"/>
      <c r="AA477" s="31"/>
      <c r="AB477" s="47"/>
      <c r="AC477" s="31"/>
      <c r="AD477" s="31"/>
      <c r="AE477" s="32">
        <f t="shared" si="147"/>
        <v>0</v>
      </c>
      <c r="AF477" s="10"/>
      <c r="AG477" s="10"/>
      <c r="AH477" s="10"/>
      <c r="AI477" s="12">
        <f t="shared" si="148"/>
        <v>0</v>
      </c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</row>
    <row r="478" spans="1:52" x14ac:dyDescent="0.25">
      <c r="A478" s="10">
        <v>27</v>
      </c>
      <c r="B478" s="30"/>
      <c r="C478" s="31"/>
      <c r="D478" s="32"/>
      <c r="E478" s="32"/>
      <c r="F478" s="32"/>
      <c r="G478" s="32">
        <f t="shared" si="143"/>
        <v>0</v>
      </c>
      <c r="H478" s="10"/>
      <c r="I478" s="10"/>
      <c r="J478" s="10"/>
      <c r="K478" s="12">
        <f t="shared" si="144"/>
        <v>0</v>
      </c>
      <c r="M478" s="10">
        <v>27</v>
      </c>
      <c r="N478" s="30"/>
      <c r="O478" s="31"/>
      <c r="P478" s="47"/>
      <c r="Q478" s="31"/>
      <c r="R478" s="31"/>
      <c r="S478" s="32">
        <f t="shared" si="152"/>
        <v>0</v>
      </c>
      <c r="T478" s="10"/>
      <c r="U478" s="10"/>
      <c r="V478" s="10"/>
      <c r="W478" s="12">
        <f t="shared" si="153"/>
        <v>0</v>
      </c>
      <c r="Y478" s="10">
        <v>27</v>
      </c>
      <c r="Z478" s="30"/>
      <c r="AA478" s="31"/>
      <c r="AB478" s="47"/>
      <c r="AC478" s="31"/>
      <c r="AD478" s="31"/>
      <c r="AE478" s="32">
        <f t="shared" si="147"/>
        <v>0</v>
      </c>
      <c r="AF478" s="10"/>
      <c r="AG478" s="10"/>
      <c r="AH478" s="10"/>
      <c r="AI478" s="12">
        <f t="shared" si="148"/>
        <v>0</v>
      </c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</row>
    <row r="479" spans="1:52" x14ac:dyDescent="0.25">
      <c r="A479" s="10">
        <v>28</v>
      </c>
      <c r="B479" s="30"/>
      <c r="C479" s="31"/>
      <c r="D479" s="32"/>
      <c r="E479" s="32"/>
      <c r="F479" s="32"/>
      <c r="G479" s="32">
        <f t="shared" si="143"/>
        <v>0</v>
      </c>
      <c r="H479" s="10"/>
      <c r="I479" s="10"/>
      <c r="J479" s="10"/>
      <c r="K479" s="12">
        <f t="shared" si="144"/>
        <v>0</v>
      </c>
      <c r="M479" s="10">
        <v>28</v>
      </c>
      <c r="N479" s="30"/>
      <c r="O479" s="31"/>
      <c r="P479" s="47"/>
      <c r="Q479" s="31"/>
      <c r="R479" s="31"/>
      <c r="S479" s="32">
        <f t="shared" si="152"/>
        <v>0</v>
      </c>
      <c r="T479" s="10"/>
      <c r="U479" s="10"/>
      <c r="V479" s="10"/>
      <c r="W479" s="12">
        <f t="shared" si="153"/>
        <v>0</v>
      </c>
      <c r="Y479" s="10">
        <v>28</v>
      </c>
      <c r="Z479" s="30"/>
      <c r="AA479" s="31"/>
      <c r="AB479" s="47"/>
      <c r="AC479" s="31"/>
      <c r="AD479" s="31"/>
      <c r="AE479" s="32">
        <f t="shared" si="147"/>
        <v>0</v>
      </c>
      <c r="AF479" s="10"/>
      <c r="AG479" s="10"/>
      <c r="AH479" s="10"/>
      <c r="AI479" s="12">
        <f t="shared" si="148"/>
        <v>0</v>
      </c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</row>
    <row r="480" spans="1:52" x14ac:dyDescent="0.25">
      <c r="A480" s="10">
        <v>29</v>
      </c>
      <c r="B480" s="30"/>
      <c r="C480" s="31"/>
      <c r="D480" s="32"/>
      <c r="E480" s="32"/>
      <c r="F480" s="32"/>
      <c r="G480" s="32">
        <f t="shared" si="143"/>
        <v>0</v>
      </c>
      <c r="H480" s="10"/>
      <c r="I480" s="10"/>
      <c r="J480" s="10"/>
      <c r="K480" s="12">
        <f t="shared" si="144"/>
        <v>0</v>
      </c>
      <c r="M480" s="10">
        <v>29</v>
      </c>
      <c r="N480" s="30"/>
      <c r="O480" s="31"/>
      <c r="P480" s="47"/>
      <c r="Q480" s="31"/>
      <c r="R480" s="31"/>
      <c r="S480" s="32">
        <f t="shared" si="152"/>
        <v>0</v>
      </c>
      <c r="T480" s="10"/>
      <c r="U480" s="10"/>
      <c r="V480" s="10"/>
      <c r="W480" s="12">
        <f t="shared" si="153"/>
        <v>0</v>
      </c>
      <c r="Y480" s="10">
        <v>29</v>
      </c>
      <c r="Z480" s="30"/>
      <c r="AA480" s="31"/>
      <c r="AB480" s="47"/>
      <c r="AC480" s="31"/>
      <c r="AD480" s="31"/>
      <c r="AE480" s="32">
        <f t="shared" si="147"/>
        <v>0</v>
      </c>
      <c r="AF480" s="10"/>
      <c r="AG480" s="10"/>
      <c r="AH480" s="10"/>
      <c r="AI480" s="12">
        <f t="shared" si="148"/>
        <v>0</v>
      </c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</row>
    <row r="481" spans="1:52" x14ac:dyDescent="0.25">
      <c r="A481" s="10">
        <v>30</v>
      </c>
      <c r="B481" s="30"/>
      <c r="C481" s="31"/>
      <c r="D481" s="32"/>
      <c r="E481" s="32"/>
      <c r="F481" s="32"/>
      <c r="G481" s="32">
        <f t="shared" si="143"/>
        <v>0</v>
      </c>
      <c r="H481" s="10"/>
      <c r="I481" s="10"/>
      <c r="J481" s="10"/>
      <c r="K481" s="12">
        <f t="shared" si="144"/>
        <v>0</v>
      </c>
      <c r="M481" s="10">
        <v>30</v>
      </c>
      <c r="N481" s="30"/>
      <c r="O481" s="31"/>
      <c r="P481" s="47"/>
      <c r="Q481" s="31"/>
      <c r="R481" s="31"/>
      <c r="S481" s="32">
        <f t="shared" si="152"/>
        <v>0</v>
      </c>
      <c r="T481" s="10"/>
      <c r="U481" s="10"/>
      <c r="V481" s="10"/>
      <c r="W481" s="12">
        <f t="shared" si="153"/>
        <v>0</v>
      </c>
      <c r="Y481" s="10">
        <v>30</v>
      </c>
      <c r="Z481" s="30"/>
      <c r="AA481" s="31"/>
      <c r="AB481" s="47"/>
      <c r="AC481" s="31"/>
      <c r="AD481" s="31"/>
      <c r="AE481" s="32">
        <f t="shared" si="147"/>
        <v>0</v>
      </c>
      <c r="AF481" s="10"/>
      <c r="AG481" s="10"/>
      <c r="AH481" s="10"/>
      <c r="AI481" s="12">
        <f t="shared" si="148"/>
        <v>0</v>
      </c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</row>
    <row r="482" spans="1:52" x14ac:dyDescent="0.25">
      <c r="A482" s="10">
        <v>31</v>
      </c>
      <c r="B482" s="30"/>
      <c r="C482" s="57"/>
      <c r="D482" s="32"/>
      <c r="E482" s="32"/>
      <c r="F482" s="32"/>
      <c r="G482" s="32">
        <f t="shared" si="143"/>
        <v>0</v>
      </c>
      <c r="H482" s="10"/>
      <c r="I482" s="10"/>
      <c r="J482" s="10"/>
      <c r="K482" s="12">
        <f t="shared" si="144"/>
        <v>0</v>
      </c>
      <c r="M482" s="10">
        <v>31</v>
      </c>
      <c r="N482" s="30"/>
      <c r="O482" s="31"/>
      <c r="P482" s="47"/>
      <c r="Q482" s="31"/>
      <c r="R482" s="31"/>
      <c r="S482" s="32">
        <f t="shared" si="152"/>
        <v>0</v>
      </c>
      <c r="T482" s="10"/>
      <c r="U482" s="10"/>
      <c r="V482" s="10"/>
      <c r="W482" s="12">
        <f t="shared" si="153"/>
        <v>0</v>
      </c>
      <c r="Y482" s="10">
        <v>31</v>
      </c>
      <c r="Z482" s="30"/>
      <c r="AB482" s="47"/>
      <c r="AC482" s="31"/>
      <c r="AD482" s="31"/>
      <c r="AE482" s="32">
        <f t="shared" si="147"/>
        <v>0</v>
      </c>
      <c r="AF482" s="10"/>
      <c r="AG482" s="10"/>
      <c r="AH482" s="10"/>
      <c r="AI482" s="12">
        <f t="shared" si="148"/>
        <v>0</v>
      </c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</row>
    <row r="483" spans="1:52" x14ac:dyDescent="0.25">
      <c r="A483" s="10">
        <v>32</v>
      </c>
      <c r="B483" s="30"/>
      <c r="C483" s="31"/>
      <c r="D483" s="32"/>
      <c r="E483" s="32"/>
      <c r="F483" s="32"/>
      <c r="G483" s="32">
        <f t="shared" si="143"/>
        <v>0</v>
      </c>
      <c r="H483" s="10"/>
      <c r="I483" s="10"/>
      <c r="J483" s="10"/>
      <c r="K483" s="12">
        <f t="shared" si="144"/>
        <v>0</v>
      </c>
      <c r="M483" s="10">
        <v>32</v>
      </c>
      <c r="N483" s="30"/>
      <c r="O483" s="31"/>
      <c r="P483" s="47"/>
      <c r="Q483" s="31"/>
      <c r="R483" s="31"/>
      <c r="S483" s="32">
        <f t="shared" si="152"/>
        <v>0</v>
      </c>
      <c r="T483" s="10"/>
      <c r="U483" s="10"/>
      <c r="V483" s="10"/>
      <c r="W483" s="12">
        <f t="shared" si="153"/>
        <v>0</v>
      </c>
      <c r="Y483" s="10">
        <v>32</v>
      </c>
      <c r="Z483" s="30"/>
      <c r="AA483" s="31"/>
      <c r="AB483" s="47"/>
      <c r="AC483" s="31"/>
      <c r="AD483" s="31"/>
      <c r="AE483" s="32">
        <f t="shared" si="147"/>
        <v>0</v>
      </c>
      <c r="AF483" s="10"/>
      <c r="AG483" s="10"/>
      <c r="AH483" s="10"/>
      <c r="AI483" s="12">
        <f t="shared" si="148"/>
        <v>0</v>
      </c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</row>
    <row r="484" spans="1:52" x14ac:dyDescent="0.25">
      <c r="A484" s="10">
        <v>33</v>
      </c>
      <c r="B484" s="30"/>
      <c r="C484" s="31"/>
      <c r="D484" s="32"/>
      <c r="E484" s="32"/>
      <c r="F484" s="32"/>
      <c r="G484" s="32">
        <f t="shared" si="143"/>
        <v>0</v>
      </c>
      <c r="H484" s="10"/>
      <c r="I484" s="10"/>
      <c r="J484" s="10"/>
      <c r="K484" s="12">
        <f t="shared" si="144"/>
        <v>0</v>
      </c>
      <c r="M484" s="10">
        <v>33</v>
      </c>
      <c r="N484" s="30"/>
      <c r="O484" s="31"/>
      <c r="P484" s="47"/>
      <c r="Q484" s="31"/>
      <c r="R484" s="31"/>
      <c r="S484" s="32">
        <f t="shared" si="152"/>
        <v>0</v>
      </c>
      <c r="T484" s="10"/>
      <c r="U484" s="10"/>
      <c r="V484" s="10"/>
      <c r="W484" s="12">
        <f t="shared" si="153"/>
        <v>0</v>
      </c>
      <c r="Y484" s="10">
        <v>33</v>
      </c>
      <c r="Z484" s="30"/>
      <c r="AA484" s="31"/>
      <c r="AB484" s="47"/>
      <c r="AC484" s="31"/>
      <c r="AD484" s="31"/>
      <c r="AE484" s="32">
        <f t="shared" si="147"/>
        <v>0</v>
      </c>
      <c r="AF484" s="10"/>
      <c r="AG484" s="10"/>
      <c r="AH484" s="10"/>
      <c r="AI484" s="12">
        <f t="shared" si="148"/>
        <v>0</v>
      </c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</row>
    <row r="485" spans="1:52" x14ac:dyDescent="0.25">
      <c r="A485" s="10"/>
      <c r="B485" s="30"/>
      <c r="C485" s="31"/>
      <c r="D485" s="32"/>
      <c r="E485" s="32"/>
      <c r="F485" s="32"/>
      <c r="G485" s="32">
        <f t="shared" si="143"/>
        <v>0</v>
      </c>
      <c r="H485" s="10"/>
      <c r="I485" s="10"/>
      <c r="J485" s="10"/>
      <c r="K485" s="12">
        <f t="shared" si="144"/>
        <v>0</v>
      </c>
      <c r="M485" s="10">
        <v>34</v>
      </c>
      <c r="N485" s="30"/>
      <c r="O485" s="31"/>
      <c r="P485" s="47"/>
      <c r="Q485" s="31"/>
      <c r="R485" s="31"/>
      <c r="S485" s="32">
        <f t="shared" si="152"/>
        <v>0</v>
      </c>
      <c r="T485" s="10"/>
      <c r="U485" s="10"/>
      <c r="V485" s="10"/>
      <c r="W485" s="12">
        <f t="shared" si="153"/>
        <v>0</v>
      </c>
      <c r="Y485" s="10">
        <v>34</v>
      </c>
      <c r="Z485" s="30"/>
      <c r="AB485" s="47"/>
      <c r="AC485" s="31"/>
      <c r="AD485" s="31"/>
      <c r="AE485" s="32">
        <f t="shared" si="147"/>
        <v>0</v>
      </c>
      <c r="AF485" s="10"/>
      <c r="AG485" s="10"/>
      <c r="AH485" s="10"/>
      <c r="AI485" s="12">
        <f t="shared" si="148"/>
        <v>0</v>
      </c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</row>
    <row r="486" spans="1:52" x14ac:dyDescent="0.25">
      <c r="A486" s="10"/>
      <c r="B486" s="30"/>
      <c r="C486" s="31"/>
      <c r="D486" s="32"/>
      <c r="E486" s="32"/>
      <c r="F486" s="32"/>
      <c r="G486" s="32"/>
      <c r="H486" s="10"/>
      <c r="I486" s="10"/>
      <c r="J486" s="10"/>
      <c r="K486" s="12"/>
      <c r="M486" s="10">
        <v>35</v>
      </c>
      <c r="N486" s="30"/>
      <c r="O486" s="31"/>
      <c r="P486" s="47"/>
      <c r="Q486" s="31"/>
      <c r="R486" s="31"/>
      <c r="S486" s="32">
        <f t="shared" si="152"/>
        <v>0</v>
      </c>
      <c r="T486" s="10"/>
      <c r="U486" s="10"/>
      <c r="V486" s="10"/>
      <c r="W486" s="12">
        <f t="shared" si="153"/>
        <v>0</v>
      </c>
      <c r="Y486" s="10">
        <v>35</v>
      </c>
      <c r="Z486" s="30"/>
      <c r="AA486" s="31"/>
      <c r="AB486" s="47"/>
      <c r="AC486" s="31"/>
      <c r="AD486" s="31"/>
      <c r="AE486" s="32">
        <f t="shared" si="147"/>
        <v>0</v>
      </c>
      <c r="AF486" s="10"/>
      <c r="AG486" s="10"/>
      <c r="AH486" s="10"/>
      <c r="AI486" s="12">
        <f t="shared" si="148"/>
        <v>0</v>
      </c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</row>
    <row r="487" spans="1:52" x14ac:dyDescent="0.25">
      <c r="A487" s="10"/>
      <c r="B487" s="30"/>
      <c r="C487" s="31"/>
      <c r="D487" s="32"/>
      <c r="E487" s="32"/>
      <c r="F487" s="32"/>
      <c r="G487" s="32"/>
      <c r="H487" s="10"/>
      <c r="I487" s="10"/>
      <c r="J487" s="10"/>
      <c r="K487" s="12"/>
      <c r="M487" s="10">
        <v>36</v>
      </c>
      <c r="N487" s="30"/>
      <c r="O487" s="31"/>
      <c r="P487" s="47"/>
      <c r="Q487" s="31"/>
      <c r="R487" s="31"/>
      <c r="S487" s="32">
        <f t="shared" si="152"/>
        <v>0</v>
      </c>
      <c r="T487" s="10"/>
      <c r="U487" s="10"/>
      <c r="V487" s="10"/>
      <c r="W487" s="12">
        <f t="shared" si="153"/>
        <v>0</v>
      </c>
      <c r="Y487" s="10">
        <v>36</v>
      </c>
      <c r="Z487" s="30"/>
      <c r="AA487" s="31"/>
      <c r="AB487" s="47"/>
      <c r="AC487" s="31"/>
      <c r="AD487" s="31"/>
      <c r="AE487" s="32">
        <f t="shared" si="147"/>
        <v>0</v>
      </c>
      <c r="AF487" s="10"/>
      <c r="AG487" s="10"/>
      <c r="AH487" s="10"/>
      <c r="AI487" s="12">
        <f t="shared" si="148"/>
        <v>0</v>
      </c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</row>
    <row r="488" spans="1:52" x14ac:dyDescent="0.25">
      <c r="A488" s="10"/>
      <c r="B488" s="30"/>
      <c r="C488" s="57"/>
      <c r="D488" s="32"/>
      <c r="E488" s="32"/>
      <c r="F488" s="32"/>
      <c r="G488" s="32"/>
      <c r="H488" s="10"/>
      <c r="I488" s="10"/>
      <c r="J488" s="10"/>
      <c r="K488" s="12"/>
      <c r="M488" s="10">
        <v>37</v>
      </c>
      <c r="N488" s="30"/>
      <c r="P488" s="47"/>
      <c r="Q488" s="31"/>
      <c r="R488" s="31"/>
      <c r="S488" s="32">
        <f t="shared" si="152"/>
        <v>0</v>
      </c>
      <c r="T488" s="10"/>
      <c r="U488" s="10"/>
      <c r="V488" s="10"/>
      <c r="W488" s="12">
        <f t="shared" si="153"/>
        <v>0</v>
      </c>
      <c r="Y488" s="10">
        <v>37</v>
      </c>
      <c r="Z488" s="30"/>
      <c r="AA488" s="31"/>
      <c r="AB488" s="47"/>
      <c r="AC488" s="31"/>
      <c r="AD488" s="31"/>
      <c r="AE488" s="32">
        <f t="shared" si="147"/>
        <v>0</v>
      </c>
      <c r="AF488" s="10"/>
      <c r="AG488" s="10"/>
      <c r="AH488" s="10"/>
      <c r="AI488" s="12">
        <f t="shared" si="148"/>
        <v>0</v>
      </c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</row>
    <row r="489" spans="1:52" x14ac:dyDescent="0.25">
      <c r="A489" s="10"/>
      <c r="B489" s="30"/>
      <c r="C489" s="31"/>
      <c r="D489" s="32"/>
      <c r="E489" s="32"/>
      <c r="F489" s="32"/>
      <c r="G489" s="32"/>
      <c r="H489" s="10"/>
      <c r="I489" s="10"/>
      <c r="J489" s="10"/>
      <c r="K489" s="12"/>
      <c r="M489" s="10">
        <v>38</v>
      </c>
      <c r="N489" s="30"/>
      <c r="O489" s="31"/>
      <c r="P489" s="47"/>
      <c r="Q489" s="31"/>
      <c r="R489" s="31"/>
      <c r="S489" s="32">
        <f t="shared" si="152"/>
        <v>0</v>
      </c>
      <c r="T489" s="10"/>
      <c r="U489" s="10"/>
      <c r="V489" s="10"/>
      <c r="W489" s="12">
        <f t="shared" si="153"/>
        <v>0</v>
      </c>
      <c r="Y489" s="10">
        <v>38</v>
      </c>
      <c r="Z489" s="30"/>
      <c r="AA489" s="31"/>
      <c r="AB489" s="47"/>
      <c r="AC489" s="31"/>
      <c r="AD489" s="31"/>
      <c r="AE489" s="32">
        <f t="shared" si="147"/>
        <v>0</v>
      </c>
      <c r="AF489" s="10"/>
      <c r="AG489" s="10"/>
      <c r="AH489" s="10"/>
      <c r="AI489" s="12">
        <f t="shared" si="148"/>
        <v>0</v>
      </c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</row>
    <row r="490" spans="1:52" x14ac:dyDescent="0.25">
      <c r="A490" s="10"/>
      <c r="B490" s="30"/>
      <c r="C490" s="57"/>
      <c r="D490" s="32"/>
      <c r="E490" s="32"/>
      <c r="F490" s="32"/>
      <c r="G490" s="32"/>
      <c r="H490" s="10"/>
      <c r="I490" s="10"/>
      <c r="J490" s="10"/>
      <c r="K490" s="12"/>
      <c r="M490" s="10">
        <v>39</v>
      </c>
      <c r="N490" s="30"/>
      <c r="O490" s="31"/>
      <c r="P490" s="47"/>
      <c r="Q490" s="31"/>
      <c r="R490" s="31"/>
      <c r="S490" s="32">
        <f t="shared" si="152"/>
        <v>0</v>
      </c>
      <c r="T490" s="10"/>
      <c r="U490" s="10"/>
      <c r="V490" s="10"/>
      <c r="W490" s="12">
        <f t="shared" si="153"/>
        <v>0</v>
      </c>
      <c r="Y490" s="10">
        <v>39</v>
      </c>
      <c r="Z490" s="30"/>
      <c r="AA490" s="31"/>
      <c r="AB490" s="47"/>
      <c r="AC490" s="31"/>
      <c r="AD490" s="31"/>
      <c r="AE490" s="32">
        <f t="shared" si="147"/>
        <v>0</v>
      </c>
      <c r="AF490" s="10"/>
      <c r="AG490" s="10"/>
      <c r="AH490" s="10"/>
      <c r="AI490" s="12">
        <f t="shared" si="148"/>
        <v>0</v>
      </c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</row>
    <row r="491" spans="1:52" x14ac:dyDescent="0.25">
      <c r="A491" s="10"/>
      <c r="B491" s="30"/>
      <c r="C491" s="31"/>
      <c r="D491" s="32"/>
      <c r="E491" s="32"/>
      <c r="F491" s="32"/>
      <c r="G491" s="32"/>
      <c r="H491" s="10"/>
      <c r="I491" s="10"/>
      <c r="J491" s="10"/>
      <c r="K491" s="12"/>
      <c r="M491" s="10"/>
      <c r="N491" s="30"/>
      <c r="P491" s="47"/>
      <c r="Q491" s="31"/>
      <c r="R491" s="31"/>
      <c r="S491" s="32"/>
      <c r="T491" s="10"/>
      <c r="U491" s="10"/>
      <c r="V491" s="10"/>
      <c r="W491" s="12">
        <f t="shared" si="153"/>
        <v>0</v>
      </c>
      <c r="Y491" s="10"/>
      <c r="Z491" s="30"/>
      <c r="AB491" s="47"/>
      <c r="AC491" s="31"/>
      <c r="AD491" s="31"/>
      <c r="AE491" s="32"/>
      <c r="AF491" s="10"/>
      <c r="AG491" s="10"/>
      <c r="AH491" s="10"/>
      <c r="AI491" s="12">
        <f t="shared" si="148"/>
        <v>0</v>
      </c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</row>
    <row r="492" spans="1:52" x14ac:dyDescent="0.25">
      <c r="A492" s="10"/>
      <c r="B492" s="30"/>
      <c r="C492" s="31"/>
      <c r="D492" s="32"/>
      <c r="E492" s="32"/>
      <c r="F492" s="32"/>
      <c r="G492" s="32">
        <f t="shared" ref="G492" si="154">SUM(D492:E492)</f>
        <v>0</v>
      </c>
      <c r="H492" s="10"/>
      <c r="I492" s="10"/>
      <c r="J492" s="10"/>
      <c r="K492" s="12">
        <f t="shared" ref="K492" si="155">SUM(G492:J492)</f>
        <v>0</v>
      </c>
      <c r="M492" s="10"/>
      <c r="N492" s="30"/>
      <c r="O492" s="31"/>
      <c r="P492" s="47"/>
      <c r="Q492" s="31"/>
      <c r="R492" s="31"/>
      <c r="S492" s="32">
        <f t="shared" ref="S492" si="156">SUM(P492:Q492)</f>
        <v>0</v>
      </c>
      <c r="T492" s="10"/>
      <c r="U492" s="10"/>
      <c r="V492" s="10"/>
      <c r="W492" s="12">
        <f t="shared" si="153"/>
        <v>0</v>
      </c>
      <c r="Y492" s="10"/>
      <c r="Z492" s="30"/>
      <c r="AA492" s="31"/>
      <c r="AB492" s="47"/>
      <c r="AC492" s="31"/>
      <c r="AD492" s="31"/>
      <c r="AE492" s="32">
        <f t="shared" ref="AE492" si="157">SUM(AB492:AC492)</f>
        <v>0</v>
      </c>
      <c r="AF492" s="10"/>
      <c r="AG492" s="10"/>
      <c r="AH492" s="10"/>
      <c r="AI492" s="12">
        <f t="shared" si="148"/>
        <v>0</v>
      </c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</row>
    <row r="493" spans="1:52" x14ac:dyDescent="0.25">
      <c r="A493" s="10"/>
      <c r="B493" s="30"/>
      <c r="C493" s="30"/>
      <c r="D493" s="32"/>
      <c r="E493" s="32"/>
      <c r="F493" s="32"/>
      <c r="G493" s="32"/>
      <c r="H493" s="10"/>
      <c r="I493" s="10"/>
      <c r="J493" s="10"/>
      <c r="K493" s="12"/>
      <c r="M493" s="10"/>
      <c r="N493" s="31"/>
      <c r="O493" s="31"/>
      <c r="P493" s="31"/>
      <c r="Q493" s="31"/>
      <c r="R493" s="31"/>
      <c r="S493" s="31"/>
      <c r="T493" s="10"/>
      <c r="U493" s="10"/>
      <c r="V493" s="10"/>
      <c r="W493" s="12">
        <f t="shared" si="153"/>
        <v>0</v>
      </c>
      <c r="Y493" s="10"/>
      <c r="Z493" s="31"/>
      <c r="AA493" s="31"/>
      <c r="AB493" s="31"/>
      <c r="AC493" s="31"/>
      <c r="AD493" s="31"/>
      <c r="AE493" s="31"/>
      <c r="AF493" s="10"/>
      <c r="AG493" s="10"/>
      <c r="AH493" s="10"/>
      <c r="AI493" s="12">
        <f t="shared" si="148"/>
        <v>0</v>
      </c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</row>
    <row r="494" spans="1:52" x14ac:dyDescent="0.25">
      <c r="B494" s="57"/>
      <c r="C494" s="57"/>
      <c r="D494" s="36"/>
      <c r="E494" s="36"/>
      <c r="F494" s="36"/>
      <c r="G494" s="36"/>
      <c r="H494" s="37"/>
      <c r="I494" s="37"/>
      <c r="J494" s="37"/>
      <c r="K494" s="37"/>
      <c r="N494" s="57"/>
      <c r="O494" s="57"/>
      <c r="P494" s="36"/>
      <c r="Q494" s="36"/>
      <c r="R494" s="36"/>
      <c r="S494" s="36"/>
      <c r="T494" s="37"/>
      <c r="U494" s="37"/>
      <c r="V494" s="37"/>
      <c r="W494" s="37"/>
      <c r="Z494" s="57"/>
      <c r="AA494" s="57"/>
      <c r="AB494" s="36"/>
      <c r="AC494" s="36"/>
      <c r="AD494" s="36"/>
      <c r="AE494" s="36"/>
      <c r="AF494" s="37"/>
      <c r="AG494" s="37"/>
      <c r="AH494" s="37"/>
      <c r="AI494" s="37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</row>
    <row r="495" spans="1:52" x14ac:dyDescent="0.25">
      <c r="B495" s="57"/>
      <c r="C495" s="57"/>
      <c r="D495" s="38">
        <f>SUM(D452:D494)</f>
        <v>315850</v>
      </c>
      <c r="E495" s="38">
        <f t="shared" ref="E495:F495" si="158">SUM(E452:E492)</f>
        <v>0</v>
      </c>
      <c r="F495" s="38">
        <f t="shared" si="158"/>
        <v>0</v>
      </c>
      <c r="G495" s="38">
        <f>SUM(G452:G494)</f>
        <v>315850</v>
      </c>
      <c r="H495" s="4"/>
      <c r="I495" s="39">
        <f>SUM(I452:I494)</f>
        <v>21084</v>
      </c>
      <c r="J495" s="39">
        <f>SUM(J452:J494)</f>
        <v>-26364</v>
      </c>
      <c r="K495" s="40">
        <f>SUM(K452:K494)</f>
        <v>310570</v>
      </c>
      <c r="N495" s="57"/>
      <c r="O495" s="57"/>
      <c r="P495" s="38">
        <f>SUM(P452:P494)</f>
        <v>110893.5</v>
      </c>
      <c r="Q495" s="38">
        <f>SUM(Q452:Q476)</f>
        <v>-976</v>
      </c>
      <c r="R495" s="38">
        <f>SUM(R452:R476)</f>
        <v>0</v>
      </c>
      <c r="S495" s="38">
        <f>SUM(S452:S494)</f>
        <v>109917.5</v>
      </c>
      <c r="T495" s="4"/>
      <c r="U495" s="41">
        <f>SUM(U452:U494)</f>
        <v>85.5</v>
      </c>
      <c r="V495" s="41">
        <f>SUM(V452:V476)</f>
        <v>0</v>
      </c>
      <c r="W495" s="42">
        <f>SUM(W452:W494)</f>
        <v>110003</v>
      </c>
      <c r="Z495" s="57"/>
      <c r="AA495" s="57"/>
      <c r="AB495" s="38">
        <f>SUM(AB452:AB494)</f>
        <v>469351</v>
      </c>
      <c r="AC495" s="38">
        <f>SUM(AC452:AC476)</f>
        <v>-1704</v>
      </c>
      <c r="AD495" s="38">
        <f>SUM(AD452:AD476)</f>
        <v>0</v>
      </c>
      <c r="AE495" s="38">
        <f>SUM(AE452:AE494)</f>
        <v>467647</v>
      </c>
      <c r="AF495" s="4"/>
      <c r="AG495" s="41">
        <f>SUM(AG452:AG494)</f>
        <v>50794</v>
      </c>
      <c r="AH495" s="41">
        <f>SUM(AH452:AH476)</f>
        <v>-38214</v>
      </c>
      <c r="AI495" s="42">
        <f>SUM(AI452:AI494)</f>
        <v>480227</v>
      </c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</row>
    <row r="496" spans="1:52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</row>
    <row r="497" spans="1:52" x14ac:dyDescent="0.25">
      <c r="A497" t="s">
        <v>0</v>
      </c>
      <c r="B497" s="57"/>
      <c r="C497" s="57"/>
      <c r="D497" s="57"/>
      <c r="E497" s="57"/>
      <c r="G497" s="57"/>
      <c r="M497" t="s">
        <v>0</v>
      </c>
      <c r="N497" s="57"/>
      <c r="O497" s="57"/>
      <c r="P497" s="57"/>
      <c r="Q497" s="57"/>
      <c r="R497" s="57"/>
      <c r="S497" s="57"/>
      <c r="Y497" t="s">
        <v>0</v>
      </c>
      <c r="Z497" s="57"/>
      <c r="AA497" s="57"/>
      <c r="AB497" s="57"/>
      <c r="AC497" s="57"/>
      <c r="AD497" s="57"/>
      <c r="AE497" s="57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</row>
    <row r="498" spans="1:52" x14ac:dyDescent="0.25">
      <c r="A498" t="s">
        <v>29</v>
      </c>
      <c r="B498" s="57"/>
      <c r="C498" s="57"/>
      <c r="D498" s="57"/>
      <c r="E498" s="57"/>
      <c r="G498" s="57"/>
      <c r="M498" t="s">
        <v>29</v>
      </c>
      <c r="N498" s="57"/>
      <c r="O498" s="57"/>
      <c r="P498" s="57"/>
      <c r="Q498" s="57"/>
      <c r="R498" s="57"/>
      <c r="S498" s="57"/>
      <c r="Y498" t="s">
        <v>29</v>
      </c>
      <c r="Z498" s="57"/>
      <c r="AA498" s="57"/>
      <c r="AB498" s="57"/>
      <c r="AC498" s="57"/>
      <c r="AD498" s="57"/>
      <c r="AE498" s="57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</row>
    <row r="499" spans="1:52" x14ac:dyDescent="0.25">
      <c r="B499" s="57"/>
      <c r="C499" s="57"/>
      <c r="D499" s="57"/>
      <c r="E499" s="57"/>
      <c r="G499" s="57"/>
      <c r="N499" s="57"/>
      <c r="O499" s="57"/>
      <c r="P499" s="57"/>
      <c r="Q499" s="57"/>
      <c r="R499" s="57"/>
      <c r="S499" s="57"/>
      <c r="Z499" s="57"/>
      <c r="AA499" s="57"/>
      <c r="AB499" s="57"/>
      <c r="AC499" s="57"/>
      <c r="AD499" s="57"/>
      <c r="AE499" s="57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</row>
    <row r="500" spans="1:52" x14ac:dyDescent="0.25">
      <c r="A500" s="4" t="s">
        <v>15</v>
      </c>
      <c r="B500" s="57"/>
      <c r="C500" s="57"/>
      <c r="D500" s="57"/>
      <c r="E500" s="57"/>
      <c r="G500" s="57"/>
      <c r="M500" s="4" t="s">
        <v>15</v>
      </c>
      <c r="N500" s="57"/>
      <c r="O500" s="57"/>
      <c r="P500" s="57"/>
      <c r="Q500" s="57"/>
      <c r="R500" s="57"/>
      <c r="S500" s="57"/>
      <c r="Y500" s="4" t="s">
        <v>15</v>
      </c>
      <c r="Z500" s="57"/>
      <c r="AA500" s="57"/>
      <c r="AB500" s="57"/>
      <c r="AC500" s="57"/>
      <c r="AD500" s="57"/>
      <c r="AE500" s="57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</row>
    <row r="501" spans="1:52" x14ac:dyDescent="0.25">
      <c r="B501" s="57"/>
      <c r="C501" s="57"/>
      <c r="D501" s="57"/>
      <c r="E501" s="57"/>
      <c r="G501" s="57"/>
      <c r="N501" s="57"/>
      <c r="O501" s="57"/>
      <c r="P501" s="57"/>
      <c r="Q501" s="57"/>
      <c r="R501" s="57"/>
      <c r="S501" s="57"/>
      <c r="Z501" s="57"/>
      <c r="AA501" s="57"/>
      <c r="AB501" s="57"/>
      <c r="AC501" s="57"/>
      <c r="AD501" s="57"/>
      <c r="AE501" s="57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</row>
    <row r="502" spans="1:52" ht="15.75" x14ac:dyDescent="0.25">
      <c r="A502" t="s">
        <v>63</v>
      </c>
      <c r="B502" s="57"/>
      <c r="C502" s="57"/>
      <c r="D502" s="57"/>
      <c r="E502" s="57"/>
      <c r="G502" s="57"/>
      <c r="I502" s="57" t="s">
        <v>16</v>
      </c>
      <c r="J502" s="19">
        <v>1</v>
      </c>
      <c r="M502" t="s">
        <v>63</v>
      </c>
      <c r="N502" s="57"/>
      <c r="O502" s="57"/>
      <c r="P502" s="57"/>
      <c r="Q502" s="57"/>
      <c r="R502" s="57"/>
      <c r="S502" s="57"/>
      <c r="U502" s="57" t="s">
        <v>16</v>
      </c>
      <c r="V502" s="19">
        <v>2</v>
      </c>
      <c r="Y502" t="s">
        <v>63</v>
      </c>
      <c r="Z502" s="57"/>
      <c r="AA502" s="57"/>
      <c r="AB502" s="57"/>
      <c r="AC502" s="57"/>
      <c r="AD502" s="57"/>
      <c r="AE502" s="57"/>
      <c r="AG502" s="57" t="s">
        <v>16</v>
      </c>
      <c r="AH502" s="20">
        <v>3</v>
      </c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</row>
    <row r="503" spans="1:52" x14ac:dyDescent="0.25">
      <c r="A503" s="21" t="s">
        <v>64</v>
      </c>
      <c r="B503" s="20"/>
      <c r="C503" s="57"/>
      <c r="D503" s="57"/>
      <c r="E503" s="57"/>
      <c r="G503" s="57"/>
      <c r="I503" s="22" t="s">
        <v>17</v>
      </c>
      <c r="J503" s="23" t="s">
        <v>33</v>
      </c>
      <c r="K503" s="24"/>
      <c r="M503" s="21" t="s">
        <v>64</v>
      </c>
      <c r="N503" s="20"/>
      <c r="O503" s="57"/>
      <c r="P503" s="57"/>
      <c r="Q503" s="57"/>
      <c r="R503" s="57"/>
      <c r="S503" s="57"/>
      <c r="U503" s="22" t="s">
        <v>17</v>
      </c>
      <c r="V503" s="23" t="s">
        <v>34</v>
      </c>
      <c r="W503" s="24"/>
      <c r="Y503" s="21" t="s">
        <v>64</v>
      </c>
      <c r="Z503" s="20"/>
      <c r="AA503" s="57"/>
      <c r="AB503" s="57"/>
      <c r="AC503" s="57"/>
      <c r="AD503" s="57"/>
      <c r="AE503" s="57"/>
      <c r="AG503" s="22" t="s">
        <v>17</v>
      </c>
      <c r="AH503" s="23" t="s">
        <v>35</v>
      </c>
      <c r="AI503" s="24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</row>
    <row r="504" spans="1:52" x14ac:dyDescent="0.25">
      <c r="B504" s="57"/>
      <c r="C504" s="57"/>
      <c r="D504" s="57"/>
      <c r="E504" s="57"/>
      <c r="G504" s="57"/>
      <c r="N504" s="57"/>
      <c r="O504" s="57"/>
      <c r="P504" s="57"/>
      <c r="Q504" s="57"/>
      <c r="R504" s="57"/>
      <c r="S504" s="57"/>
      <c r="Z504" s="57"/>
      <c r="AA504" s="57"/>
      <c r="AB504" s="57"/>
      <c r="AC504" s="57"/>
      <c r="AD504" s="57"/>
      <c r="AE504" s="57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</row>
    <row r="505" spans="1:52" x14ac:dyDescent="0.25">
      <c r="B505" s="25"/>
      <c r="C505" s="26"/>
      <c r="D505" s="121" t="s">
        <v>18</v>
      </c>
      <c r="E505" s="121"/>
      <c r="F505" s="103"/>
      <c r="G505" s="27"/>
      <c r="I505" s="119" t="s">
        <v>19</v>
      </c>
      <c r="J505" s="120"/>
      <c r="K505" s="117" t="s">
        <v>20</v>
      </c>
      <c r="N505" s="25"/>
      <c r="O505" s="26"/>
      <c r="P505" s="121" t="s">
        <v>18</v>
      </c>
      <c r="Q505" s="121"/>
      <c r="R505" s="103"/>
      <c r="S505" s="27"/>
      <c r="U505" s="119" t="s">
        <v>19</v>
      </c>
      <c r="V505" s="120"/>
      <c r="W505" s="117" t="s">
        <v>20</v>
      </c>
      <c r="Z505" s="25"/>
      <c r="AA505" s="26"/>
      <c r="AB505" s="121" t="s">
        <v>18</v>
      </c>
      <c r="AC505" s="121"/>
      <c r="AD505" s="103"/>
      <c r="AE505" s="27"/>
      <c r="AG505" s="119" t="s">
        <v>19</v>
      </c>
      <c r="AH505" s="120"/>
      <c r="AI505" s="117" t="s">
        <v>20</v>
      </c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</row>
    <row r="506" spans="1:52" ht="30" x14ac:dyDescent="0.25">
      <c r="B506" s="28" t="s">
        <v>21</v>
      </c>
      <c r="C506" s="28" t="s">
        <v>22</v>
      </c>
      <c r="D506" s="83" t="s">
        <v>23</v>
      </c>
      <c r="E506" s="82" t="s">
        <v>24</v>
      </c>
      <c r="F506" s="84" t="s">
        <v>36</v>
      </c>
      <c r="G506" s="84" t="s">
        <v>25</v>
      </c>
      <c r="I506" s="29" t="s">
        <v>26</v>
      </c>
      <c r="J506" s="29" t="s">
        <v>27</v>
      </c>
      <c r="K506" s="118"/>
      <c r="N506" s="28" t="s">
        <v>21</v>
      </c>
      <c r="O506" s="28" t="s">
        <v>22</v>
      </c>
      <c r="P506" s="83" t="s">
        <v>23</v>
      </c>
      <c r="Q506" s="84" t="s">
        <v>24</v>
      </c>
      <c r="R506" s="84" t="s">
        <v>36</v>
      </c>
      <c r="S506" s="84" t="s">
        <v>25</v>
      </c>
      <c r="U506" s="29" t="s">
        <v>26</v>
      </c>
      <c r="V506" s="29" t="s">
        <v>27</v>
      </c>
      <c r="W506" s="118"/>
      <c r="Z506" s="28" t="s">
        <v>21</v>
      </c>
      <c r="AA506" s="28" t="s">
        <v>22</v>
      </c>
      <c r="AB506" s="83" t="s">
        <v>23</v>
      </c>
      <c r="AC506" s="84" t="s">
        <v>24</v>
      </c>
      <c r="AD506" s="84" t="s">
        <v>36</v>
      </c>
      <c r="AE506" s="84" t="s">
        <v>25</v>
      </c>
      <c r="AG506" s="29" t="s">
        <v>26</v>
      </c>
      <c r="AH506" s="29" t="s">
        <v>27</v>
      </c>
      <c r="AI506" s="118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</row>
    <row r="507" spans="1:52" x14ac:dyDescent="0.25">
      <c r="A507" s="10">
        <v>1</v>
      </c>
      <c r="B507" s="30" t="s">
        <v>62</v>
      </c>
      <c r="C507" s="31">
        <v>5066</v>
      </c>
      <c r="D507" s="32">
        <f>70738+2456+913+2980+852+832+2290+650</f>
        <v>81711</v>
      </c>
      <c r="E507" s="32"/>
      <c r="F507" s="32"/>
      <c r="G507" s="32">
        <f t="shared" ref="G507:G540" si="159">SUM(D507:E507)</f>
        <v>81711</v>
      </c>
      <c r="H507" s="12"/>
      <c r="I507" s="12"/>
      <c r="J507" s="12"/>
      <c r="K507" s="12">
        <f t="shared" ref="K507:K540" si="160">SUM(G507:J507)</f>
        <v>81711</v>
      </c>
      <c r="M507" s="10">
        <v>1</v>
      </c>
      <c r="N507" s="30" t="s">
        <v>62</v>
      </c>
      <c r="O507" s="31">
        <v>5120</v>
      </c>
      <c r="P507" s="32">
        <f>1252+1192+38</f>
        <v>2482</v>
      </c>
      <c r="Q507" s="32"/>
      <c r="R507" s="32"/>
      <c r="S507" s="32">
        <f>SUM(P507:Q507)</f>
        <v>2482</v>
      </c>
      <c r="T507" s="12"/>
      <c r="U507" s="12"/>
      <c r="V507" s="12"/>
      <c r="W507" s="12">
        <f>SUM(S507:V507)</f>
        <v>2482</v>
      </c>
      <c r="Y507" s="10">
        <v>1</v>
      </c>
      <c r="Z507" s="30" t="s">
        <v>62</v>
      </c>
      <c r="AA507" s="31">
        <v>4898</v>
      </c>
      <c r="AB507" s="32">
        <f>100160+3070+5960+1374</f>
        <v>110564</v>
      </c>
      <c r="AC507" s="32"/>
      <c r="AD507" s="32"/>
      <c r="AE507" s="32">
        <f>SUM(AB507:AC507)</f>
        <v>110564</v>
      </c>
      <c r="AF507" s="12"/>
      <c r="AG507" s="12">
        <f>18315+468</f>
        <v>18783</v>
      </c>
      <c r="AH507" s="12"/>
      <c r="AI507" s="12">
        <f>SUM(AE507:AH507)</f>
        <v>129347</v>
      </c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</row>
    <row r="508" spans="1:52" x14ac:dyDescent="0.25">
      <c r="A508" s="10">
        <v>2</v>
      </c>
      <c r="B508" s="30" t="s">
        <v>62</v>
      </c>
      <c r="C508" s="31">
        <f>C507+1</f>
        <v>5067</v>
      </c>
      <c r="D508" s="32">
        <f>5008+229</f>
        <v>5237</v>
      </c>
      <c r="E508" s="32"/>
      <c r="F508" s="32"/>
      <c r="G508" s="32">
        <f t="shared" si="159"/>
        <v>5237</v>
      </c>
      <c r="H508" s="12"/>
      <c r="I508" s="12">
        <v>59</v>
      </c>
      <c r="J508" s="12"/>
      <c r="K508" s="12">
        <f t="shared" si="160"/>
        <v>5296</v>
      </c>
      <c r="M508" s="10">
        <v>2</v>
      </c>
      <c r="N508" s="30" t="s">
        <v>62</v>
      </c>
      <c r="O508" s="31">
        <f>O507+1</f>
        <v>5121</v>
      </c>
      <c r="P508" s="32">
        <f>1252+1192+38</f>
        <v>2482</v>
      </c>
      <c r="Q508" s="32"/>
      <c r="R508" s="32"/>
      <c r="S508" s="32">
        <f t="shared" ref="S508:S521" si="161">SUM(P508:Q508)</f>
        <v>2482</v>
      </c>
      <c r="T508" s="12"/>
      <c r="U508" s="12">
        <v>222</v>
      </c>
      <c r="V508" s="12"/>
      <c r="W508" s="12">
        <f t="shared" ref="W508:W521" si="162">SUM(S508:V508)</f>
        <v>2704</v>
      </c>
      <c r="Y508" s="10">
        <v>2</v>
      </c>
      <c r="Z508" s="30" t="s">
        <v>62</v>
      </c>
      <c r="AA508" s="31">
        <f>AA507+1</f>
        <v>4899</v>
      </c>
      <c r="AB508" s="32">
        <f>6260</f>
        <v>6260</v>
      </c>
      <c r="AC508" s="32"/>
      <c r="AD508" s="32"/>
      <c r="AE508" s="32">
        <f t="shared" ref="AE508:AE545" si="163">SUM(AB508:AC508)</f>
        <v>6260</v>
      </c>
      <c r="AF508" s="12"/>
      <c r="AG508" s="12">
        <v>27</v>
      </c>
      <c r="AH508" s="12"/>
      <c r="AI508" s="12">
        <f t="shared" ref="AI508:AI548" si="164">SUM(AE508:AH508)</f>
        <v>6287</v>
      </c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</row>
    <row r="509" spans="1:52" x14ac:dyDescent="0.25">
      <c r="A509" s="10">
        <v>3</v>
      </c>
      <c r="B509" s="30" t="s">
        <v>62</v>
      </c>
      <c r="C509" s="31">
        <f t="shared" ref="C509:C534" si="165">C508+1</f>
        <v>5068</v>
      </c>
      <c r="D509" s="33">
        <f>1878+29</f>
        <v>1907</v>
      </c>
      <c r="E509" s="33"/>
      <c r="F509" s="33"/>
      <c r="G509" s="33">
        <f t="shared" si="159"/>
        <v>1907</v>
      </c>
      <c r="H509" s="34"/>
      <c r="I509" s="34"/>
      <c r="J509" s="34"/>
      <c r="K509" s="34">
        <f t="shared" si="160"/>
        <v>1907</v>
      </c>
      <c r="M509" s="10">
        <v>3</v>
      </c>
      <c r="N509" s="30" t="s">
        <v>62</v>
      </c>
      <c r="O509" s="31">
        <f t="shared" ref="O509:O522" si="166">O508+1</f>
        <v>5122</v>
      </c>
      <c r="P509" s="32">
        <f>1878</f>
        <v>1878</v>
      </c>
      <c r="Q509" s="32"/>
      <c r="R509" s="32"/>
      <c r="S509" s="32">
        <f t="shared" si="161"/>
        <v>1878</v>
      </c>
      <c r="T509" s="12"/>
      <c r="U509" s="12"/>
      <c r="V509" s="12"/>
      <c r="W509" s="12">
        <f t="shared" si="162"/>
        <v>1878</v>
      </c>
      <c r="Y509" s="10">
        <v>3</v>
      </c>
      <c r="Z509" s="30" t="s">
        <v>62</v>
      </c>
      <c r="AA509" s="31">
        <v>5100</v>
      </c>
      <c r="AB509" s="33">
        <f>25040+5960+458</f>
        <v>31458</v>
      </c>
      <c r="AC509" s="33"/>
      <c r="AD509" s="32"/>
      <c r="AE509" s="32">
        <f t="shared" si="163"/>
        <v>31458</v>
      </c>
      <c r="AF509" s="12"/>
      <c r="AG509" s="12">
        <f>5550+156</f>
        <v>5706</v>
      </c>
      <c r="AH509" s="12"/>
      <c r="AI509" s="12">
        <f t="shared" si="164"/>
        <v>37164</v>
      </c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</row>
    <row r="510" spans="1:52" x14ac:dyDescent="0.25">
      <c r="A510" s="10">
        <v>4</v>
      </c>
      <c r="B510" s="30" t="s">
        <v>62</v>
      </c>
      <c r="C510" s="31">
        <f t="shared" si="165"/>
        <v>5069</v>
      </c>
      <c r="D510" s="32">
        <f>2504+38</f>
        <v>2542</v>
      </c>
      <c r="E510" s="32"/>
      <c r="F510" s="32"/>
      <c r="G510" s="32">
        <f t="shared" si="159"/>
        <v>2542</v>
      </c>
      <c r="H510" s="12"/>
      <c r="I510" s="12">
        <v>14</v>
      </c>
      <c r="J510" s="12"/>
      <c r="K510" s="12">
        <f t="shared" si="160"/>
        <v>2556</v>
      </c>
      <c r="M510" s="10">
        <v>4</v>
      </c>
      <c r="N510" s="30" t="s">
        <v>62</v>
      </c>
      <c r="O510" s="31">
        <f t="shared" si="166"/>
        <v>5123</v>
      </c>
      <c r="P510" s="32">
        <f>3130+10132+209</f>
        <v>13471</v>
      </c>
      <c r="Q510" s="32"/>
      <c r="R510" s="32"/>
      <c r="S510" s="32">
        <f t="shared" si="161"/>
        <v>13471</v>
      </c>
      <c r="T510" s="12"/>
      <c r="U510" s="12">
        <v>18</v>
      </c>
      <c r="V510" s="12"/>
      <c r="W510" s="12">
        <f t="shared" si="162"/>
        <v>13489</v>
      </c>
      <c r="Y510" s="10">
        <v>4</v>
      </c>
      <c r="Z510" s="30"/>
      <c r="AA510" s="11" t="s">
        <v>28</v>
      </c>
      <c r="AB510" s="32"/>
      <c r="AC510" s="32"/>
      <c r="AD510" s="32"/>
      <c r="AE510" s="32">
        <f t="shared" si="163"/>
        <v>0</v>
      </c>
      <c r="AF510" s="12"/>
      <c r="AH510" s="12"/>
      <c r="AI510" s="12">
        <f t="shared" si="164"/>
        <v>0</v>
      </c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</row>
    <row r="511" spans="1:52" x14ac:dyDescent="0.25">
      <c r="A511" s="10">
        <v>5</v>
      </c>
      <c r="B511" s="30" t="s">
        <v>62</v>
      </c>
      <c r="C511" s="31">
        <f t="shared" si="165"/>
        <v>5070</v>
      </c>
      <c r="D511" s="32">
        <f>7512+1788+143</f>
        <v>9443</v>
      </c>
      <c r="E511" s="32"/>
      <c r="F511" s="32"/>
      <c r="G511" s="32">
        <f t="shared" si="159"/>
        <v>9443</v>
      </c>
      <c r="H511" s="12"/>
      <c r="I511" s="12"/>
      <c r="J511" s="12"/>
      <c r="K511" s="12">
        <f t="shared" si="160"/>
        <v>9443</v>
      </c>
      <c r="M511" s="10">
        <v>5</v>
      </c>
      <c r="N511" s="30" t="s">
        <v>62</v>
      </c>
      <c r="O511" s="31">
        <f t="shared" si="166"/>
        <v>5124</v>
      </c>
      <c r="P511" s="32">
        <f>2384+38</f>
        <v>2422</v>
      </c>
      <c r="Q511" s="32"/>
      <c r="R511" s="32"/>
      <c r="S511" s="32">
        <f t="shared" si="161"/>
        <v>2422</v>
      </c>
      <c r="T511" s="12"/>
      <c r="U511" s="12"/>
      <c r="V511" s="12"/>
      <c r="W511" s="12">
        <f t="shared" si="162"/>
        <v>2422</v>
      </c>
      <c r="Y511" s="10">
        <v>5</v>
      </c>
      <c r="Z511" s="30"/>
      <c r="AA511" s="31"/>
      <c r="AB511" s="32"/>
      <c r="AC511" s="32"/>
      <c r="AD511" s="32"/>
      <c r="AE511" s="32">
        <f t="shared" si="163"/>
        <v>0</v>
      </c>
      <c r="AF511" s="12"/>
      <c r="AG511" s="12"/>
      <c r="AH511" s="12"/>
      <c r="AI511" s="12">
        <f t="shared" si="164"/>
        <v>0</v>
      </c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</row>
    <row r="512" spans="1:52" x14ac:dyDescent="0.25">
      <c r="A512" s="10">
        <v>6</v>
      </c>
      <c r="B512" s="30" t="s">
        <v>62</v>
      </c>
      <c r="C512" s="31">
        <f t="shared" si="165"/>
        <v>5071</v>
      </c>
      <c r="D512" s="32">
        <f>4382+1192+1102+86</f>
        <v>6762</v>
      </c>
      <c r="E512" s="32"/>
      <c r="F512" s="32"/>
      <c r="G512" s="32">
        <f t="shared" si="159"/>
        <v>6762</v>
      </c>
      <c r="H512" s="12"/>
      <c r="I512" s="12">
        <v>68</v>
      </c>
      <c r="J512" s="12"/>
      <c r="K512" s="12">
        <f t="shared" si="160"/>
        <v>6830</v>
      </c>
      <c r="M512" s="10">
        <v>6</v>
      </c>
      <c r="N512" s="30" t="s">
        <v>62</v>
      </c>
      <c r="O512" s="31">
        <f t="shared" si="166"/>
        <v>5125</v>
      </c>
      <c r="P512" s="32">
        <f>2980</f>
        <v>2980</v>
      </c>
      <c r="Q512" s="32"/>
      <c r="R512" s="32"/>
      <c r="S512" s="32">
        <f t="shared" si="161"/>
        <v>2980</v>
      </c>
      <c r="T512" s="12"/>
      <c r="U512" s="12"/>
      <c r="V512" s="10"/>
      <c r="W512" s="12">
        <f t="shared" si="162"/>
        <v>2980</v>
      </c>
      <c r="Y512" s="10">
        <v>6</v>
      </c>
      <c r="Z512" s="30"/>
      <c r="AA512" s="31"/>
      <c r="AB512" s="32"/>
      <c r="AC512" s="32"/>
      <c r="AD512" s="32"/>
      <c r="AE512" s="32">
        <f t="shared" si="163"/>
        <v>0</v>
      </c>
      <c r="AF512" s="12"/>
      <c r="AG512" s="12"/>
      <c r="AH512" s="10"/>
      <c r="AI512" s="12">
        <f t="shared" si="164"/>
        <v>0</v>
      </c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</row>
    <row r="513" spans="1:52" x14ac:dyDescent="0.25">
      <c r="A513" s="10">
        <v>7</v>
      </c>
      <c r="B513" s="30" t="s">
        <v>62</v>
      </c>
      <c r="C513" s="31">
        <f t="shared" si="165"/>
        <v>5072</v>
      </c>
      <c r="D513" s="32">
        <f>626+10</f>
        <v>636</v>
      </c>
      <c r="E513" s="32"/>
      <c r="F513" s="32"/>
      <c r="G513" s="32">
        <f t="shared" si="159"/>
        <v>636</v>
      </c>
      <c r="H513" s="12"/>
      <c r="I513" s="12"/>
      <c r="J513" s="12"/>
      <c r="K513" s="12">
        <f t="shared" si="160"/>
        <v>636</v>
      </c>
      <c r="M513" s="10">
        <v>7</v>
      </c>
      <c r="N513" s="30" t="s">
        <v>62</v>
      </c>
      <c r="O513" s="31">
        <f t="shared" si="166"/>
        <v>5126</v>
      </c>
      <c r="P513" s="32">
        <f>1252+596+38</f>
        <v>1886</v>
      </c>
      <c r="Q513" s="32"/>
      <c r="R513" s="32"/>
      <c r="S513" s="32">
        <f t="shared" si="161"/>
        <v>1886</v>
      </c>
      <c r="T513" s="12"/>
      <c r="U513" s="12"/>
      <c r="V513" s="12"/>
      <c r="W513" s="12">
        <f t="shared" si="162"/>
        <v>1886</v>
      </c>
      <c r="Y513" s="10">
        <v>7</v>
      </c>
      <c r="Z513" s="30"/>
      <c r="AB513" s="32"/>
      <c r="AC513" s="32"/>
      <c r="AD513" s="32"/>
      <c r="AE513" s="32">
        <f t="shared" si="163"/>
        <v>0</v>
      </c>
      <c r="AF513" s="12"/>
      <c r="AG513" s="58"/>
      <c r="AH513" s="12"/>
      <c r="AI513" s="12">
        <f t="shared" si="164"/>
        <v>0</v>
      </c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</row>
    <row r="514" spans="1:52" x14ac:dyDescent="0.25">
      <c r="A514" s="10">
        <v>8</v>
      </c>
      <c r="B514" s="30" t="s">
        <v>62</v>
      </c>
      <c r="C514" s="31">
        <f t="shared" si="165"/>
        <v>5073</v>
      </c>
      <c r="D514" s="32">
        <f>1252+19</f>
        <v>1271</v>
      </c>
      <c r="E514" s="32"/>
      <c r="F514" s="32"/>
      <c r="G514" s="32">
        <f t="shared" si="159"/>
        <v>1271</v>
      </c>
      <c r="H514" s="12"/>
      <c r="I514" s="12"/>
      <c r="J514" s="12"/>
      <c r="K514" s="12">
        <f t="shared" si="160"/>
        <v>1271</v>
      </c>
      <c r="M514" s="10">
        <v>8</v>
      </c>
      <c r="N514" s="30" t="s">
        <v>62</v>
      </c>
      <c r="O514" s="31">
        <f t="shared" si="166"/>
        <v>5127</v>
      </c>
      <c r="P514" s="32">
        <f>1878+596+38</f>
        <v>2512</v>
      </c>
      <c r="Q514" s="32"/>
      <c r="R514" s="32"/>
      <c r="S514" s="32">
        <f t="shared" si="161"/>
        <v>2512</v>
      </c>
      <c r="T514" s="12"/>
      <c r="U514" s="12"/>
      <c r="V514" s="12"/>
      <c r="W514" s="12">
        <f t="shared" si="162"/>
        <v>2512</v>
      </c>
      <c r="Y514" s="10">
        <v>8</v>
      </c>
      <c r="Z514" s="30"/>
      <c r="AA514" s="31"/>
      <c r="AB514" s="32"/>
      <c r="AC514" s="32"/>
      <c r="AE514" s="32">
        <f t="shared" si="163"/>
        <v>0</v>
      </c>
      <c r="AF514" s="12"/>
      <c r="AG514" s="12"/>
      <c r="AH514" s="12"/>
      <c r="AI514" s="12">
        <f t="shared" si="164"/>
        <v>0</v>
      </c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</row>
    <row r="515" spans="1:52" x14ac:dyDescent="0.25">
      <c r="A515" s="10">
        <v>9</v>
      </c>
      <c r="B515" s="30" t="s">
        <v>62</v>
      </c>
      <c r="C515" s="31">
        <f t="shared" si="165"/>
        <v>5074</v>
      </c>
      <c r="D515" s="32">
        <f>2504</f>
        <v>2504</v>
      </c>
      <c r="E515" s="32"/>
      <c r="F515" s="32"/>
      <c r="G515" s="32">
        <f t="shared" si="159"/>
        <v>2504</v>
      </c>
      <c r="H515" s="12"/>
      <c r="I515" s="12"/>
      <c r="J515" s="12"/>
      <c r="K515" s="12">
        <f t="shared" si="160"/>
        <v>2504</v>
      </c>
      <c r="M515" s="10">
        <v>9</v>
      </c>
      <c r="N515" s="30" t="s">
        <v>62</v>
      </c>
      <c r="O515" s="31">
        <f t="shared" si="166"/>
        <v>5128</v>
      </c>
      <c r="P515" s="32">
        <f>3130+47.5</f>
        <v>3177.5</v>
      </c>
      <c r="Q515" s="32"/>
      <c r="R515" s="32"/>
      <c r="S515" s="32">
        <f t="shared" si="161"/>
        <v>3177.5</v>
      </c>
      <c r="T515" s="12"/>
      <c r="U515" s="12"/>
      <c r="V515" s="12"/>
      <c r="W515" s="12">
        <f t="shared" si="162"/>
        <v>3177.5</v>
      </c>
      <c r="Y515" s="10">
        <v>9</v>
      </c>
      <c r="Z515" s="30"/>
      <c r="AA515" s="31"/>
      <c r="AC515" s="32"/>
      <c r="AD515" s="32"/>
      <c r="AE515" s="32">
        <f t="shared" si="163"/>
        <v>0</v>
      </c>
      <c r="AF515" s="12"/>
      <c r="AH515" s="12"/>
      <c r="AI515" s="12">
        <f t="shared" si="164"/>
        <v>0</v>
      </c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</row>
    <row r="516" spans="1:52" x14ac:dyDescent="0.25">
      <c r="A516" s="10">
        <v>10</v>
      </c>
      <c r="B516" s="30" t="s">
        <v>62</v>
      </c>
      <c r="C516" s="31">
        <f t="shared" si="165"/>
        <v>5075</v>
      </c>
      <c r="D516" s="32">
        <f>1252+19</f>
        <v>1271</v>
      </c>
      <c r="E516" s="32"/>
      <c r="F516" s="32"/>
      <c r="G516" s="32">
        <f t="shared" si="159"/>
        <v>1271</v>
      </c>
      <c r="H516" s="12"/>
      <c r="I516" s="12"/>
      <c r="J516" s="12"/>
      <c r="K516" s="12">
        <f t="shared" si="160"/>
        <v>1271</v>
      </c>
      <c r="M516" s="10">
        <v>10</v>
      </c>
      <c r="N516" s="30" t="s">
        <v>62</v>
      </c>
      <c r="O516" s="31">
        <f t="shared" si="166"/>
        <v>5129</v>
      </c>
      <c r="P516" s="32">
        <f>5008+614+596+85.5</f>
        <v>6303.5</v>
      </c>
      <c r="Q516" s="32"/>
      <c r="R516" s="32"/>
      <c r="S516" s="32">
        <f t="shared" si="161"/>
        <v>6303.5</v>
      </c>
      <c r="T516" s="12"/>
      <c r="U516" s="12"/>
      <c r="V516" s="12"/>
      <c r="W516" s="12">
        <f t="shared" si="162"/>
        <v>6303.5</v>
      </c>
      <c r="Y516" s="10">
        <v>10</v>
      </c>
      <c r="Z516" s="30"/>
      <c r="AB516" s="32"/>
      <c r="AC516" s="32"/>
      <c r="AD516" s="32"/>
      <c r="AE516" s="32">
        <f t="shared" si="163"/>
        <v>0</v>
      </c>
      <c r="AF516" s="12"/>
      <c r="AG516" s="12"/>
      <c r="AH516" s="12"/>
      <c r="AI516" s="12">
        <f t="shared" si="164"/>
        <v>0</v>
      </c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</row>
    <row r="517" spans="1:52" x14ac:dyDescent="0.25">
      <c r="A517" s="10">
        <v>11</v>
      </c>
      <c r="B517" s="30" t="s">
        <v>62</v>
      </c>
      <c r="C517" s="31">
        <f t="shared" si="165"/>
        <v>5076</v>
      </c>
      <c r="D517" s="32">
        <f>3756+57</f>
        <v>3813</v>
      </c>
      <c r="E517" s="32"/>
      <c r="F517" s="32"/>
      <c r="G517" s="32">
        <f t="shared" si="159"/>
        <v>3813</v>
      </c>
      <c r="H517" s="12"/>
      <c r="I517" s="12"/>
      <c r="J517" s="12"/>
      <c r="K517" s="12">
        <f t="shared" si="160"/>
        <v>3813</v>
      </c>
      <c r="M517" s="10">
        <v>11</v>
      </c>
      <c r="N517" s="30" t="s">
        <v>62</v>
      </c>
      <c r="O517" s="31">
        <f t="shared" si="166"/>
        <v>5130</v>
      </c>
      <c r="P517" s="32">
        <f>3130+47.5</f>
        <v>3177.5</v>
      </c>
      <c r="Q517" s="32"/>
      <c r="R517" s="32"/>
      <c r="S517" s="32">
        <f t="shared" si="161"/>
        <v>3177.5</v>
      </c>
      <c r="T517" s="12"/>
      <c r="U517" s="12"/>
      <c r="V517" s="12"/>
      <c r="W517" s="12">
        <f t="shared" si="162"/>
        <v>3177.5</v>
      </c>
      <c r="Y517" s="10">
        <v>11</v>
      </c>
      <c r="Z517" s="30"/>
      <c r="AA517" s="31"/>
      <c r="AB517" s="32"/>
      <c r="AC517" s="32"/>
      <c r="AD517" s="32"/>
      <c r="AE517" s="32">
        <f t="shared" si="163"/>
        <v>0</v>
      </c>
      <c r="AF517" s="12"/>
      <c r="AG517" s="12"/>
      <c r="AH517" s="12"/>
      <c r="AI517" s="12">
        <f t="shared" si="164"/>
        <v>0</v>
      </c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</row>
    <row r="518" spans="1:52" x14ac:dyDescent="0.25">
      <c r="A518" s="10">
        <v>12</v>
      </c>
      <c r="B518" s="30" t="s">
        <v>62</v>
      </c>
      <c r="C518" s="31">
        <f t="shared" si="165"/>
        <v>5077</v>
      </c>
      <c r="D518" s="32">
        <f>626+10</f>
        <v>636</v>
      </c>
      <c r="E518" s="32"/>
      <c r="F518" s="32"/>
      <c r="G518" s="32">
        <f t="shared" si="159"/>
        <v>636</v>
      </c>
      <c r="H518" s="12"/>
      <c r="I518" s="12"/>
      <c r="J518" s="10"/>
      <c r="K518" s="12">
        <f t="shared" si="160"/>
        <v>636</v>
      </c>
      <c r="M518" s="10">
        <v>12</v>
      </c>
      <c r="N518" s="30" t="s">
        <v>62</v>
      </c>
      <c r="O518" s="31">
        <f t="shared" si="166"/>
        <v>5131</v>
      </c>
      <c r="P518" s="32">
        <f>1878+614+1192</f>
        <v>3684</v>
      </c>
      <c r="Q518" s="32"/>
      <c r="R518" s="32"/>
      <c r="S518" s="32">
        <f t="shared" si="161"/>
        <v>3684</v>
      </c>
      <c r="T518" s="12"/>
      <c r="U518" s="12">
        <v>5</v>
      </c>
      <c r="V518" s="12"/>
      <c r="W518" s="12">
        <f t="shared" si="162"/>
        <v>3689</v>
      </c>
      <c r="Y518" s="10">
        <v>12</v>
      </c>
      <c r="Z518" s="30"/>
      <c r="AA518" s="31"/>
      <c r="AB518" s="32"/>
      <c r="AC518" s="32"/>
      <c r="AD518" s="32"/>
      <c r="AE518" s="32">
        <f t="shared" si="163"/>
        <v>0</v>
      </c>
      <c r="AF518" s="12"/>
      <c r="AG518" s="12"/>
      <c r="AH518" s="12"/>
      <c r="AI518" s="12">
        <f t="shared" si="164"/>
        <v>0</v>
      </c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</row>
    <row r="519" spans="1:52" x14ac:dyDescent="0.25">
      <c r="A519" s="10">
        <v>13</v>
      </c>
      <c r="B519" s="30" t="s">
        <v>62</v>
      </c>
      <c r="C519" s="31">
        <f t="shared" si="165"/>
        <v>5078</v>
      </c>
      <c r="D519" s="32">
        <f>626+10</f>
        <v>636</v>
      </c>
      <c r="E519" s="32"/>
      <c r="F519" s="32"/>
      <c r="G519" s="32">
        <f t="shared" si="159"/>
        <v>636</v>
      </c>
      <c r="H519" s="12"/>
      <c r="I519" s="12"/>
      <c r="J519" s="12"/>
      <c r="K519" s="12">
        <f t="shared" si="160"/>
        <v>636</v>
      </c>
      <c r="M519" s="10">
        <v>13</v>
      </c>
      <c r="N519" s="30" t="s">
        <v>62</v>
      </c>
      <c r="O519" s="31">
        <f t="shared" si="166"/>
        <v>5132</v>
      </c>
      <c r="P519" s="32">
        <f>2504+38</f>
        <v>2542</v>
      </c>
      <c r="Q519" s="32"/>
      <c r="R519" s="32"/>
      <c r="S519" s="32">
        <f t="shared" si="161"/>
        <v>2542</v>
      </c>
      <c r="T519" s="12"/>
      <c r="U519" s="12">
        <v>18</v>
      </c>
      <c r="V519" s="12"/>
      <c r="W519" s="12">
        <f t="shared" si="162"/>
        <v>2560</v>
      </c>
      <c r="Y519" s="10">
        <v>13</v>
      </c>
      <c r="Z519" s="30"/>
      <c r="AA519" s="31"/>
      <c r="AB519" s="32"/>
      <c r="AC519" s="32"/>
      <c r="AD519" s="32"/>
      <c r="AE519" s="32">
        <f t="shared" si="163"/>
        <v>0</v>
      </c>
      <c r="AF519" s="12"/>
      <c r="AG519" s="12"/>
      <c r="AH519" s="12"/>
      <c r="AI519" s="12">
        <f t="shared" si="164"/>
        <v>0</v>
      </c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</row>
    <row r="520" spans="1:52" x14ac:dyDescent="0.25">
      <c r="A520" s="10">
        <v>14</v>
      </c>
      <c r="B520" s="30" t="s">
        <v>62</v>
      </c>
      <c r="C520" s="31">
        <f t="shared" si="165"/>
        <v>5079</v>
      </c>
      <c r="D520" s="32">
        <f>1252+1192+38</f>
        <v>2482</v>
      </c>
      <c r="E520" s="32"/>
      <c r="F520" s="32"/>
      <c r="G520" s="32">
        <f t="shared" si="159"/>
        <v>2482</v>
      </c>
      <c r="H520" s="12"/>
      <c r="I520" s="12">
        <f>222+41</f>
        <v>263</v>
      </c>
      <c r="J520" s="12"/>
      <c r="K520" s="12">
        <f t="shared" si="160"/>
        <v>2745</v>
      </c>
      <c r="M520" s="10">
        <v>14</v>
      </c>
      <c r="N520" s="30" t="s">
        <v>62</v>
      </c>
      <c r="O520" s="31">
        <f t="shared" si="166"/>
        <v>5133</v>
      </c>
      <c r="P520" s="32">
        <f>5008</f>
        <v>5008</v>
      </c>
      <c r="Q520" s="32"/>
      <c r="R520" s="32"/>
      <c r="S520" s="32">
        <f t="shared" si="161"/>
        <v>5008</v>
      </c>
      <c r="T520" s="12"/>
      <c r="U520" s="12"/>
      <c r="V520" s="12"/>
      <c r="W520" s="12">
        <f t="shared" si="162"/>
        <v>5008</v>
      </c>
      <c r="Y520" s="10">
        <v>14</v>
      </c>
      <c r="Z520" s="30"/>
      <c r="AA520" s="31"/>
      <c r="AB520" s="32"/>
      <c r="AC520" s="32"/>
      <c r="AD520" s="32"/>
      <c r="AE520" s="32">
        <f t="shared" si="163"/>
        <v>0</v>
      </c>
      <c r="AF520" s="12"/>
      <c r="AG520" s="12"/>
      <c r="AH520" s="12"/>
      <c r="AI520" s="12">
        <f t="shared" si="164"/>
        <v>0</v>
      </c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</row>
    <row r="521" spans="1:52" x14ac:dyDescent="0.25">
      <c r="A521" s="10">
        <v>15</v>
      </c>
      <c r="B521" s="30" t="s">
        <v>62</v>
      </c>
      <c r="C521" s="31">
        <f t="shared" si="165"/>
        <v>5080</v>
      </c>
      <c r="D521" s="32">
        <f>1878+29</f>
        <v>1907</v>
      </c>
      <c r="E521" s="32"/>
      <c r="F521" s="32"/>
      <c r="G521" s="32">
        <f t="shared" si="159"/>
        <v>1907</v>
      </c>
      <c r="H521" s="12"/>
      <c r="I521" s="12">
        <v>45</v>
      </c>
      <c r="J521" s="12"/>
      <c r="K521" s="12">
        <f t="shared" si="160"/>
        <v>1952</v>
      </c>
      <c r="M521" s="10">
        <v>15</v>
      </c>
      <c r="N521" s="30" t="s">
        <v>62</v>
      </c>
      <c r="O521" s="31">
        <f t="shared" si="166"/>
        <v>5134</v>
      </c>
      <c r="P521" s="32">
        <f>8764</f>
        <v>8764</v>
      </c>
      <c r="R521" s="32"/>
      <c r="S521" s="32">
        <f t="shared" si="161"/>
        <v>8764</v>
      </c>
      <c r="T521" s="12"/>
      <c r="U521" s="12"/>
      <c r="W521" s="12">
        <f t="shared" si="162"/>
        <v>8764</v>
      </c>
      <c r="Y521" s="10">
        <v>15</v>
      </c>
      <c r="Z521" s="30"/>
      <c r="AA521" s="31"/>
      <c r="AB521" s="32"/>
      <c r="AC521" s="32"/>
      <c r="AD521" s="32"/>
      <c r="AE521" s="32">
        <f t="shared" si="163"/>
        <v>0</v>
      </c>
      <c r="AF521" s="12"/>
      <c r="AG521" s="12"/>
      <c r="AH521" s="12"/>
      <c r="AI521" s="12">
        <f t="shared" si="164"/>
        <v>0</v>
      </c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</row>
    <row r="522" spans="1:52" x14ac:dyDescent="0.25">
      <c r="A522" s="10">
        <v>16</v>
      </c>
      <c r="B522" s="30" t="s">
        <v>62</v>
      </c>
      <c r="C522" s="31">
        <f t="shared" si="165"/>
        <v>5081</v>
      </c>
      <c r="D522" s="32">
        <f>1252+19</f>
        <v>1271</v>
      </c>
      <c r="E522" s="32"/>
      <c r="F522" s="32"/>
      <c r="G522" s="32">
        <f t="shared" si="159"/>
        <v>1271</v>
      </c>
      <c r="H522" s="12"/>
      <c r="I522" s="12"/>
      <c r="J522" s="12"/>
      <c r="K522" s="12">
        <f t="shared" si="160"/>
        <v>1271</v>
      </c>
      <c r="M522" s="10">
        <v>16</v>
      </c>
      <c r="N522" s="30" t="s">
        <v>62</v>
      </c>
      <c r="O522" s="31">
        <f t="shared" si="166"/>
        <v>5135</v>
      </c>
      <c r="P522" s="32">
        <f>1878+614+38</f>
        <v>2530</v>
      </c>
      <c r="Q522" s="32"/>
      <c r="R522" s="32"/>
      <c r="S522" s="32">
        <f>SUM(P522:Q522)</f>
        <v>2530</v>
      </c>
      <c r="T522" s="12"/>
      <c r="U522" s="12"/>
      <c r="V522" s="12"/>
      <c r="W522" s="12">
        <f>SUM(S522:V522)</f>
        <v>2530</v>
      </c>
      <c r="Y522" s="10">
        <v>16</v>
      </c>
      <c r="Z522" s="30"/>
      <c r="AA522" s="31"/>
      <c r="AB522" s="32"/>
      <c r="AC522" s="32"/>
      <c r="AD522" s="32"/>
      <c r="AE522" s="32">
        <f t="shared" si="163"/>
        <v>0</v>
      </c>
      <c r="AF522" s="12"/>
      <c r="AG522" s="12"/>
      <c r="AH522" s="12"/>
      <c r="AI522" s="12">
        <f t="shared" si="164"/>
        <v>0</v>
      </c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</row>
    <row r="523" spans="1:52" x14ac:dyDescent="0.25">
      <c r="A523" s="10">
        <v>17</v>
      </c>
      <c r="B523" s="30" t="s">
        <v>62</v>
      </c>
      <c r="C523" s="31">
        <f t="shared" si="165"/>
        <v>5082</v>
      </c>
      <c r="D523" s="32">
        <f>626+596+19</f>
        <v>1241</v>
      </c>
      <c r="E523" s="32"/>
      <c r="F523" s="32"/>
      <c r="G523" s="32">
        <f t="shared" si="159"/>
        <v>1241</v>
      </c>
      <c r="H523" s="12"/>
      <c r="I523" s="12"/>
      <c r="J523" s="12"/>
      <c r="K523" s="12">
        <f t="shared" si="160"/>
        <v>1241</v>
      </c>
      <c r="M523" s="10">
        <v>17</v>
      </c>
      <c r="N523" s="30"/>
      <c r="O523" s="11" t="s">
        <v>28</v>
      </c>
      <c r="P523" s="35"/>
      <c r="Q523" s="32"/>
      <c r="R523" s="32"/>
      <c r="S523" s="32">
        <f t="shared" ref="S523:S545" si="167">SUM(P523:Q523)</f>
        <v>0</v>
      </c>
      <c r="T523" s="12"/>
      <c r="U523" s="12"/>
      <c r="V523" s="12"/>
      <c r="W523" s="12">
        <f t="shared" ref="W523:W548" si="168">SUM(S523:V523)</f>
        <v>0</v>
      </c>
      <c r="Y523" s="10">
        <v>17</v>
      </c>
      <c r="Z523" s="30"/>
      <c r="AA523" s="31"/>
      <c r="AB523" s="35"/>
      <c r="AC523" s="32"/>
      <c r="AD523" s="32"/>
      <c r="AE523" s="32">
        <f t="shared" si="163"/>
        <v>0</v>
      </c>
      <c r="AF523" s="12"/>
      <c r="AG523" s="12"/>
      <c r="AH523" s="12"/>
      <c r="AI523" s="12">
        <f t="shared" si="164"/>
        <v>0</v>
      </c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</row>
    <row r="524" spans="1:52" x14ac:dyDescent="0.25">
      <c r="A524" s="10">
        <v>18</v>
      </c>
      <c r="B524" s="30" t="s">
        <v>62</v>
      </c>
      <c r="C524" s="31">
        <f t="shared" si="165"/>
        <v>5083</v>
      </c>
      <c r="D524" s="32">
        <f>1878+29</f>
        <v>1907</v>
      </c>
      <c r="E524" s="32"/>
      <c r="F524" s="32"/>
      <c r="G524" s="32">
        <f t="shared" si="159"/>
        <v>1907</v>
      </c>
      <c r="H524" s="12"/>
      <c r="I524" s="12"/>
      <c r="J524" s="12"/>
      <c r="K524" s="12">
        <f t="shared" si="160"/>
        <v>1907</v>
      </c>
      <c r="M524" s="10">
        <v>18</v>
      </c>
      <c r="N524" s="30"/>
      <c r="O524" s="31"/>
      <c r="P524" s="32"/>
      <c r="Q524" s="32"/>
      <c r="R524" s="32"/>
      <c r="S524" s="32">
        <f t="shared" si="167"/>
        <v>0</v>
      </c>
      <c r="T524" s="12"/>
      <c r="U524" s="12"/>
      <c r="V524" s="12"/>
      <c r="W524" s="12">
        <f t="shared" si="168"/>
        <v>0</v>
      </c>
      <c r="Y524" s="10">
        <v>18</v>
      </c>
      <c r="Z524" s="30"/>
      <c r="AA524" s="31"/>
      <c r="AB524" s="32"/>
      <c r="AC524" s="32"/>
      <c r="AD524" s="32"/>
      <c r="AE524" s="32">
        <f t="shared" si="163"/>
        <v>0</v>
      </c>
      <c r="AF524" s="12"/>
      <c r="AG524" s="12"/>
      <c r="AH524" s="12"/>
      <c r="AI524" s="12">
        <f t="shared" si="164"/>
        <v>0</v>
      </c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</row>
    <row r="525" spans="1:52" x14ac:dyDescent="0.25">
      <c r="A525" s="10">
        <v>19</v>
      </c>
      <c r="B525" s="30" t="s">
        <v>62</v>
      </c>
      <c r="C525" s="31">
        <f t="shared" si="165"/>
        <v>5084</v>
      </c>
      <c r="D525" s="32">
        <f>2504+38</f>
        <v>2542</v>
      </c>
      <c r="E525" s="32"/>
      <c r="F525" s="32"/>
      <c r="G525" s="32">
        <f t="shared" si="159"/>
        <v>2542</v>
      </c>
      <c r="H525" s="12"/>
      <c r="I525" s="12"/>
      <c r="J525" s="12"/>
      <c r="K525" s="12">
        <f t="shared" si="160"/>
        <v>2542</v>
      </c>
      <c r="M525" s="10">
        <v>19</v>
      </c>
      <c r="N525" s="30"/>
      <c r="O525" s="31"/>
      <c r="P525" s="32"/>
      <c r="Q525" s="32"/>
      <c r="R525" s="32"/>
      <c r="S525" s="32">
        <f t="shared" si="167"/>
        <v>0</v>
      </c>
      <c r="T525" s="12"/>
      <c r="U525" s="12"/>
      <c r="V525" s="12"/>
      <c r="W525" s="12">
        <f t="shared" si="168"/>
        <v>0</v>
      </c>
      <c r="Y525" s="10">
        <v>19</v>
      </c>
      <c r="Z525" s="30"/>
      <c r="AA525" s="31"/>
      <c r="AB525" s="32"/>
      <c r="AC525" s="32"/>
      <c r="AD525" s="32"/>
      <c r="AE525" s="32">
        <f t="shared" si="163"/>
        <v>0</v>
      </c>
      <c r="AF525" s="12"/>
      <c r="AG525" s="12"/>
      <c r="AH525" s="12"/>
      <c r="AI525" s="12">
        <f t="shared" si="164"/>
        <v>0</v>
      </c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</row>
    <row r="526" spans="1:52" x14ac:dyDescent="0.25">
      <c r="A526" s="10">
        <v>20</v>
      </c>
      <c r="B526" s="30" t="s">
        <v>62</v>
      </c>
      <c r="C526" s="31">
        <f t="shared" si="165"/>
        <v>5085</v>
      </c>
      <c r="D526" s="32">
        <f>6260+614+1192+114</f>
        <v>8180</v>
      </c>
      <c r="E526" s="32"/>
      <c r="F526" s="32"/>
      <c r="G526" s="32">
        <f t="shared" si="159"/>
        <v>8180</v>
      </c>
      <c r="H526" s="12"/>
      <c r="I526" s="12"/>
      <c r="J526" s="12"/>
      <c r="K526" s="12">
        <f t="shared" si="160"/>
        <v>8180</v>
      </c>
      <c r="M526" s="10">
        <v>20</v>
      </c>
      <c r="N526" s="30"/>
      <c r="O526" s="31"/>
      <c r="P526" s="32"/>
      <c r="Q526" s="32"/>
      <c r="R526" s="32"/>
      <c r="S526" s="32">
        <f t="shared" si="167"/>
        <v>0</v>
      </c>
      <c r="T526" s="12"/>
      <c r="U526" s="12"/>
      <c r="V526" s="12"/>
      <c r="W526" s="12">
        <f t="shared" si="168"/>
        <v>0</v>
      </c>
      <c r="Y526" s="10">
        <v>20</v>
      </c>
      <c r="Z526" s="30"/>
      <c r="AA526" s="31"/>
      <c r="AB526" s="32"/>
      <c r="AC526" s="32"/>
      <c r="AD526" s="32"/>
      <c r="AE526" s="32">
        <f t="shared" si="163"/>
        <v>0</v>
      </c>
      <c r="AF526" s="12"/>
      <c r="AG526" s="12"/>
      <c r="AH526" s="12"/>
      <c r="AI526" s="12">
        <f t="shared" si="164"/>
        <v>0</v>
      </c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</row>
    <row r="527" spans="1:52" x14ac:dyDescent="0.25">
      <c r="A527" s="10">
        <v>21</v>
      </c>
      <c r="B527" s="30" t="s">
        <v>62</v>
      </c>
      <c r="C527" s="31">
        <f t="shared" si="165"/>
        <v>5086</v>
      </c>
      <c r="D527" s="32">
        <f>2504+38</f>
        <v>2542</v>
      </c>
      <c r="E527" s="32"/>
      <c r="F527" s="32"/>
      <c r="G527" s="32">
        <f t="shared" si="159"/>
        <v>2542</v>
      </c>
      <c r="H527" s="10"/>
      <c r="I527" s="10"/>
      <c r="J527" s="10"/>
      <c r="K527" s="12">
        <f t="shared" si="160"/>
        <v>2542</v>
      </c>
      <c r="M527" s="10">
        <v>21</v>
      </c>
      <c r="N527" s="30"/>
      <c r="O527" s="31"/>
      <c r="P527" s="46"/>
      <c r="Q527" s="31"/>
      <c r="R527" s="31"/>
      <c r="S527" s="32">
        <f t="shared" si="167"/>
        <v>0</v>
      </c>
      <c r="T527" s="10"/>
      <c r="U527" s="10"/>
      <c r="V527" s="10"/>
      <c r="W527" s="12">
        <f t="shared" si="168"/>
        <v>0</v>
      </c>
      <c r="Y527" s="10">
        <v>21</v>
      </c>
      <c r="Z527" s="30"/>
      <c r="AA527" s="11"/>
      <c r="AB527" s="46"/>
      <c r="AC527" s="31"/>
      <c r="AD527" s="31"/>
      <c r="AE527" s="32">
        <f t="shared" si="163"/>
        <v>0</v>
      </c>
      <c r="AF527" s="10"/>
      <c r="AG527" s="10"/>
      <c r="AH527" s="10"/>
      <c r="AI527" s="12">
        <f t="shared" si="164"/>
        <v>0</v>
      </c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</row>
    <row r="528" spans="1:52" x14ac:dyDescent="0.25">
      <c r="A528" s="10">
        <v>22</v>
      </c>
      <c r="B528" s="30" t="s">
        <v>62</v>
      </c>
      <c r="C528" s="31">
        <f t="shared" si="165"/>
        <v>5087</v>
      </c>
      <c r="D528" s="32">
        <f>1252+19</f>
        <v>1271</v>
      </c>
      <c r="E528" s="32"/>
      <c r="F528" s="32"/>
      <c r="G528" s="32">
        <f t="shared" si="159"/>
        <v>1271</v>
      </c>
      <c r="H528" s="10"/>
      <c r="I528" s="10"/>
      <c r="J528" s="10"/>
      <c r="K528" s="12">
        <f t="shared" si="160"/>
        <v>1271</v>
      </c>
      <c r="M528" s="10">
        <v>22</v>
      </c>
      <c r="N528" s="30"/>
      <c r="O528" s="31"/>
      <c r="P528" s="45"/>
      <c r="Q528" s="31"/>
      <c r="R528" s="31"/>
      <c r="S528" s="32">
        <f t="shared" si="167"/>
        <v>0</v>
      </c>
      <c r="T528" s="10"/>
      <c r="U528" s="10"/>
      <c r="V528" s="10"/>
      <c r="W528" s="12">
        <f t="shared" si="168"/>
        <v>0</v>
      </c>
      <c r="Y528" s="10">
        <v>22</v>
      </c>
      <c r="Z528" s="30"/>
      <c r="AA528" s="31"/>
      <c r="AB528" s="45"/>
      <c r="AC528" s="31"/>
      <c r="AD528" s="31"/>
      <c r="AE528" s="32">
        <f t="shared" si="163"/>
        <v>0</v>
      </c>
      <c r="AF528" s="10"/>
      <c r="AG528" s="10"/>
      <c r="AH528" s="10"/>
      <c r="AI528" s="12">
        <f t="shared" si="164"/>
        <v>0</v>
      </c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</row>
    <row r="529" spans="1:52" x14ac:dyDescent="0.25">
      <c r="A529" s="10">
        <v>23</v>
      </c>
      <c r="B529" s="30" t="s">
        <v>62</v>
      </c>
      <c r="C529" s="31">
        <f t="shared" si="165"/>
        <v>5088</v>
      </c>
      <c r="D529" s="32">
        <f>5634+86</f>
        <v>5720</v>
      </c>
      <c r="E529" s="32"/>
      <c r="F529" s="32"/>
      <c r="G529" s="32">
        <f t="shared" si="159"/>
        <v>5720</v>
      </c>
      <c r="H529" s="10"/>
      <c r="I529" s="10"/>
      <c r="J529" s="12"/>
      <c r="K529" s="12">
        <f t="shared" si="160"/>
        <v>5720</v>
      </c>
      <c r="M529" s="10">
        <v>23</v>
      </c>
      <c r="N529" s="30"/>
      <c r="O529" s="31"/>
      <c r="P529" s="47"/>
      <c r="Q529" s="31"/>
      <c r="R529" s="31"/>
      <c r="S529" s="32">
        <f t="shared" si="167"/>
        <v>0</v>
      </c>
      <c r="T529" s="10"/>
      <c r="U529" s="10"/>
      <c r="V529" s="10"/>
      <c r="W529" s="12">
        <f t="shared" si="168"/>
        <v>0</v>
      </c>
      <c r="Y529" s="10">
        <v>23</v>
      </c>
      <c r="Z529" s="30"/>
      <c r="AA529" s="31"/>
      <c r="AB529" s="47"/>
      <c r="AE529" s="32">
        <f t="shared" si="163"/>
        <v>0</v>
      </c>
      <c r="AF529" s="10"/>
      <c r="AG529" s="10"/>
      <c r="AH529" s="10"/>
      <c r="AI529" s="12">
        <f t="shared" si="164"/>
        <v>0</v>
      </c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</row>
    <row r="530" spans="1:52" x14ac:dyDescent="0.25">
      <c r="A530" s="10">
        <v>24</v>
      </c>
      <c r="B530" s="30" t="s">
        <v>62</v>
      </c>
      <c r="C530" s="31">
        <f t="shared" si="165"/>
        <v>5089</v>
      </c>
      <c r="D530" s="32">
        <f>1252+19</f>
        <v>1271</v>
      </c>
      <c r="E530" s="32"/>
      <c r="F530" s="32"/>
      <c r="G530" s="32">
        <f t="shared" si="159"/>
        <v>1271</v>
      </c>
      <c r="H530" s="10"/>
      <c r="I530" s="10"/>
      <c r="J530" s="10"/>
      <c r="K530" s="12">
        <f t="shared" si="160"/>
        <v>1271</v>
      </c>
      <c r="M530" s="10">
        <v>24</v>
      </c>
      <c r="N530" s="30"/>
      <c r="O530" s="31"/>
      <c r="P530" s="47"/>
      <c r="Q530" s="31"/>
      <c r="R530" s="31"/>
      <c r="S530" s="32">
        <f t="shared" si="167"/>
        <v>0</v>
      </c>
      <c r="T530" s="10"/>
      <c r="U530" s="10"/>
      <c r="V530" s="10"/>
      <c r="W530" s="12">
        <f t="shared" si="168"/>
        <v>0</v>
      </c>
      <c r="Y530" s="10">
        <v>24</v>
      </c>
      <c r="Z530" s="30"/>
      <c r="AA530" s="31"/>
      <c r="AB530" s="47"/>
      <c r="AC530" s="31"/>
      <c r="AD530" s="31"/>
      <c r="AE530" s="32">
        <f t="shared" si="163"/>
        <v>0</v>
      </c>
      <c r="AF530" s="10"/>
      <c r="AG530" s="10"/>
      <c r="AH530" s="10"/>
      <c r="AI530" s="12">
        <f t="shared" si="164"/>
        <v>0</v>
      </c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</row>
    <row r="531" spans="1:52" x14ac:dyDescent="0.25">
      <c r="A531" s="10">
        <v>25</v>
      </c>
      <c r="B531" s="30" t="s">
        <v>62</v>
      </c>
      <c r="C531" s="31">
        <f t="shared" si="165"/>
        <v>5090</v>
      </c>
      <c r="D531" s="32">
        <f>7512+1842+1192+852+133+500</f>
        <v>12031</v>
      </c>
      <c r="E531" s="32"/>
      <c r="F531" s="32"/>
      <c r="G531" s="32">
        <f t="shared" si="159"/>
        <v>12031</v>
      </c>
      <c r="H531" s="10"/>
      <c r="I531" s="10">
        <v>162</v>
      </c>
      <c r="J531" s="10"/>
      <c r="K531" s="12">
        <f t="shared" si="160"/>
        <v>12193</v>
      </c>
      <c r="M531" s="10">
        <v>25</v>
      </c>
      <c r="N531" s="30"/>
      <c r="O531" s="31"/>
      <c r="P531" s="47"/>
      <c r="Q531" s="31"/>
      <c r="R531" s="31"/>
      <c r="S531" s="32">
        <f t="shared" si="167"/>
        <v>0</v>
      </c>
      <c r="T531" s="10"/>
      <c r="U531" s="10"/>
      <c r="V531" s="10"/>
      <c r="W531" s="12">
        <f t="shared" si="168"/>
        <v>0</v>
      </c>
      <c r="Y531" s="10">
        <v>25</v>
      </c>
      <c r="Z531" s="30"/>
      <c r="AA531" s="31"/>
      <c r="AB531" s="47"/>
      <c r="AC531" s="31"/>
      <c r="AD531" s="31"/>
      <c r="AE531" s="32">
        <f t="shared" si="163"/>
        <v>0</v>
      </c>
      <c r="AF531" s="10"/>
      <c r="AG531" s="10"/>
      <c r="AH531" s="10"/>
      <c r="AI531" s="12">
        <f t="shared" si="164"/>
        <v>0</v>
      </c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</row>
    <row r="532" spans="1:52" x14ac:dyDescent="0.25">
      <c r="A532" s="10">
        <v>26</v>
      </c>
      <c r="B532" s="30" t="s">
        <v>62</v>
      </c>
      <c r="C532" s="31">
        <f t="shared" si="165"/>
        <v>5091</v>
      </c>
      <c r="D532" s="32">
        <f>687</f>
        <v>687</v>
      </c>
      <c r="E532" s="32"/>
      <c r="F532" s="32"/>
      <c r="G532" s="32">
        <f t="shared" si="159"/>
        <v>687</v>
      </c>
      <c r="H532" s="10"/>
      <c r="I532" s="10"/>
      <c r="J532" s="10"/>
      <c r="K532" s="12">
        <f t="shared" si="160"/>
        <v>687</v>
      </c>
      <c r="M532" s="10">
        <v>26</v>
      </c>
      <c r="N532" s="30"/>
      <c r="O532" s="31"/>
      <c r="P532" s="47"/>
      <c r="Q532" s="31"/>
      <c r="R532" s="31"/>
      <c r="S532" s="32">
        <f t="shared" si="167"/>
        <v>0</v>
      </c>
      <c r="T532" s="10"/>
      <c r="U532" s="10"/>
      <c r="V532" s="10"/>
      <c r="W532" s="12">
        <f t="shared" si="168"/>
        <v>0</v>
      </c>
      <c r="Y532" s="10">
        <v>26</v>
      </c>
      <c r="Z532" s="30"/>
      <c r="AA532" s="31"/>
      <c r="AB532" s="47"/>
      <c r="AC532" s="31"/>
      <c r="AD532" s="31"/>
      <c r="AE532" s="32">
        <f t="shared" si="163"/>
        <v>0</v>
      </c>
      <c r="AF532" s="10"/>
      <c r="AG532" s="10"/>
      <c r="AH532" s="10"/>
      <c r="AI532" s="12">
        <f t="shared" si="164"/>
        <v>0</v>
      </c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</row>
    <row r="533" spans="1:52" x14ac:dyDescent="0.25">
      <c r="A533" s="10">
        <v>27</v>
      </c>
      <c r="B533" s="30" t="s">
        <v>62</v>
      </c>
      <c r="C533" s="31">
        <f t="shared" si="165"/>
        <v>5092</v>
      </c>
      <c r="D533" s="32">
        <f>229</f>
        <v>229</v>
      </c>
      <c r="E533" s="32"/>
      <c r="F533" s="32"/>
      <c r="G533" s="32">
        <f t="shared" si="159"/>
        <v>229</v>
      </c>
      <c r="H533" s="10"/>
      <c r="I533" s="10"/>
      <c r="J533" s="10"/>
      <c r="K533" s="12">
        <f t="shared" si="160"/>
        <v>229</v>
      </c>
      <c r="M533" s="10">
        <v>27</v>
      </c>
      <c r="N533" s="30"/>
      <c r="O533" s="31"/>
      <c r="P533" s="47"/>
      <c r="Q533" s="31"/>
      <c r="R533" s="31"/>
      <c r="S533" s="32">
        <f t="shared" si="167"/>
        <v>0</v>
      </c>
      <c r="T533" s="10"/>
      <c r="U533" s="10"/>
      <c r="V533" s="10"/>
      <c r="W533" s="12">
        <f t="shared" si="168"/>
        <v>0</v>
      </c>
      <c r="Y533" s="10">
        <v>27</v>
      </c>
      <c r="Z533" s="30"/>
      <c r="AA533" s="31"/>
      <c r="AB533" s="47"/>
      <c r="AC533" s="31"/>
      <c r="AD533" s="31"/>
      <c r="AE533" s="32">
        <f t="shared" si="163"/>
        <v>0</v>
      </c>
      <c r="AF533" s="10"/>
      <c r="AG533" s="10"/>
      <c r="AH533" s="10"/>
      <c r="AI533" s="12">
        <f t="shared" si="164"/>
        <v>0</v>
      </c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</row>
    <row r="534" spans="1:52" x14ac:dyDescent="0.25">
      <c r="A534" s="10">
        <v>28</v>
      </c>
      <c r="B534" s="30" t="s">
        <v>62</v>
      </c>
      <c r="C534" s="31">
        <f t="shared" si="165"/>
        <v>5093</v>
      </c>
      <c r="D534" s="32">
        <f>1175+1102+650</f>
        <v>2927</v>
      </c>
      <c r="E534" s="32"/>
      <c r="F534" s="32"/>
      <c r="G534" s="32">
        <f t="shared" si="159"/>
        <v>2927</v>
      </c>
      <c r="H534" s="10"/>
      <c r="I534" s="10"/>
      <c r="J534" s="10"/>
      <c r="K534" s="12">
        <f t="shared" si="160"/>
        <v>2927</v>
      </c>
      <c r="M534" s="10">
        <v>28</v>
      </c>
      <c r="N534" s="30"/>
      <c r="O534" s="31"/>
      <c r="P534" s="47"/>
      <c r="Q534" s="31"/>
      <c r="R534" s="31"/>
      <c r="S534" s="32">
        <f t="shared" si="167"/>
        <v>0</v>
      </c>
      <c r="T534" s="10"/>
      <c r="U534" s="10"/>
      <c r="V534" s="10"/>
      <c r="W534" s="12">
        <f t="shared" si="168"/>
        <v>0</v>
      </c>
      <c r="Y534" s="10">
        <v>28</v>
      </c>
      <c r="Z534" s="30"/>
      <c r="AA534" s="31"/>
      <c r="AB534" s="47"/>
      <c r="AC534" s="31"/>
      <c r="AD534" s="31"/>
      <c r="AE534" s="32">
        <f t="shared" si="163"/>
        <v>0</v>
      </c>
      <c r="AF534" s="10"/>
      <c r="AG534" s="10"/>
      <c r="AH534" s="10"/>
      <c r="AI534" s="12">
        <f t="shared" si="164"/>
        <v>0</v>
      </c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</row>
    <row r="535" spans="1:52" x14ac:dyDescent="0.25">
      <c r="A535" s="10">
        <v>29</v>
      </c>
      <c r="B535" s="30"/>
      <c r="C535" s="11" t="s">
        <v>28</v>
      </c>
      <c r="D535" s="32"/>
      <c r="E535" s="32"/>
      <c r="F535" s="32"/>
      <c r="G535" s="32"/>
      <c r="H535" s="10"/>
      <c r="I535" s="10"/>
      <c r="J535" s="10"/>
      <c r="K535" s="12">
        <f t="shared" si="160"/>
        <v>0</v>
      </c>
      <c r="M535" s="10">
        <v>29</v>
      </c>
      <c r="N535" s="30"/>
      <c r="O535" s="31"/>
      <c r="P535" s="47"/>
      <c r="Q535" s="31"/>
      <c r="R535" s="31"/>
      <c r="S535" s="32">
        <f t="shared" si="167"/>
        <v>0</v>
      </c>
      <c r="T535" s="10"/>
      <c r="U535" s="10"/>
      <c r="V535" s="10"/>
      <c r="W535" s="12">
        <f t="shared" si="168"/>
        <v>0</v>
      </c>
      <c r="Y535" s="10">
        <v>29</v>
      </c>
      <c r="Z535" s="30"/>
      <c r="AA535" s="31"/>
      <c r="AB535" s="47"/>
      <c r="AC535" s="31"/>
      <c r="AD535" s="31"/>
      <c r="AE535" s="32">
        <f t="shared" si="163"/>
        <v>0</v>
      </c>
      <c r="AF535" s="10"/>
      <c r="AG535" s="10"/>
      <c r="AH535" s="10"/>
      <c r="AI535" s="12">
        <f t="shared" si="164"/>
        <v>0</v>
      </c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</row>
    <row r="536" spans="1:52" x14ac:dyDescent="0.25">
      <c r="A536" s="10">
        <v>30</v>
      </c>
      <c r="B536" s="30"/>
      <c r="C536" s="31"/>
      <c r="D536" s="32"/>
      <c r="E536" s="32"/>
      <c r="F536" s="32"/>
      <c r="G536" s="32"/>
      <c r="H536" s="10"/>
      <c r="I536" s="10"/>
      <c r="J536" s="10"/>
      <c r="K536" s="12">
        <f t="shared" si="160"/>
        <v>0</v>
      </c>
      <c r="M536" s="10">
        <v>30</v>
      </c>
      <c r="N536" s="30"/>
      <c r="O536" s="31"/>
      <c r="P536" s="47"/>
      <c r="Q536" s="31"/>
      <c r="R536" s="31"/>
      <c r="S536" s="32">
        <f t="shared" si="167"/>
        <v>0</v>
      </c>
      <c r="T536" s="10"/>
      <c r="U536" s="10"/>
      <c r="V536" s="10"/>
      <c r="W536" s="12">
        <f t="shared" si="168"/>
        <v>0</v>
      </c>
      <c r="Y536" s="10">
        <v>30</v>
      </c>
      <c r="Z536" s="30"/>
      <c r="AA536" s="31"/>
      <c r="AB536" s="47"/>
      <c r="AC536" s="31"/>
      <c r="AD536" s="31"/>
      <c r="AE536" s="32">
        <f t="shared" si="163"/>
        <v>0</v>
      </c>
      <c r="AF536" s="10"/>
      <c r="AG536" s="10"/>
      <c r="AH536" s="10"/>
      <c r="AI536" s="12">
        <f t="shared" si="164"/>
        <v>0</v>
      </c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</row>
    <row r="537" spans="1:52" x14ac:dyDescent="0.25">
      <c r="A537" s="10">
        <v>31</v>
      </c>
      <c r="B537" s="30"/>
      <c r="C537" s="31"/>
      <c r="D537" s="32"/>
      <c r="E537" s="32"/>
      <c r="F537" s="32"/>
      <c r="G537" s="32"/>
      <c r="H537" s="10"/>
      <c r="I537" s="10"/>
      <c r="J537" s="10"/>
      <c r="K537" s="12">
        <f t="shared" si="160"/>
        <v>0</v>
      </c>
      <c r="M537" s="10">
        <v>31</v>
      </c>
      <c r="N537" s="30"/>
      <c r="P537" s="47"/>
      <c r="Q537" s="31"/>
      <c r="R537" s="31"/>
      <c r="S537" s="32">
        <f t="shared" si="167"/>
        <v>0</v>
      </c>
      <c r="T537" s="10"/>
      <c r="U537" s="10"/>
      <c r="V537" s="10"/>
      <c r="W537" s="12">
        <f t="shared" si="168"/>
        <v>0</v>
      </c>
      <c r="Y537" s="10">
        <v>31</v>
      </c>
      <c r="Z537" s="30"/>
      <c r="AB537" s="47"/>
      <c r="AC537" s="31"/>
      <c r="AD537" s="31"/>
      <c r="AE537" s="32">
        <f t="shared" si="163"/>
        <v>0</v>
      </c>
      <c r="AF537" s="10"/>
      <c r="AG537" s="10"/>
      <c r="AH537" s="10"/>
      <c r="AI537" s="12">
        <f t="shared" si="164"/>
        <v>0</v>
      </c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</row>
    <row r="538" spans="1:52" x14ac:dyDescent="0.25">
      <c r="A538" s="10">
        <v>32</v>
      </c>
      <c r="B538" s="30"/>
      <c r="C538" s="31"/>
      <c r="D538" s="32"/>
      <c r="E538" s="32"/>
      <c r="F538" s="32"/>
      <c r="G538" s="32"/>
      <c r="H538" s="10"/>
      <c r="I538" s="10"/>
      <c r="J538" s="10"/>
      <c r="K538" s="12">
        <f t="shared" si="160"/>
        <v>0</v>
      </c>
      <c r="M538" s="10">
        <v>32</v>
      </c>
      <c r="N538" s="30"/>
      <c r="O538" s="31"/>
      <c r="P538" s="47"/>
      <c r="Q538" s="31"/>
      <c r="R538" s="31"/>
      <c r="S538" s="32">
        <f t="shared" si="167"/>
        <v>0</v>
      </c>
      <c r="T538" s="10"/>
      <c r="U538" s="10"/>
      <c r="V538" s="10"/>
      <c r="W538" s="12">
        <f t="shared" si="168"/>
        <v>0</v>
      </c>
      <c r="Y538" s="10">
        <v>32</v>
      </c>
      <c r="Z538" s="30"/>
      <c r="AA538" s="31"/>
      <c r="AB538" s="47"/>
      <c r="AC538" s="31"/>
      <c r="AD538" s="31"/>
      <c r="AE538" s="32">
        <f t="shared" si="163"/>
        <v>0</v>
      </c>
      <c r="AF538" s="10"/>
      <c r="AG538" s="10"/>
      <c r="AH538" s="10"/>
      <c r="AI538" s="12">
        <f t="shared" si="164"/>
        <v>0</v>
      </c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</row>
    <row r="539" spans="1:52" x14ac:dyDescent="0.25">
      <c r="A539" s="10">
        <v>33</v>
      </c>
      <c r="B539" s="30"/>
      <c r="C539" s="31"/>
      <c r="D539" s="32"/>
      <c r="E539" s="32"/>
      <c r="F539" s="32"/>
      <c r="G539" s="32"/>
      <c r="H539" s="10"/>
      <c r="I539" s="10"/>
      <c r="J539" s="10"/>
      <c r="K539" s="12">
        <f t="shared" si="160"/>
        <v>0</v>
      </c>
      <c r="M539" s="10">
        <v>33</v>
      </c>
      <c r="N539" s="30"/>
      <c r="O539" s="31"/>
      <c r="P539" s="47"/>
      <c r="Q539" s="31"/>
      <c r="R539" s="31"/>
      <c r="S539" s="32">
        <f t="shared" si="167"/>
        <v>0</v>
      </c>
      <c r="T539" s="10"/>
      <c r="U539" s="10"/>
      <c r="V539" s="10"/>
      <c r="W539" s="12">
        <f t="shared" si="168"/>
        <v>0</v>
      </c>
      <c r="Y539" s="10">
        <v>33</v>
      </c>
      <c r="Z539" s="30"/>
      <c r="AA539" s="31"/>
      <c r="AB539" s="47"/>
      <c r="AC539" s="31"/>
      <c r="AD539" s="31"/>
      <c r="AE539" s="32">
        <f t="shared" si="163"/>
        <v>0</v>
      </c>
      <c r="AF539" s="10"/>
      <c r="AG539" s="10"/>
      <c r="AH539" s="10"/>
      <c r="AI539" s="12">
        <f t="shared" si="164"/>
        <v>0</v>
      </c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</row>
    <row r="540" spans="1:52" x14ac:dyDescent="0.25">
      <c r="A540" s="10"/>
      <c r="B540" s="30"/>
      <c r="D540" s="32"/>
      <c r="E540" s="32"/>
      <c r="F540" s="32"/>
      <c r="G540" s="32">
        <f t="shared" si="159"/>
        <v>0</v>
      </c>
      <c r="H540" s="10"/>
      <c r="I540" s="10"/>
      <c r="J540" s="10"/>
      <c r="K540" s="12">
        <f t="shared" si="160"/>
        <v>0</v>
      </c>
      <c r="M540" s="10">
        <v>34</v>
      </c>
      <c r="N540" s="30"/>
      <c r="O540" s="31"/>
      <c r="P540" s="47"/>
      <c r="Q540" s="31"/>
      <c r="R540" s="31"/>
      <c r="S540" s="32">
        <f t="shared" si="167"/>
        <v>0</v>
      </c>
      <c r="T540" s="10"/>
      <c r="U540" s="10"/>
      <c r="V540" s="10"/>
      <c r="W540" s="12">
        <f t="shared" si="168"/>
        <v>0</v>
      </c>
      <c r="Y540" s="10">
        <v>34</v>
      </c>
      <c r="Z540" s="30"/>
      <c r="AB540" s="47"/>
      <c r="AC540" s="31"/>
      <c r="AD540" s="31"/>
      <c r="AE540" s="32">
        <f t="shared" si="163"/>
        <v>0</v>
      </c>
      <c r="AF540" s="10"/>
      <c r="AG540" s="10"/>
      <c r="AH540" s="10"/>
      <c r="AI540" s="12">
        <f t="shared" si="164"/>
        <v>0</v>
      </c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</row>
    <row r="541" spans="1:52" x14ac:dyDescent="0.25">
      <c r="A541" s="10"/>
      <c r="B541" s="30"/>
      <c r="C541" s="31"/>
      <c r="D541" s="32"/>
      <c r="E541" s="32"/>
      <c r="F541" s="32"/>
      <c r="G541" s="32"/>
      <c r="H541" s="10"/>
      <c r="I541" s="10"/>
      <c r="J541" s="10"/>
      <c r="K541" s="12"/>
      <c r="M541" s="10">
        <v>35</v>
      </c>
      <c r="N541" s="30"/>
      <c r="O541" s="31"/>
      <c r="P541" s="47"/>
      <c r="Q541" s="31"/>
      <c r="R541" s="31"/>
      <c r="S541" s="32">
        <f t="shared" si="167"/>
        <v>0</v>
      </c>
      <c r="T541" s="10"/>
      <c r="U541" s="10"/>
      <c r="V541" s="10"/>
      <c r="W541" s="12">
        <f t="shared" si="168"/>
        <v>0</v>
      </c>
      <c r="Y541" s="10">
        <v>35</v>
      </c>
      <c r="Z541" s="30"/>
      <c r="AA541" s="31"/>
      <c r="AB541" s="47"/>
      <c r="AC541" s="31"/>
      <c r="AD541" s="31"/>
      <c r="AE541" s="32">
        <f t="shared" si="163"/>
        <v>0</v>
      </c>
      <c r="AF541" s="10"/>
      <c r="AG541" s="10"/>
      <c r="AH541" s="10"/>
      <c r="AI541" s="12">
        <f t="shared" si="164"/>
        <v>0</v>
      </c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</row>
    <row r="542" spans="1:52" x14ac:dyDescent="0.25">
      <c r="A542" s="10"/>
      <c r="B542" s="30"/>
      <c r="C542" s="31"/>
      <c r="D542" s="32"/>
      <c r="E542" s="32"/>
      <c r="F542" s="32"/>
      <c r="G542" s="32"/>
      <c r="H542" s="10"/>
      <c r="I542" s="10"/>
      <c r="J542" s="10"/>
      <c r="K542" s="12"/>
      <c r="M542" s="10">
        <v>36</v>
      </c>
      <c r="N542" s="30"/>
      <c r="O542" s="31"/>
      <c r="P542" s="47"/>
      <c r="Q542" s="31"/>
      <c r="R542" s="31"/>
      <c r="S542" s="32">
        <f t="shared" si="167"/>
        <v>0</v>
      </c>
      <c r="T542" s="10"/>
      <c r="U542" s="10"/>
      <c r="V542" s="10"/>
      <c r="W542" s="12">
        <f t="shared" si="168"/>
        <v>0</v>
      </c>
      <c r="Y542" s="10">
        <v>36</v>
      </c>
      <c r="Z542" s="30"/>
      <c r="AA542" s="31"/>
      <c r="AB542" s="47"/>
      <c r="AC542" s="31"/>
      <c r="AD542" s="31"/>
      <c r="AE542" s="32">
        <f t="shared" si="163"/>
        <v>0</v>
      </c>
      <c r="AF542" s="10"/>
      <c r="AG542" s="10"/>
      <c r="AH542" s="10"/>
      <c r="AI542" s="12">
        <f t="shared" si="164"/>
        <v>0</v>
      </c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</row>
    <row r="543" spans="1:52" x14ac:dyDescent="0.25">
      <c r="A543" s="10"/>
      <c r="B543" s="30"/>
      <c r="C543" s="31"/>
      <c r="D543" s="32"/>
      <c r="E543" s="32"/>
      <c r="F543" s="32"/>
      <c r="G543" s="32"/>
      <c r="H543" s="10"/>
      <c r="I543" s="10"/>
      <c r="J543" s="10"/>
      <c r="K543" s="12"/>
      <c r="M543" s="10">
        <v>37</v>
      </c>
      <c r="N543" s="30"/>
      <c r="P543" s="47"/>
      <c r="Q543" s="31"/>
      <c r="R543" s="31"/>
      <c r="S543" s="32">
        <f t="shared" si="167"/>
        <v>0</v>
      </c>
      <c r="T543" s="10"/>
      <c r="U543" s="10"/>
      <c r="V543" s="10"/>
      <c r="W543" s="12">
        <f t="shared" si="168"/>
        <v>0</v>
      </c>
      <c r="Y543" s="10">
        <v>37</v>
      </c>
      <c r="Z543" s="30"/>
      <c r="AA543" s="31"/>
      <c r="AB543" s="47"/>
      <c r="AC543" s="31"/>
      <c r="AD543" s="31"/>
      <c r="AE543" s="32">
        <f t="shared" si="163"/>
        <v>0</v>
      </c>
      <c r="AF543" s="10"/>
      <c r="AG543" s="10"/>
      <c r="AH543" s="10"/>
      <c r="AI543" s="12">
        <f t="shared" si="164"/>
        <v>0</v>
      </c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</row>
    <row r="544" spans="1:52" x14ac:dyDescent="0.25">
      <c r="A544" s="10"/>
      <c r="B544" s="30"/>
      <c r="C544" s="31"/>
      <c r="D544" s="32"/>
      <c r="E544" s="32"/>
      <c r="F544" s="32"/>
      <c r="G544" s="32"/>
      <c r="H544" s="10"/>
      <c r="I544" s="10"/>
      <c r="J544" s="10"/>
      <c r="K544" s="12"/>
      <c r="M544" s="10">
        <v>38</v>
      </c>
      <c r="N544" s="30"/>
      <c r="O544" s="31"/>
      <c r="P544" s="47"/>
      <c r="Q544" s="31"/>
      <c r="R544" s="31"/>
      <c r="S544" s="32">
        <f t="shared" si="167"/>
        <v>0</v>
      </c>
      <c r="T544" s="10"/>
      <c r="U544" s="10"/>
      <c r="V544" s="10"/>
      <c r="W544" s="12">
        <f t="shared" si="168"/>
        <v>0</v>
      </c>
      <c r="Y544" s="10">
        <v>38</v>
      </c>
      <c r="Z544" s="30"/>
      <c r="AA544" s="31"/>
      <c r="AB544" s="47"/>
      <c r="AC544" s="31"/>
      <c r="AD544" s="31"/>
      <c r="AE544" s="32">
        <f t="shared" si="163"/>
        <v>0</v>
      </c>
      <c r="AF544" s="10"/>
      <c r="AG544" s="10"/>
      <c r="AH544" s="10"/>
      <c r="AI544" s="12">
        <f t="shared" si="164"/>
        <v>0</v>
      </c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</row>
    <row r="545" spans="1:52" x14ac:dyDescent="0.25">
      <c r="A545" s="10"/>
      <c r="B545" s="30"/>
      <c r="D545" s="32"/>
      <c r="E545" s="32"/>
      <c r="F545" s="32"/>
      <c r="G545" s="32"/>
      <c r="H545" s="10"/>
      <c r="I545" s="10"/>
      <c r="J545" s="10"/>
      <c r="K545" s="12"/>
      <c r="M545" s="10">
        <v>39</v>
      </c>
      <c r="N545" s="30"/>
      <c r="O545" s="31"/>
      <c r="P545" s="47"/>
      <c r="Q545" s="31"/>
      <c r="R545" s="31"/>
      <c r="S545" s="32">
        <f t="shared" si="167"/>
        <v>0</v>
      </c>
      <c r="T545" s="10"/>
      <c r="U545" s="10"/>
      <c r="V545" s="10"/>
      <c r="W545" s="12">
        <f t="shared" si="168"/>
        <v>0</v>
      </c>
      <c r="Y545" s="10">
        <v>39</v>
      </c>
      <c r="Z545" s="30"/>
      <c r="AA545" s="31"/>
      <c r="AB545" s="47"/>
      <c r="AC545" s="31"/>
      <c r="AD545" s="31"/>
      <c r="AE545" s="32">
        <f t="shared" si="163"/>
        <v>0</v>
      </c>
      <c r="AF545" s="10"/>
      <c r="AG545" s="10"/>
      <c r="AH545" s="10"/>
      <c r="AI545" s="12">
        <f t="shared" si="164"/>
        <v>0</v>
      </c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</row>
    <row r="546" spans="1:52" x14ac:dyDescent="0.25">
      <c r="A546" s="10"/>
      <c r="B546" s="30"/>
      <c r="C546" s="31"/>
      <c r="D546" s="32"/>
      <c r="E546" s="32"/>
      <c r="F546" s="32"/>
      <c r="G546" s="32"/>
      <c r="H546" s="10"/>
      <c r="I546" s="10"/>
      <c r="J546" s="10"/>
      <c r="K546" s="12"/>
      <c r="M546" s="10"/>
      <c r="N546" s="30"/>
      <c r="P546" s="47"/>
      <c r="Q546" s="31"/>
      <c r="R546" s="31"/>
      <c r="S546" s="32"/>
      <c r="T546" s="10"/>
      <c r="U546" s="10"/>
      <c r="V546" s="10"/>
      <c r="W546" s="12">
        <f t="shared" si="168"/>
        <v>0</v>
      </c>
      <c r="Y546" s="10"/>
      <c r="Z546" s="30"/>
      <c r="AB546" s="47"/>
      <c r="AC546" s="31"/>
      <c r="AD546" s="31"/>
      <c r="AE546" s="32"/>
      <c r="AF546" s="10"/>
      <c r="AG546" s="10"/>
      <c r="AH546" s="10"/>
      <c r="AI546" s="12">
        <f t="shared" si="164"/>
        <v>0</v>
      </c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</row>
    <row r="547" spans="1:52" x14ac:dyDescent="0.25">
      <c r="A547" s="10"/>
      <c r="B547" s="30"/>
      <c r="C547" s="31"/>
      <c r="D547" s="32"/>
      <c r="E547" s="32"/>
      <c r="F547" s="32"/>
      <c r="G547" s="32">
        <f t="shared" ref="G547" si="169">SUM(D547:E547)</f>
        <v>0</v>
      </c>
      <c r="H547" s="10"/>
      <c r="I547" s="10"/>
      <c r="J547" s="10"/>
      <c r="K547" s="12">
        <f t="shared" ref="K547" si="170">SUM(G547:J547)</f>
        <v>0</v>
      </c>
      <c r="M547" s="10"/>
      <c r="N547" s="30"/>
      <c r="O547" s="31"/>
      <c r="P547" s="47"/>
      <c r="Q547" s="31"/>
      <c r="R547" s="31"/>
      <c r="S547" s="32">
        <f t="shared" ref="S547" si="171">SUM(P547:Q547)</f>
        <v>0</v>
      </c>
      <c r="T547" s="10"/>
      <c r="U547" s="10"/>
      <c r="V547" s="10"/>
      <c r="W547" s="12">
        <f t="shared" si="168"/>
        <v>0</v>
      </c>
      <c r="Y547" s="10"/>
      <c r="Z547" s="30"/>
      <c r="AA547" s="31"/>
      <c r="AB547" s="47"/>
      <c r="AC547" s="31"/>
      <c r="AD547" s="31"/>
      <c r="AE547" s="32">
        <f t="shared" ref="AE547" si="172">SUM(AB547:AC547)</f>
        <v>0</v>
      </c>
      <c r="AF547" s="10"/>
      <c r="AG547" s="10"/>
      <c r="AH547" s="10"/>
      <c r="AI547" s="12">
        <f t="shared" si="164"/>
        <v>0</v>
      </c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</row>
    <row r="548" spans="1:52" x14ac:dyDescent="0.25">
      <c r="A548" s="10"/>
      <c r="B548" s="30"/>
      <c r="C548" s="30"/>
      <c r="D548" s="32"/>
      <c r="E548" s="32"/>
      <c r="F548" s="32"/>
      <c r="G548" s="32"/>
      <c r="H548" s="10"/>
      <c r="I548" s="10"/>
      <c r="J548" s="10"/>
      <c r="K548" s="12"/>
      <c r="M548" s="10"/>
      <c r="N548" s="31"/>
      <c r="O548" s="31"/>
      <c r="P548" s="31"/>
      <c r="Q548" s="31"/>
      <c r="R548" s="31"/>
      <c r="S548" s="31"/>
      <c r="T548" s="10"/>
      <c r="U548" s="10"/>
      <c r="V548" s="10"/>
      <c r="W548" s="12">
        <f t="shared" si="168"/>
        <v>0</v>
      </c>
      <c r="Y548" s="10"/>
      <c r="Z548" s="31"/>
      <c r="AA548" s="31"/>
      <c r="AB548" s="31"/>
      <c r="AC548" s="31"/>
      <c r="AD548" s="31"/>
      <c r="AE548" s="31"/>
      <c r="AF548" s="10"/>
      <c r="AG548" s="10"/>
      <c r="AH548" s="10"/>
      <c r="AI548" s="12">
        <f t="shared" si="164"/>
        <v>0</v>
      </c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</row>
    <row r="549" spans="1:52" x14ac:dyDescent="0.25">
      <c r="B549" s="57"/>
      <c r="C549" s="57"/>
      <c r="D549" s="36"/>
      <c r="E549" s="36"/>
      <c r="F549" s="36"/>
      <c r="G549" s="36"/>
      <c r="H549" s="37"/>
      <c r="I549" s="37"/>
      <c r="J549" s="37"/>
      <c r="K549" s="37"/>
      <c r="N549" s="57"/>
      <c r="O549" s="57"/>
      <c r="P549" s="36"/>
      <c r="Q549" s="36"/>
      <c r="R549" s="36"/>
      <c r="S549" s="36"/>
      <c r="T549" s="37"/>
      <c r="U549" s="37"/>
      <c r="V549" s="37"/>
      <c r="W549" s="37"/>
      <c r="Z549" s="57"/>
      <c r="AA549" s="57"/>
      <c r="AB549" s="36"/>
      <c r="AC549" s="36"/>
      <c r="AD549" s="36"/>
      <c r="AE549" s="36"/>
      <c r="AF549" s="37"/>
      <c r="AG549" s="37"/>
      <c r="AH549" s="37"/>
      <c r="AI549" s="37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</row>
    <row r="550" spans="1:52" x14ac:dyDescent="0.25">
      <c r="B550" s="57"/>
      <c r="C550" s="57"/>
      <c r="D550" s="38">
        <f>SUM(D507:D549)</f>
        <v>164577</v>
      </c>
      <c r="E550" s="38">
        <f t="shared" ref="E550:F550" si="173">SUM(E507:E547)</f>
        <v>0</v>
      </c>
      <c r="F550" s="38">
        <f t="shared" si="173"/>
        <v>0</v>
      </c>
      <c r="G550" s="38">
        <f>SUM(G507:G549)</f>
        <v>164577</v>
      </c>
      <c r="H550" s="4"/>
      <c r="I550" s="39">
        <f>SUM(I507:I549)</f>
        <v>611</v>
      </c>
      <c r="J550" s="39">
        <f>SUM(J507:J549)</f>
        <v>0</v>
      </c>
      <c r="K550" s="40">
        <f>SUM(K507:K549)</f>
        <v>165188</v>
      </c>
      <c r="N550" s="57"/>
      <c r="O550" s="57"/>
      <c r="P550" s="38">
        <f>SUM(P507:P549)</f>
        <v>65299.5</v>
      </c>
      <c r="Q550" s="38">
        <f>SUM(Q507:Q531)</f>
        <v>0</v>
      </c>
      <c r="R550" s="38">
        <f>SUM(R507:R531)</f>
        <v>0</v>
      </c>
      <c r="S550" s="38">
        <f>SUM(S507:S549)</f>
        <v>65299.5</v>
      </c>
      <c r="T550" s="4"/>
      <c r="U550" s="41">
        <f>SUM(U507:U549)</f>
        <v>263</v>
      </c>
      <c r="V550" s="41">
        <f>SUM(V507:V531)</f>
        <v>0</v>
      </c>
      <c r="W550" s="42">
        <f>SUM(W507:W549)</f>
        <v>65562.5</v>
      </c>
      <c r="Z550" s="57"/>
      <c r="AA550" s="57"/>
      <c r="AB550" s="38">
        <f>SUM(AB507:AB549)</f>
        <v>148282</v>
      </c>
      <c r="AC550" s="38">
        <f>SUM(AC507:AC531)</f>
        <v>0</v>
      </c>
      <c r="AD550" s="38">
        <f>SUM(AD507:AD531)</f>
        <v>0</v>
      </c>
      <c r="AE550" s="38">
        <f>SUM(AE507:AE549)</f>
        <v>148282</v>
      </c>
      <c r="AF550" s="4"/>
      <c r="AG550" s="41">
        <f>SUM(AG507:AG549)</f>
        <v>24516</v>
      </c>
      <c r="AH550" s="41">
        <f>SUM(AH507:AH531)</f>
        <v>0</v>
      </c>
      <c r="AI550" s="42">
        <f>SUM(AI507:AI549)</f>
        <v>172798</v>
      </c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</row>
    <row r="551" spans="1:52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</row>
    <row r="552" spans="1:52" x14ac:dyDescent="0.25">
      <c r="A552" s="62"/>
      <c r="B552" s="105"/>
      <c r="C552" s="105"/>
      <c r="D552" s="105"/>
      <c r="E552" s="105"/>
      <c r="F552" s="105"/>
      <c r="G552" s="105"/>
      <c r="H552" s="62"/>
      <c r="I552" s="62"/>
      <c r="J552" s="62"/>
      <c r="K552" s="62"/>
      <c r="M552" t="s">
        <v>0</v>
      </c>
      <c r="N552" s="57"/>
      <c r="O552" s="57"/>
      <c r="P552" s="57"/>
      <c r="Q552" s="57"/>
      <c r="R552" s="57"/>
      <c r="S552" s="57"/>
      <c r="Y552" t="s">
        <v>0</v>
      </c>
      <c r="Z552" s="57"/>
      <c r="AA552" s="57"/>
      <c r="AB552" s="57"/>
      <c r="AC552" s="57"/>
      <c r="AD552" s="57"/>
      <c r="AE552" s="57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</row>
    <row r="553" spans="1:52" x14ac:dyDescent="0.25">
      <c r="A553" s="62"/>
      <c r="B553" s="105"/>
      <c r="C553" s="105"/>
      <c r="D553" s="105"/>
      <c r="E553" s="105"/>
      <c r="F553" s="105"/>
      <c r="G553" s="105"/>
      <c r="H553" s="62"/>
      <c r="I553" s="62"/>
      <c r="J553" s="62"/>
      <c r="K553" s="62"/>
      <c r="M553" t="s">
        <v>29</v>
      </c>
      <c r="N553" s="57"/>
      <c r="O553" s="57"/>
      <c r="P553" s="57"/>
      <c r="Q553" s="57"/>
      <c r="R553" s="57"/>
      <c r="S553" s="57"/>
      <c r="Y553" t="s">
        <v>29</v>
      </c>
      <c r="Z553" s="57"/>
      <c r="AA553" s="57"/>
      <c r="AB553" s="57"/>
      <c r="AC553" s="57"/>
      <c r="AD553" s="57"/>
      <c r="AE553" s="57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</row>
    <row r="554" spans="1:52" x14ac:dyDescent="0.25">
      <c r="A554" s="62"/>
      <c r="B554" s="105"/>
      <c r="C554" s="105"/>
      <c r="D554" s="105"/>
      <c r="E554" s="105"/>
      <c r="F554" s="105"/>
      <c r="G554" s="105"/>
      <c r="H554" s="62"/>
      <c r="I554" s="62"/>
      <c r="J554" s="62"/>
      <c r="K554" s="62"/>
      <c r="N554" s="57"/>
      <c r="O554" s="57"/>
      <c r="P554" s="57"/>
      <c r="Q554" s="57"/>
      <c r="R554" s="57"/>
      <c r="S554" s="57"/>
      <c r="Z554" s="57"/>
      <c r="AA554" s="57"/>
      <c r="AB554" s="57"/>
      <c r="AC554" s="57"/>
      <c r="AD554" s="57"/>
      <c r="AE554" s="57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</row>
    <row r="555" spans="1:52" x14ac:dyDescent="0.25">
      <c r="A555" s="64"/>
      <c r="B555" s="105"/>
      <c r="C555" s="105"/>
      <c r="D555" s="105"/>
      <c r="E555" s="105"/>
      <c r="F555" s="105"/>
      <c r="G555" s="105"/>
      <c r="H555" s="62"/>
      <c r="I555" s="62"/>
      <c r="J555" s="62"/>
      <c r="K555" s="62"/>
      <c r="M555" s="4" t="s">
        <v>15</v>
      </c>
      <c r="N555" s="57"/>
      <c r="O555" s="57"/>
      <c r="P555" s="57"/>
      <c r="Q555" s="57"/>
      <c r="R555" s="57"/>
      <c r="S555" s="57"/>
      <c r="Y555" s="4" t="s">
        <v>15</v>
      </c>
      <c r="Z555" s="57"/>
      <c r="AA555" s="57"/>
      <c r="AB555" s="57"/>
      <c r="AC555" s="57"/>
      <c r="AD555" s="57"/>
      <c r="AE555" s="57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</row>
    <row r="556" spans="1:52" x14ac:dyDescent="0.25">
      <c r="A556" s="62"/>
      <c r="B556" s="105"/>
      <c r="C556" s="105"/>
      <c r="D556" s="105"/>
      <c r="E556" s="105"/>
      <c r="F556" s="105"/>
      <c r="G556" s="105"/>
      <c r="H556" s="62"/>
      <c r="I556" s="62"/>
      <c r="J556" s="62"/>
      <c r="K556" s="62"/>
      <c r="N556" s="57"/>
      <c r="O556" s="57"/>
      <c r="P556" s="57"/>
      <c r="Q556" s="57"/>
      <c r="R556" s="57"/>
      <c r="S556" s="57"/>
      <c r="Z556" s="57"/>
      <c r="AA556" s="57"/>
      <c r="AB556" s="57"/>
      <c r="AC556" s="57"/>
      <c r="AD556" s="57"/>
      <c r="AE556" s="57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</row>
    <row r="557" spans="1:52" ht="15.75" x14ac:dyDescent="0.25">
      <c r="A557" s="62"/>
      <c r="B557" s="105"/>
      <c r="C557" s="105"/>
      <c r="D557" s="105"/>
      <c r="E557" s="105"/>
      <c r="F557" s="105"/>
      <c r="G557" s="105"/>
      <c r="H557" s="62"/>
      <c r="I557" s="105"/>
      <c r="J557" s="77"/>
      <c r="K557" s="62"/>
      <c r="M557" t="s">
        <v>50</v>
      </c>
      <c r="N557" s="57"/>
      <c r="O557" s="57"/>
      <c r="P557" s="57"/>
      <c r="Q557" s="57"/>
      <c r="R557" s="57"/>
      <c r="S557" s="57"/>
      <c r="U557" s="57" t="s">
        <v>16</v>
      </c>
      <c r="V557" s="19">
        <v>2</v>
      </c>
      <c r="Y557" t="s">
        <v>50</v>
      </c>
      <c r="Z557" s="57"/>
      <c r="AA557" s="57"/>
      <c r="AB557" s="57"/>
      <c r="AC557" s="57"/>
      <c r="AD557" s="57"/>
      <c r="AE557" s="57"/>
      <c r="AG557" s="57" t="s">
        <v>16</v>
      </c>
      <c r="AH557" s="20">
        <v>3</v>
      </c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</row>
    <row r="558" spans="1:52" x14ac:dyDescent="0.25">
      <c r="A558" s="65"/>
      <c r="B558" s="105"/>
      <c r="C558" s="105"/>
      <c r="D558" s="105"/>
      <c r="E558" s="105"/>
      <c r="F558" s="105"/>
      <c r="G558" s="105"/>
      <c r="H558" s="62"/>
      <c r="I558" s="66"/>
      <c r="J558" s="66"/>
      <c r="K558" s="62"/>
      <c r="M558" s="21" t="s">
        <v>65</v>
      </c>
      <c r="N558" s="20"/>
      <c r="O558" s="57"/>
      <c r="P558" s="57"/>
      <c r="Q558" s="57"/>
      <c r="R558" s="57"/>
      <c r="S558" s="57"/>
      <c r="U558" s="22" t="s">
        <v>17</v>
      </c>
      <c r="V558" s="23" t="s">
        <v>34</v>
      </c>
      <c r="W558" s="24"/>
      <c r="Y558" s="21" t="s">
        <v>65</v>
      </c>
      <c r="Z558" s="20"/>
      <c r="AA558" s="57"/>
      <c r="AB558" s="57"/>
      <c r="AC558" s="57"/>
      <c r="AD558" s="57"/>
      <c r="AE558" s="57"/>
      <c r="AG558" s="22" t="s">
        <v>17</v>
      </c>
      <c r="AH558" s="23" t="s">
        <v>35</v>
      </c>
      <c r="AI558" s="24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</row>
    <row r="559" spans="1:52" x14ac:dyDescent="0.25">
      <c r="A559" s="62"/>
      <c r="B559" s="105"/>
      <c r="C559" s="105"/>
      <c r="D559" s="105"/>
      <c r="E559" s="105"/>
      <c r="F559" s="105"/>
      <c r="G559" s="105"/>
      <c r="H559" s="62"/>
      <c r="I559" s="62"/>
      <c r="J559" s="62"/>
      <c r="K559" s="62"/>
      <c r="N559" s="57"/>
      <c r="O559" s="57"/>
      <c r="P559" s="57"/>
      <c r="Q559" s="57"/>
      <c r="R559" s="57"/>
      <c r="S559" s="57"/>
      <c r="Z559" s="57"/>
      <c r="AA559" s="57"/>
      <c r="AB559" s="57"/>
      <c r="AC559" s="57"/>
      <c r="AD559" s="57"/>
      <c r="AE559" s="57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</row>
    <row r="560" spans="1:52" ht="15" customHeight="1" x14ac:dyDescent="0.25">
      <c r="A560" s="62"/>
      <c r="B560" s="66"/>
      <c r="C560" s="105"/>
      <c r="D560" s="116"/>
      <c r="E560" s="116"/>
      <c r="F560" s="105"/>
      <c r="G560" s="105"/>
      <c r="H560" s="62"/>
      <c r="I560" s="116"/>
      <c r="J560" s="116"/>
      <c r="K560" s="115"/>
      <c r="N560" s="25"/>
      <c r="O560" s="26"/>
      <c r="P560" s="121" t="s">
        <v>18</v>
      </c>
      <c r="Q560" s="121"/>
      <c r="R560" s="106"/>
      <c r="S560" s="27"/>
      <c r="U560" s="119" t="s">
        <v>19</v>
      </c>
      <c r="V560" s="120"/>
      <c r="W560" s="117" t="s">
        <v>20</v>
      </c>
      <c r="Z560" s="25"/>
      <c r="AA560" s="26"/>
      <c r="AB560" s="121" t="s">
        <v>18</v>
      </c>
      <c r="AC560" s="121"/>
      <c r="AD560" s="106"/>
      <c r="AE560" s="27"/>
      <c r="AG560" s="119" t="s">
        <v>19</v>
      </c>
      <c r="AH560" s="120"/>
      <c r="AI560" s="117" t="s">
        <v>20</v>
      </c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</row>
    <row r="561" spans="1:52" ht="30" x14ac:dyDescent="0.25">
      <c r="A561" s="62"/>
      <c r="B561" s="105"/>
      <c r="C561" s="105"/>
      <c r="D561" s="87"/>
      <c r="E561" s="88"/>
      <c r="F561" s="89"/>
      <c r="G561" s="89"/>
      <c r="H561" s="62"/>
      <c r="I561" s="104"/>
      <c r="J561" s="104"/>
      <c r="K561" s="115"/>
      <c r="N561" s="28" t="s">
        <v>21</v>
      </c>
      <c r="O561" s="28" t="s">
        <v>22</v>
      </c>
      <c r="P561" s="83" t="s">
        <v>23</v>
      </c>
      <c r="Q561" s="84" t="s">
        <v>24</v>
      </c>
      <c r="R561" s="84" t="s">
        <v>36</v>
      </c>
      <c r="S561" s="84" t="s">
        <v>25</v>
      </c>
      <c r="U561" s="29" t="s">
        <v>26</v>
      </c>
      <c r="V561" s="29" t="s">
        <v>27</v>
      </c>
      <c r="W561" s="118"/>
      <c r="Z561" s="28" t="s">
        <v>21</v>
      </c>
      <c r="AA561" s="28" t="s">
        <v>22</v>
      </c>
      <c r="AB561" s="83" t="s">
        <v>23</v>
      </c>
      <c r="AC561" s="84" t="s">
        <v>24</v>
      </c>
      <c r="AD561" s="84" t="s">
        <v>36</v>
      </c>
      <c r="AE561" s="84" t="s">
        <v>25</v>
      </c>
      <c r="AG561" s="29" t="s">
        <v>26</v>
      </c>
      <c r="AH561" s="29" t="s">
        <v>27</v>
      </c>
      <c r="AI561" s="118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</row>
    <row r="562" spans="1:52" x14ac:dyDescent="0.25">
      <c r="A562" s="62"/>
      <c r="B562" s="68"/>
      <c r="C562" s="105"/>
      <c r="D562" s="60"/>
      <c r="E562" s="60"/>
      <c r="F562" s="60"/>
      <c r="G562" s="60"/>
      <c r="H562" s="61"/>
      <c r="I562" s="61"/>
      <c r="J562" s="61"/>
      <c r="K562" s="61"/>
      <c r="M562" s="10">
        <v>1</v>
      </c>
      <c r="N562" s="30" t="s">
        <v>66</v>
      </c>
      <c r="O562" s="31">
        <v>5136</v>
      </c>
      <c r="P562" s="32">
        <f>3130</f>
        <v>3130</v>
      </c>
      <c r="Q562" s="32"/>
      <c r="R562" s="32"/>
      <c r="S562" s="32">
        <f>SUM(P562:Q562)</f>
        <v>3130</v>
      </c>
      <c r="T562" s="12"/>
      <c r="U562" s="12"/>
      <c r="V562" s="12"/>
      <c r="W562" s="12">
        <f>SUM(S562:V562)</f>
        <v>3130</v>
      </c>
      <c r="Y562" s="10">
        <v>1</v>
      </c>
      <c r="Z562" s="30" t="s">
        <v>66</v>
      </c>
      <c r="AA562" s="31">
        <v>5151</v>
      </c>
      <c r="AB562" s="32">
        <f>25040+1228+1348+4768+458+500</f>
        <v>33342</v>
      </c>
      <c r="AC562" s="32">
        <v>-330</v>
      </c>
      <c r="AD562" s="32"/>
      <c r="AE562" s="32">
        <f>SUM(AB562:AC562)</f>
        <v>33012</v>
      </c>
      <c r="AF562" s="12"/>
      <c r="AG562" s="12"/>
      <c r="AH562" s="12"/>
      <c r="AI562" s="12">
        <f>SUM(AE562:AH562)</f>
        <v>33012</v>
      </c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</row>
    <row r="563" spans="1:52" x14ac:dyDescent="0.25">
      <c r="A563" s="62"/>
      <c r="B563" s="68"/>
      <c r="C563" s="105"/>
      <c r="D563" s="60"/>
      <c r="E563" s="60"/>
      <c r="F563" s="60"/>
      <c r="G563" s="60"/>
      <c r="H563" s="61"/>
      <c r="I563" s="61"/>
      <c r="J563" s="61"/>
      <c r="K563" s="61"/>
      <c r="M563" s="10">
        <v>2</v>
      </c>
      <c r="N563" s="30" t="s">
        <v>66</v>
      </c>
      <c r="O563" s="31">
        <f>O562+1</f>
        <v>5137</v>
      </c>
      <c r="P563" s="32">
        <f>1878+596+38</f>
        <v>2512</v>
      </c>
      <c r="Q563" s="32"/>
      <c r="R563" s="32"/>
      <c r="S563" s="32">
        <f t="shared" ref="S563:S576" si="174">SUM(P563:Q563)</f>
        <v>2512</v>
      </c>
      <c r="T563" s="12"/>
      <c r="U563" s="12"/>
      <c r="V563" s="12"/>
      <c r="W563" s="12">
        <f t="shared" ref="W563:W576" si="175">SUM(S563:V563)</f>
        <v>2512</v>
      </c>
      <c r="Y563" s="10">
        <v>2</v>
      </c>
      <c r="Z563" s="30" t="s">
        <v>66</v>
      </c>
      <c r="AA563" s="31">
        <f>AA562+1</f>
        <v>5152</v>
      </c>
      <c r="AB563" s="32">
        <f>15650+2290</f>
        <v>17940</v>
      </c>
      <c r="AC563" s="32"/>
      <c r="AD563" s="32"/>
      <c r="AE563" s="32">
        <f t="shared" ref="AE563:AE600" si="176">SUM(AB563:AC563)</f>
        <v>17940</v>
      </c>
      <c r="AF563" s="12"/>
      <c r="AG563" s="12"/>
      <c r="AH563" s="12"/>
      <c r="AI563" s="12">
        <f t="shared" ref="AI563:AI603" si="177">SUM(AE563:AH563)</f>
        <v>17940</v>
      </c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</row>
    <row r="564" spans="1:52" x14ac:dyDescent="0.25">
      <c r="A564" s="62"/>
      <c r="B564" s="68"/>
      <c r="C564" s="105"/>
      <c r="D564" s="60"/>
      <c r="E564" s="60"/>
      <c r="F564" s="60"/>
      <c r="G564" s="60"/>
      <c r="H564" s="61"/>
      <c r="I564" s="61"/>
      <c r="J564" s="61"/>
      <c r="K564" s="61"/>
      <c r="M564" s="10">
        <v>3</v>
      </c>
      <c r="N564" s="30" t="s">
        <v>66</v>
      </c>
      <c r="O564" s="31">
        <f t="shared" ref="O564:O565" si="178">O563+1</f>
        <v>5138</v>
      </c>
      <c r="P564" s="32">
        <f>2504+614+38</f>
        <v>3156</v>
      </c>
      <c r="Q564" s="32"/>
      <c r="R564" s="32"/>
      <c r="S564" s="32">
        <f t="shared" si="174"/>
        <v>3156</v>
      </c>
      <c r="T564" s="12"/>
      <c r="U564" s="12">
        <v>9</v>
      </c>
      <c r="V564" s="12"/>
      <c r="W564" s="12">
        <f t="shared" si="175"/>
        <v>3165</v>
      </c>
      <c r="Y564" s="10">
        <v>3</v>
      </c>
      <c r="Z564" s="30" t="s">
        <v>66</v>
      </c>
      <c r="AA564" s="31">
        <f t="shared" ref="AA564:AA573" si="179">AA563+1</f>
        <v>5153</v>
      </c>
      <c r="AB564" s="33">
        <f>6886+3576+161</f>
        <v>10623</v>
      </c>
      <c r="AC564" s="33"/>
      <c r="AD564" s="32"/>
      <c r="AE564" s="32">
        <f t="shared" si="176"/>
        <v>10623</v>
      </c>
      <c r="AF564" s="12"/>
      <c r="AG564" s="12"/>
      <c r="AH564" s="12"/>
      <c r="AI564" s="12">
        <f t="shared" si="177"/>
        <v>10623</v>
      </c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</row>
    <row r="565" spans="1:52" x14ac:dyDescent="0.25">
      <c r="A565" s="62"/>
      <c r="B565" s="68"/>
      <c r="C565" s="105"/>
      <c r="D565" s="60"/>
      <c r="E565" s="60"/>
      <c r="F565" s="60"/>
      <c r="G565" s="60"/>
      <c r="H565" s="61"/>
      <c r="I565" s="61"/>
      <c r="J565" s="61"/>
      <c r="K565" s="61"/>
      <c r="M565" s="10">
        <v>4</v>
      </c>
      <c r="N565" s="30" t="s">
        <v>66</v>
      </c>
      <c r="O565" s="31">
        <f t="shared" si="178"/>
        <v>5139</v>
      </c>
      <c r="P565" s="32">
        <f>100160+23840+1832+1300</f>
        <v>127132</v>
      </c>
      <c r="Q565" s="32">
        <v>-1890</v>
      </c>
      <c r="R565" s="32"/>
      <c r="S565" s="32">
        <f t="shared" si="174"/>
        <v>125242</v>
      </c>
      <c r="T565" s="12"/>
      <c r="U565" s="12">
        <f>1998+546</f>
        <v>2544</v>
      </c>
      <c r="V565" s="12">
        <f>-168+-336+-252</f>
        <v>-756</v>
      </c>
      <c r="W565" s="12">
        <f t="shared" si="175"/>
        <v>127030</v>
      </c>
      <c r="Y565" s="10">
        <v>4</v>
      </c>
      <c r="Z565" s="30" t="s">
        <v>66</v>
      </c>
      <c r="AA565" s="31">
        <f t="shared" si="179"/>
        <v>5154</v>
      </c>
      <c r="AB565" s="32">
        <f>8138+1228+2980+852+171</f>
        <v>13369</v>
      </c>
      <c r="AC565" s="32"/>
      <c r="AD565" s="32"/>
      <c r="AE565" s="32">
        <f t="shared" si="176"/>
        <v>13369</v>
      </c>
      <c r="AF565" s="12"/>
      <c r="AH565" s="12"/>
      <c r="AI565" s="12">
        <f t="shared" si="177"/>
        <v>13369</v>
      </c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</row>
    <row r="566" spans="1:52" x14ac:dyDescent="0.25">
      <c r="A566" s="62"/>
      <c r="B566" s="68"/>
      <c r="C566" s="105"/>
      <c r="D566" s="60"/>
      <c r="E566" s="60"/>
      <c r="F566" s="60"/>
      <c r="G566" s="60"/>
      <c r="H566" s="61"/>
      <c r="I566" s="61"/>
      <c r="J566" s="61"/>
      <c r="K566" s="61"/>
      <c r="M566" s="10">
        <v>5</v>
      </c>
      <c r="N566" s="30"/>
      <c r="O566" s="11" t="s">
        <v>28</v>
      </c>
      <c r="P566" s="32"/>
      <c r="Q566" s="32"/>
      <c r="R566" s="32"/>
      <c r="S566" s="32">
        <f t="shared" si="174"/>
        <v>0</v>
      </c>
      <c r="T566" s="12"/>
      <c r="U566" s="12"/>
      <c r="V566" s="12"/>
      <c r="W566" s="12">
        <f t="shared" si="175"/>
        <v>0</v>
      </c>
      <c r="Y566" s="10">
        <v>5</v>
      </c>
      <c r="Z566" s="30" t="s">
        <v>66</v>
      </c>
      <c r="AA566" s="31">
        <f t="shared" si="179"/>
        <v>5155</v>
      </c>
      <c r="AB566" s="32">
        <f>5008+458</f>
        <v>5466</v>
      </c>
      <c r="AC566" s="32"/>
      <c r="AD566" s="32"/>
      <c r="AE566" s="32">
        <f t="shared" si="176"/>
        <v>5466</v>
      </c>
      <c r="AF566" s="12"/>
      <c r="AG566" s="12"/>
      <c r="AH566" s="12"/>
      <c r="AI566" s="12">
        <f t="shared" si="177"/>
        <v>5466</v>
      </c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</row>
    <row r="567" spans="1:52" x14ac:dyDescent="0.25">
      <c r="A567" s="62"/>
      <c r="B567" s="68"/>
      <c r="C567" s="105"/>
      <c r="D567" s="60"/>
      <c r="E567" s="60"/>
      <c r="F567" s="60"/>
      <c r="G567" s="60"/>
      <c r="H567" s="61"/>
      <c r="I567" s="61"/>
      <c r="J567" s="61"/>
      <c r="K567" s="61"/>
      <c r="M567" s="10">
        <v>6</v>
      </c>
      <c r="N567" s="30"/>
      <c r="O567" s="31"/>
      <c r="P567" s="32"/>
      <c r="Q567" s="32"/>
      <c r="R567" s="32"/>
      <c r="S567" s="32">
        <f t="shared" si="174"/>
        <v>0</v>
      </c>
      <c r="T567" s="12"/>
      <c r="U567" s="12"/>
      <c r="V567" s="10"/>
      <c r="W567" s="12">
        <f t="shared" si="175"/>
        <v>0</v>
      </c>
      <c r="Y567" s="10">
        <v>6</v>
      </c>
      <c r="Z567" s="30" t="s">
        <v>66</v>
      </c>
      <c r="AA567" s="31">
        <f t="shared" si="179"/>
        <v>5156</v>
      </c>
      <c r="AB567" s="32">
        <f>2504+38</f>
        <v>2542</v>
      </c>
      <c r="AC567" s="32"/>
      <c r="AD567" s="32"/>
      <c r="AE567" s="32">
        <f t="shared" si="176"/>
        <v>2542</v>
      </c>
      <c r="AF567" s="12"/>
      <c r="AG567" s="12"/>
      <c r="AH567" s="10"/>
      <c r="AI567" s="12">
        <f t="shared" si="177"/>
        <v>2542</v>
      </c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</row>
    <row r="568" spans="1:52" x14ac:dyDescent="0.25">
      <c r="A568" s="62"/>
      <c r="B568" s="68"/>
      <c r="C568" s="105"/>
      <c r="D568" s="60"/>
      <c r="E568" s="60"/>
      <c r="F568" s="60"/>
      <c r="G568" s="60"/>
      <c r="H568" s="61"/>
      <c r="I568" s="61"/>
      <c r="J568" s="61"/>
      <c r="K568" s="61"/>
      <c r="M568" s="10">
        <v>7</v>
      </c>
      <c r="N568" s="30"/>
      <c r="O568" s="31"/>
      <c r="P568" s="32"/>
      <c r="Q568" s="32"/>
      <c r="R568" s="32"/>
      <c r="S568" s="32">
        <f t="shared" si="174"/>
        <v>0</v>
      </c>
      <c r="T568" s="12"/>
      <c r="U568" s="12"/>
      <c r="V568" s="12"/>
      <c r="W568" s="12">
        <f t="shared" si="175"/>
        <v>0</v>
      </c>
      <c r="Y568" s="10">
        <v>7</v>
      </c>
      <c r="Z568" s="30" t="s">
        <v>66</v>
      </c>
      <c r="AA568" s="31">
        <f t="shared" si="179"/>
        <v>5157</v>
      </c>
      <c r="AB568" s="32">
        <f>1878+28</f>
        <v>1906</v>
      </c>
      <c r="AC568" s="32"/>
      <c r="AD568" s="32"/>
      <c r="AE568" s="32">
        <f t="shared" si="176"/>
        <v>1906</v>
      </c>
      <c r="AF568" s="12"/>
      <c r="AG568" s="58"/>
      <c r="AH568" s="12"/>
      <c r="AI568" s="12">
        <f t="shared" si="177"/>
        <v>1906</v>
      </c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</row>
    <row r="569" spans="1:52" x14ac:dyDescent="0.25">
      <c r="A569" s="62"/>
      <c r="B569" s="68"/>
      <c r="C569" s="105"/>
      <c r="D569" s="60"/>
      <c r="E569" s="60"/>
      <c r="F569" s="60"/>
      <c r="G569" s="60"/>
      <c r="H569" s="61"/>
      <c r="I569" s="61"/>
      <c r="J569" s="61"/>
      <c r="K569" s="61"/>
      <c r="M569" s="10">
        <v>8</v>
      </c>
      <c r="N569" s="30"/>
      <c r="O569" s="31"/>
      <c r="P569" s="32"/>
      <c r="Q569" s="32"/>
      <c r="R569" s="32"/>
      <c r="S569" s="32">
        <f t="shared" si="174"/>
        <v>0</v>
      </c>
      <c r="T569" s="12"/>
      <c r="U569" s="12"/>
      <c r="V569" s="12"/>
      <c r="W569" s="12">
        <f t="shared" si="175"/>
        <v>0</v>
      </c>
      <c r="Y569" s="10">
        <v>8</v>
      </c>
      <c r="Z569" s="30" t="s">
        <v>66</v>
      </c>
      <c r="AA569" s="31">
        <f t="shared" si="179"/>
        <v>5158</v>
      </c>
      <c r="AB569" s="32">
        <f>626+596+19</f>
        <v>1241</v>
      </c>
      <c r="AC569" s="32"/>
      <c r="AE569" s="32">
        <f t="shared" si="176"/>
        <v>1241</v>
      </c>
      <c r="AF569" s="12"/>
      <c r="AG569" s="12"/>
      <c r="AH569" s="12"/>
      <c r="AI569" s="12">
        <f t="shared" si="177"/>
        <v>1241</v>
      </c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</row>
    <row r="570" spans="1:52" x14ac:dyDescent="0.25">
      <c r="A570" s="62"/>
      <c r="B570" s="68"/>
      <c r="C570" s="105"/>
      <c r="D570" s="60"/>
      <c r="E570" s="60"/>
      <c r="F570" s="60"/>
      <c r="G570" s="60"/>
      <c r="H570" s="61"/>
      <c r="I570" s="61"/>
      <c r="J570" s="61"/>
      <c r="K570" s="61"/>
      <c r="M570" s="10">
        <v>9</v>
      </c>
      <c r="N570" s="30"/>
      <c r="O570" s="31"/>
      <c r="P570" s="32"/>
      <c r="Q570" s="32"/>
      <c r="R570" s="32"/>
      <c r="S570" s="32">
        <f t="shared" si="174"/>
        <v>0</v>
      </c>
      <c r="T570" s="12"/>
      <c r="U570" s="12"/>
      <c r="V570" s="12"/>
      <c r="W570" s="12">
        <f t="shared" si="175"/>
        <v>0</v>
      </c>
      <c r="Y570" s="10">
        <v>9</v>
      </c>
      <c r="Z570" s="30" t="s">
        <v>66</v>
      </c>
      <c r="AA570" s="31">
        <f t="shared" si="179"/>
        <v>5159</v>
      </c>
      <c r="AB570">
        <f>8764+133</f>
        <v>8897</v>
      </c>
      <c r="AC570" s="32"/>
      <c r="AD570" s="32"/>
      <c r="AE570" s="32">
        <f t="shared" si="176"/>
        <v>8897</v>
      </c>
      <c r="AF570" s="12"/>
      <c r="AH570" s="12"/>
      <c r="AI570" s="12">
        <f t="shared" si="177"/>
        <v>8897</v>
      </c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</row>
    <row r="571" spans="1:52" x14ac:dyDescent="0.25">
      <c r="A571" s="62"/>
      <c r="B571" s="68"/>
      <c r="C571" s="105"/>
      <c r="D571" s="60"/>
      <c r="E571" s="60"/>
      <c r="F571" s="60"/>
      <c r="G571" s="60"/>
      <c r="H571" s="61"/>
      <c r="I571" s="61"/>
      <c r="J571" s="61"/>
      <c r="K571" s="61"/>
      <c r="M571" s="10">
        <v>10</v>
      </c>
      <c r="N571" s="30"/>
      <c r="O571" s="31"/>
      <c r="P571" s="32"/>
      <c r="Q571" s="32"/>
      <c r="R571" s="32"/>
      <c r="S571" s="32">
        <f t="shared" si="174"/>
        <v>0</v>
      </c>
      <c r="T571" s="12"/>
      <c r="U571" s="12"/>
      <c r="V571" s="12"/>
      <c r="W571" s="12">
        <f t="shared" si="175"/>
        <v>0</v>
      </c>
      <c r="Y571" s="10">
        <v>10</v>
      </c>
      <c r="Z571" s="30" t="s">
        <v>66</v>
      </c>
      <c r="AA571" s="31">
        <f t="shared" si="179"/>
        <v>5160</v>
      </c>
      <c r="AB571" s="32">
        <f>1878+1788+57</f>
        <v>3723</v>
      </c>
      <c r="AC571" s="32"/>
      <c r="AD571" s="32"/>
      <c r="AE571" s="32">
        <f t="shared" si="176"/>
        <v>3723</v>
      </c>
      <c r="AF571" s="12"/>
      <c r="AG571" s="12"/>
      <c r="AH571" s="12"/>
      <c r="AI571" s="12">
        <f t="shared" si="177"/>
        <v>3723</v>
      </c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</row>
    <row r="572" spans="1:52" x14ac:dyDescent="0.25">
      <c r="A572" s="62"/>
      <c r="B572" s="68"/>
      <c r="C572" s="105"/>
      <c r="D572" s="60"/>
      <c r="E572" s="60"/>
      <c r="F572" s="60"/>
      <c r="G572" s="60"/>
      <c r="H572" s="61"/>
      <c r="I572" s="61"/>
      <c r="J572" s="61"/>
      <c r="K572" s="61"/>
      <c r="M572" s="10">
        <v>11</v>
      </c>
      <c r="N572" s="30"/>
      <c r="O572" s="31"/>
      <c r="P572" s="32"/>
      <c r="Q572" s="32"/>
      <c r="R572" s="32"/>
      <c r="S572" s="32">
        <f t="shared" si="174"/>
        <v>0</v>
      </c>
      <c r="T572" s="12"/>
      <c r="U572" s="12"/>
      <c r="V572" s="12"/>
      <c r="W572" s="12">
        <f t="shared" si="175"/>
        <v>0</v>
      </c>
      <c r="Y572" s="10">
        <v>11</v>
      </c>
      <c r="Z572" s="30" t="s">
        <v>66</v>
      </c>
      <c r="AA572" s="31">
        <f t="shared" si="179"/>
        <v>5161</v>
      </c>
      <c r="AB572" s="32">
        <f>5634+596+95</f>
        <v>6325</v>
      </c>
      <c r="AC572" s="32"/>
      <c r="AD572" s="32"/>
      <c r="AE572" s="32">
        <f t="shared" si="176"/>
        <v>6325</v>
      </c>
      <c r="AF572" s="12"/>
      <c r="AG572" s="12"/>
      <c r="AH572" s="12"/>
      <c r="AI572" s="12">
        <f t="shared" si="177"/>
        <v>6325</v>
      </c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</row>
    <row r="573" spans="1:52" x14ac:dyDescent="0.25">
      <c r="A573" s="62"/>
      <c r="B573" s="68"/>
      <c r="C573" s="105"/>
      <c r="D573" s="60"/>
      <c r="E573" s="109" t="s">
        <v>52</v>
      </c>
      <c r="F573" s="60"/>
      <c r="G573" s="60"/>
      <c r="H573" s="61"/>
      <c r="I573" s="61"/>
      <c r="J573" s="62"/>
      <c r="K573" s="61"/>
      <c r="M573" s="10">
        <v>12</v>
      </c>
      <c r="N573" s="30"/>
      <c r="O573" s="31"/>
      <c r="P573" s="32"/>
      <c r="Q573" s="32"/>
      <c r="R573" s="32"/>
      <c r="S573" s="32">
        <f t="shared" si="174"/>
        <v>0</v>
      </c>
      <c r="T573" s="12"/>
      <c r="U573" s="12"/>
      <c r="V573" s="12"/>
      <c r="W573" s="12">
        <f t="shared" si="175"/>
        <v>0</v>
      </c>
      <c r="Y573" s="10">
        <v>12</v>
      </c>
      <c r="Z573" s="30" t="s">
        <v>66</v>
      </c>
      <c r="AA573" s="31">
        <f t="shared" si="179"/>
        <v>5162</v>
      </c>
      <c r="AB573" s="32">
        <f>22536+8596</f>
        <v>31132</v>
      </c>
      <c r="AC573" s="32">
        <v>-300</v>
      </c>
      <c r="AD573" s="32"/>
      <c r="AE573" s="32">
        <f t="shared" si="176"/>
        <v>30832</v>
      </c>
      <c r="AF573" s="12"/>
      <c r="AG573" s="12"/>
      <c r="AH573" s="12">
        <v>-666</v>
      </c>
      <c r="AI573" s="12">
        <f t="shared" si="177"/>
        <v>30166</v>
      </c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</row>
    <row r="574" spans="1:52" x14ac:dyDescent="0.25">
      <c r="A574" s="62"/>
      <c r="B574" s="68"/>
      <c r="C574" s="105"/>
      <c r="D574" s="60"/>
      <c r="E574" s="60"/>
      <c r="F574" s="60"/>
      <c r="G574" s="60"/>
      <c r="H574" s="61"/>
      <c r="I574" s="61"/>
      <c r="J574" s="61"/>
      <c r="K574" s="61"/>
      <c r="M574" s="10">
        <v>13</v>
      </c>
      <c r="N574" s="30"/>
      <c r="O574" s="31"/>
      <c r="P574" s="32"/>
      <c r="Q574" s="32"/>
      <c r="R574" s="32"/>
      <c r="S574" s="32">
        <f t="shared" si="174"/>
        <v>0</v>
      </c>
      <c r="T574" s="12"/>
      <c r="U574" s="12"/>
      <c r="V574" s="12"/>
      <c r="W574" s="12">
        <f t="shared" si="175"/>
        <v>0</v>
      </c>
      <c r="Y574" s="10">
        <v>13</v>
      </c>
      <c r="Z574" s="30" t="s">
        <v>66</v>
      </c>
      <c r="AA574" s="31">
        <v>4698</v>
      </c>
      <c r="AB574" s="32">
        <f>1252+19</f>
        <v>1271</v>
      </c>
      <c r="AC574" s="32"/>
      <c r="AD574" s="32"/>
      <c r="AE574" s="32">
        <f t="shared" si="176"/>
        <v>1271</v>
      </c>
      <c r="AF574" s="12"/>
      <c r="AG574" s="12"/>
      <c r="AH574" s="12"/>
      <c r="AI574" s="12">
        <f t="shared" si="177"/>
        <v>1271</v>
      </c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</row>
    <row r="575" spans="1:52" x14ac:dyDescent="0.25">
      <c r="A575" s="62"/>
      <c r="B575" s="68"/>
      <c r="C575" s="105"/>
      <c r="D575" s="60"/>
      <c r="E575" s="60"/>
      <c r="F575" s="60"/>
      <c r="G575" s="60"/>
      <c r="H575" s="61"/>
      <c r="I575" s="61"/>
      <c r="J575" s="61"/>
      <c r="K575" s="61"/>
      <c r="M575" s="10">
        <v>14</v>
      </c>
      <c r="N575" s="30"/>
      <c r="O575" s="31"/>
      <c r="P575" s="32"/>
      <c r="Q575" s="32"/>
      <c r="R575" s="32"/>
      <c r="S575" s="32">
        <f t="shared" si="174"/>
        <v>0</v>
      </c>
      <c r="T575" s="12"/>
      <c r="U575" s="12"/>
      <c r="V575" s="12"/>
      <c r="W575" s="12">
        <f t="shared" si="175"/>
        <v>0</v>
      </c>
      <c r="Y575" s="10">
        <v>14</v>
      </c>
      <c r="Z575" s="30"/>
      <c r="AA575" s="11" t="s">
        <v>28</v>
      </c>
      <c r="AB575" s="32"/>
      <c r="AC575" s="32"/>
      <c r="AD575" s="32"/>
      <c r="AE575" s="32">
        <f t="shared" si="176"/>
        <v>0</v>
      </c>
      <c r="AF575" s="12"/>
      <c r="AG575" s="12"/>
      <c r="AH575" s="12"/>
      <c r="AI575" s="12">
        <f t="shared" si="177"/>
        <v>0</v>
      </c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</row>
    <row r="576" spans="1:52" x14ac:dyDescent="0.25">
      <c r="A576" s="62"/>
      <c r="B576" s="68"/>
      <c r="C576" s="105"/>
      <c r="D576" s="60"/>
      <c r="E576" s="60"/>
      <c r="F576" s="60"/>
      <c r="G576" s="60"/>
      <c r="H576" s="61"/>
      <c r="I576" s="61"/>
      <c r="J576" s="61"/>
      <c r="K576" s="61"/>
      <c r="M576" s="10">
        <v>15</v>
      </c>
      <c r="N576" s="30"/>
      <c r="O576" s="31"/>
      <c r="P576" s="32"/>
      <c r="R576" s="32"/>
      <c r="S576" s="32">
        <f t="shared" si="174"/>
        <v>0</v>
      </c>
      <c r="T576" s="12"/>
      <c r="U576" s="12"/>
      <c r="W576" s="12">
        <f t="shared" si="175"/>
        <v>0</v>
      </c>
      <c r="Y576" s="10">
        <v>15</v>
      </c>
      <c r="Z576" s="30"/>
      <c r="AA576" s="31"/>
      <c r="AB576" s="32"/>
      <c r="AC576" s="32"/>
      <c r="AD576" s="32"/>
      <c r="AE576" s="32">
        <f t="shared" si="176"/>
        <v>0</v>
      </c>
      <c r="AF576" s="12"/>
      <c r="AG576" s="12"/>
      <c r="AH576" s="12"/>
      <c r="AI576" s="12">
        <f t="shared" si="177"/>
        <v>0</v>
      </c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</row>
    <row r="577" spans="1:52" x14ac:dyDescent="0.25">
      <c r="A577" s="62"/>
      <c r="B577" s="68"/>
      <c r="C577" s="105"/>
      <c r="D577" s="60"/>
      <c r="E577" s="60"/>
      <c r="F577" s="60"/>
      <c r="G577" s="60"/>
      <c r="H577" s="61"/>
      <c r="I577" s="61"/>
      <c r="J577" s="61"/>
      <c r="K577" s="61"/>
      <c r="M577" s="10">
        <v>16</v>
      </c>
      <c r="N577" s="30"/>
      <c r="O577" s="31"/>
      <c r="P577" s="32"/>
      <c r="Q577" s="32"/>
      <c r="R577" s="32"/>
      <c r="S577" s="32">
        <f>SUM(P577:Q577)</f>
        <v>0</v>
      </c>
      <c r="T577" s="12"/>
      <c r="U577" s="12"/>
      <c r="V577" s="12"/>
      <c r="W577" s="12">
        <f>SUM(S577:V577)</f>
        <v>0</v>
      </c>
      <c r="Y577" s="10">
        <v>16</v>
      </c>
      <c r="Z577" s="30"/>
      <c r="AB577" s="32"/>
      <c r="AC577" s="32"/>
      <c r="AD577" s="32"/>
      <c r="AE577" s="32">
        <f t="shared" si="176"/>
        <v>0</v>
      </c>
      <c r="AF577" s="12"/>
      <c r="AG577" s="12"/>
      <c r="AH577" s="12"/>
      <c r="AI577" s="12">
        <f t="shared" si="177"/>
        <v>0</v>
      </c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</row>
    <row r="578" spans="1:52" x14ac:dyDescent="0.25">
      <c r="A578" s="62"/>
      <c r="B578" s="68"/>
      <c r="C578" s="105"/>
      <c r="D578" s="60"/>
      <c r="E578" s="60"/>
      <c r="F578" s="60"/>
      <c r="G578" s="60"/>
      <c r="H578" s="61"/>
      <c r="I578" s="61"/>
      <c r="J578" s="61"/>
      <c r="K578" s="61"/>
      <c r="M578" s="10">
        <v>17</v>
      </c>
      <c r="N578" s="30"/>
      <c r="P578" s="35"/>
      <c r="Q578" s="32"/>
      <c r="R578" s="32"/>
      <c r="S578" s="32">
        <f t="shared" ref="S578:S600" si="180">SUM(P578:Q578)</f>
        <v>0</v>
      </c>
      <c r="T578" s="12"/>
      <c r="U578" s="12"/>
      <c r="V578" s="12"/>
      <c r="W578" s="12">
        <f t="shared" ref="W578:W603" si="181">SUM(S578:V578)</f>
        <v>0</v>
      </c>
      <c r="Y578" s="10">
        <v>17</v>
      </c>
      <c r="Z578" s="30"/>
      <c r="AA578" s="31"/>
      <c r="AB578" s="35"/>
      <c r="AC578" s="32"/>
      <c r="AD578" s="32"/>
      <c r="AE578" s="32">
        <f t="shared" si="176"/>
        <v>0</v>
      </c>
      <c r="AF578" s="12"/>
      <c r="AG578" s="12"/>
      <c r="AH578" s="12"/>
      <c r="AI578" s="12">
        <f t="shared" si="177"/>
        <v>0</v>
      </c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</row>
    <row r="579" spans="1:52" x14ac:dyDescent="0.25">
      <c r="A579" s="62"/>
      <c r="B579" s="68"/>
      <c r="C579" s="105"/>
      <c r="D579" s="60"/>
      <c r="E579" s="60"/>
      <c r="F579" s="60"/>
      <c r="G579" s="60"/>
      <c r="H579" s="61"/>
      <c r="I579" s="61"/>
      <c r="J579" s="61"/>
      <c r="K579" s="61"/>
      <c r="M579" s="10">
        <v>18</v>
      </c>
      <c r="N579" s="30"/>
      <c r="O579" s="31"/>
      <c r="P579" s="32"/>
      <c r="Q579" s="32"/>
      <c r="R579" s="32"/>
      <c r="S579" s="32">
        <f t="shared" si="180"/>
        <v>0</v>
      </c>
      <c r="T579" s="12"/>
      <c r="U579" s="12"/>
      <c r="V579" s="12"/>
      <c r="W579" s="12">
        <f t="shared" si="181"/>
        <v>0</v>
      </c>
      <c r="Y579" s="10">
        <v>18</v>
      </c>
      <c r="Z579" s="30"/>
      <c r="AA579" s="31"/>
      <c r="AB579" s="32"/>
      <c r="AC579" s="32"/>
      <c r="AD579" s="32"/>
      <c r="AE579" s="32">
        <f t="shared" si="176"/>
        <v>0</v>
      </c>
      <c r="AF579" s="12"/>
      <c r="AG579" s="12"/>
      <c r="AH579" s="12"/>
      <c r="AI579" s="12">
        <f t="shared" si="177"/>
        <v>0</v>
      </c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</row>
    <row r="580" spans="1:52" x14ac:dyDescent="0.25">
      <c r="A580" s="62"/>
      <c r="B580" s="68"/>
      <c r="C580" s="105"/>
      <c r="D580" s="60"/>
      <c r="E580" s="60"/>
      <c r="F580" s="60"/>
      <c r="G580" s="60"/>
      <c r="H580" s="61"/>
      <c r="I580" s="61"/>
      <c r="J580" s="61"/>
      <c r="K580" s="61"/>
      <c r="M580" s="10">
        <v>19</v>
      </c>
      <c r="N580" s="30"/>
      <c r="O580" s="31"/>
      <c r="P580" s="32"/>
      <c r="Q580" s="32"/>
      <c r="R580" s="32"/>
      <c r="S580" s="32">
        <f t="shared" si="180"/>
        <v>0</v>
      </c>
      <c r="T580" s="12"/>
      <c r="U580" s="12"/>
      <c r="V580" s="12"/>
      <c r="W580" s="12">
        <f t="shared" si="181"/>
        <v>0</v>
      </c>
      <c r="Y580" s="10">
        <v>19</v>
      </c>
      <c r="Z580" s="30"/>
      <c r="AA580" s="31"/>
      <c r="AB580" s="32"/>
      <c r="AC580" s="32"/>
      <c r="AD580" s="32"/>
      <c r="AE580" s="32">
        <f t="shared" si="176"/>
        <v>0</v>
      </c>
      <c r="AF580" s="12"/>
      <c r="AG580" s="12"/>
      <c r="AH580" s="12"/>
      <c r="AI580" s="12">
        <f t="shared" si="177"/>
        <v>0</v>
      </c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</row>
    <row r="581" spans="1:52" x14ac:dyDescent="0.25">
      <c r="A581" s="62"/>
      <c r="B581" s="68"/>
      <c r="C581" s="105"/>
      <c r="D581" s="60"/>
      <c r="E581" s="60"/>
      <c r="F581" s="60"/>
      <c r="G581" s="60"/>
      <c r="H581" s="61"/>
      <c r="I581" s="61"/>
      <c r="J581" s="61"/>
      <c r="K581" s="61"/>
      <c r="M581" s="10">
        <v>20</v>
      </c>
      <c r="N581" s="30"/>
      <c r="O581" s="31"/>
      <c r="P581" s="32"/>
      <c r="Q581" s="32"/>
      <c r="R581" s="32"/>
      <c r="S581" s="32">
        <f t="shared" si="180"/>
        <v>0</v>
      </c>
      <c r="T581" s="12"/>
      <c r="U581" s="12"/>
      <c r="V581" s="12"/>
      <c r="W581" s="12">
        <f t="shared" si="181"/>
        <v>0</v>
      </c>
      <c r="Y581" s="10">
        <v>20</v>
      </c>
      <c r="Z581" s="30"/>
      <c r="AA581" s="31"/>
      <c r="AB581" s="32"/>
      <c r="AC581" s="32"/>
      <c r="AD581" s="32"/>
      <c r="AE581" s="32">
        <f t="shared" si="176"/>
        <v>0</v>
      </c>
      <c r="AF581" s="12"/>
      <c r="AG581" s="12"/>
      <c r="AH581" s="12"/>
      <c r="AI581" s="12">
        <f t="shared" si="177"/>
        <v>0</v>
      </c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</row>
    <row r="582" spans="1:52" x14ac:dyDescent="0.25">
      <c r="A582" s="62"/>
      <c r="B582" s="68"/>
      <c r="C582" s="105"/>
      <c r="D582" s="60"/>
      <c r="E582" s="60"/>
      <c r="F582" s="60"/>
      <c r="G582" s="60"/>
      <c r="H582" s="62"/>
      <c r="I582" s="62"/>
      <c r="J582" s="62"/>
      <c r="K582" s="61"/>
      <c r="M582" s="10">
        <v>21</v>
      </c>
      <c r="N582" s="30"/>
      <c r="O582" s="31"/>
      <c r="P582" s="46"/>
      <c r="Q582" s="31"/>
      <c r="R582" s="31"/>
      <c r="S582" s="32">
        <f t="shared" si="180"/>
        <v>0</v>
      </c>
      <c r="T582" s="10"/>
      <c r="U582" s="10"/>
      <c r="V582" s="10"/>
      <c r="W582" s="12">
        <f t="shared" si="181"/>
        <v>0</v>
      </c>
      <c r="Y582" s="10">
        <v>21</v>
      </c>
      <c r="Z582" s="30"/>
      <c r="AA582" s="11"/>
      <c r="AB582" s="46"/>
      <c r="AC582" s="31"/>
      <c r="AD582" s="31"/>
      <c r="AE582" s="32">
        <f t="shared" si="176"/>
        <v>0</v>
      </c>
      <c r="AF582" s="10"/>
      <c r="AG582" s="10"/>
      <c r="AH582" s="10"/>
      <c r="AI582" s="12">
        <f t="shared" si="177"/>
        <v>0</v>
      </c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</row>
    <row r="583" spans="1:52" x14ac:dyDescent="0.25">
      <c r="A583" s="62"/>
      <c r="B583" s="68"/>
      <c r="C583" s="105"/>
      <c r="D583" s="60"/>
      <c r="E583" s="60"/>
      <c r="F583" s="60"/>
      <c r="G583" s="60"/>
      <c r="H583" s="62"/>
      <c r="I583" s="62"/>
      <c r="J583" s="62"/>
      <c r="K583" s="61"/>
      <c r="M583" s="10">
        <v>22</v>
      </c>
      <c r="N583" s="30"/>
      <c r="O583" s="31"/>
      <c r="P583" s="45"/>
      <c r="Q583" s="31"/>
      <c r="R583" s="31"/>
      <c r="S583" s="32">
        <f t="shared" si="180"/>
        <v>0</v>
      </c>
      <c r="T583" s="10"/>
      <c r="U583" s="10"/>
      <c r="V583" s="10"/>
      <c r="W583" s="12">
        <f t="shared" si="181"/>
        <v>0</v>
      </c>
      <c r="Y583" s="10">
        <v>22</v>
      </c>
      <c r="Z583" s="30"/>
      <c r="AA583" s="31"/>
      <c r="AB583" s="45"/>
      <c r="AC583" s="31"/>
      <c r="AD583" s="31"/>
      <c r="AE583" s="32">
        <f t="shared" si="176"/>
        <v>0</v>
      </c>
      <c r="AF583" s="10"/>
      <c r="AG583" s="10"/>
      <c r="AH583" s="10"/>
      <c r="AI583" s="12">
        <f t="shared" si="177"/>
        <v>0</v>
      </c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</row>
    <row r="584" spans="1:52" x14ac:dyDescent="0.25">
      <c r="A584" s="62"/>
      <c r="B584" s="68"/>
      <c r="C584" s="105"/>
      <c r="D584" s="60"/>
      <c r="E584" s="60"/>
      <c r="F584" s="60"/>
      <c r="G584" s="60"/>
      <c r="H584" s="62"/>
      <c r="I584" s="62"/>
      <c r="J584" s="61"/>
      <c r="K584" s="61"/>
      <c r="M584" s="10">
        <v>23</v>
      </c>
      <c r="N584" s="30"/>
      <c r="O584" s="31"/>
      <c r="P584" s="47"/>
      <c r="Q584" s="31"/>
      <c r="R584" s="31"/>
      <c r="S584" s="32">
        <f t="shared" si="180"/>
        <v>0</v>
      </c>
      <c r="T584" s="10"/>
      <c r="U584" s="10"/>
      <c r="V584" s="10"/>
      <c r="W584" s="12">
        <f t="shared" si="181"/>
        <v>0</v>
      </c>
      <c r="Y584" s="10">
        <v>23</v>
      </c>
      <c r="Z584" s="30"/>
      <c r="AA584" s="31"/>
      <c r="AB584" s="47"/>
      <c r="AE584" s="32">
        <f t="shared" si="176"/>
        <v>0</v>
      </c>
      <c r="AF584" s="10"/>
      <c r="AG584" s="10"/>
      <c r="AH584" s="10"/>
      <c r="AI584" s="12">
        <f t="shared" si="177"/>
        <v>0</v>
      </c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</row>
    <row r="585" spans="1:52" x14ac:dyDescent="0.25">
      <c r="A585" s="62"/>
      <c r="B585" s="68"/>
      <c r="C585" s="105"/>
      <c r="D585" s="60"/>
      <c r="E585" s="60"/>
      <c r="F585" s="60"/>
      <c r="G585" s="60"/>
      <c r="H585" s="62"/>
      <c r="I585" s="62"/>
      <c r="J585" s="62"/>
      <c r="K585" s="61"/>
      <c r="M585" s="10">
        <v>24</v>
      </c>
      <c r="N585" s="30"/>
      <c r="O585" s="31"/>
      <c r="P585" s="47"/>
      <c r="Q585" s="31"/>
      <c r="R585" s="31"/>
      <c r="S585" s="32">
        <f t="shared" si="180"/>
        <v>0</v>
      </c>
      <c r="T585" s="10"/>
      <c r="U585" s="10"/>
      <c r="V585" s="10"/>
      <c r="W585" s="12">
        <f t="shared" si="181"/>
        <v>0</v>
      </c>
      <c r="Y585" s="10">
        <v>24</v>
      </c>
      <c r="Z585" s="30"/>
      <c r="AA585" s="31"/>
      <c r="AB585" s="47"/>
      <c r="AC585" s="31"/>
      <c r="AD585" s="31"/>
      <c r="AE585" s="32">
        <f t="shared" si="176"/>
        <v>0</v>
      </c>
      <c r="AF585" s="10"/>
      <c r="AG585" s="10"/>
      <c r="AH585" s="10"/>
      <c r="AI585" s="12">
        <f t="shared" si="177"/>
        <v>0</v>
      </c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</row>
    <row r="586" spans="1:52" x14ac:dyDescent="0.25">
      <c r="A586" s="62"/>
      <c r="B586" s="68"/>
      <c r="C586" s="105"/>
      <c r="D586" s="60"/>
      <c r="E586" s="60"/>
      <c r="F586" s="60"/>
      <c r="G586" s="60"/>
      <c r="H586" s="62"/>
      <c r="I586" s="62"/>
      <c r="J586" s="62"/>
      <c r="K586" s="61"/>
      <c r="M586" s="10">
        <v>25</v>
      </c>
      <c r="N586" s="30"/>
      <c r="O586" s="31"/>
      <c r="P586" s="47"/>
      <c r="Q586" s="31"/>
      <c r="R586" s="31"/>
      <c r="S586" s="32">
        <f t="shared" si="180"/>
        <v>0</v>
      </c>
      <c r="T586" s="10"/>
      <c r="U586" s="10"/>
      <c r="V586" s="10"/>
      <c r="W586" s="12">
        <f t="shared" si="181"/>
        <v>0</v>
      </c>
      <c r="Y586" s="10">
        <v>25</v>
      </c>
      <c r="Z586" s="30"/>
      <c r="AA586" s="31"/>
      <c r="AB586" s="47"/>
      <c r="AC586" s="31"/>
      <c r="AD586" s="31"/>
      <c r="AE586" s="32">
        <f t="shared" si="176"/>
        <v>0</v>
      </c>
      <c r="AF586" s="10"/>
      <c r="AG586" s="10"/>
      <c r="AH586" s="10"/>
      <c r="AI586" s="12">
        <f t="shared" si="177"/>
        <v>0</v>
      </c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</row>
    <row r="587" spans="1:52" x14ac:dyDescent="0.25">
      <c r="A587" s="62"/>
      <c r="B587" s="68"/>
      <c r="C587" s="66"/>
      <c r="D587" s="60"/>
      <c r="E587" s="60"/>
      <c r="F587" s="60"/>
      <c r="G587" s="60"/>
      <c r="H587" s="62"/>
      <c r="I587" s="62"/>
      <c r="J587" s="62"/>
      <c r="K587" s="61"/>
      <c r="M587" s="10">
        <v>26</v>
      </c>
      <c r="N587" s="30"/>
      <c r="O587" s="31"/>
      <c r="P587" s="47"/>
      <c r="Q587" s="31"/>
      <c r="R587" s="31"/>
      <c r="S587" s="32">
        <f t="shared" si="180"/>
        <v>0</v>
      </c>
      <c r="T587" s="10"/>
      <c r="U587" s="10"/>
      <c r="V587" s="10"/>
      <c r="W587" s="12">
        <f t="shared" si="181"/>
        <v>0</v>
      </c>
      <c r="Y587" s="10">
        <v>26</v>
      </c>
      <c r="Z587" s="30"/>
      <c r="AA587" s="31"/>
      <c r="AB587" s="47"/>
      <c r="AC587" s="31"/>
      <c r="AD587" s="31"/>
      <c r="AE587" s="32">
        <f t="shared" si="176"/>
        <v>0</v>
      </c>
      <c r="AF587" s="10"/>
      <c r="AG587" s="10"/>
      <c r="AH587" s="10"/>
      <c r="AI587" s="12">
        <f t="shared" si="177"/>
        <v>0</v>
      </c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</row>
    <row r="588" spans="1:52" x14ac:dyDescent="0.25">
      <c r="A588" s="62"/>
      <c r="B588" s="68"/>
      <c r="C588" s="105"/>
      <c r="D588" s="60"/>
      <c r="E588" s="60"/>
      <c r="F588" s="60"/>
      <c r="G588" s="60"/>
      <c r="H588" s="62"/>
      <c r="I588" s="62"/>
      <c r="J588" s="62"/>
      <c r="K588" s="61"/>
      <c r="M588" s="10">
        <v>27</v>
      </c>
      <c r="N588" s="30"/>
      <c r="O588" s="31"/>
      <c r="P588" s="47"/>
      <c r="Q588" s="31"/>
      <c r="R588" s="31"/>
      <c r="S588" s="32">
        <f t="shared" si="180"/>
        <v>0</v>
      </c>
      <c r="T588" s="10"/>
      <c r="U588" s="10"/>
      <c r="V588" s="10"/>
      <c r="W588" s="12">
        <f t="shared" si="181"/>
        <v>0</v>
      </c>
      <c r="Y588" s="10">
        <v>27</v>
      </c>
      <c r="Z588" s="30"/>
      <c r="AA588" s="31"/>
      <c r="AB588" s="47"/>
      <c r="AC588" s="31"/>
      <c r="AD588" s="31"/>
      <c r="AE588" s="32">
        <f t="shared" si="176"/>
        <v>0</v>
      </c>
      <c r="AF588" s="10"/>
      <c r="AG588" s="10"/>
      <c r="AH588" s="10"/>
      <c r="AI588" s="12">
        <f t="shared" si="177"/>
        <v>0</v>
      </c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</row>
    <row r="589" spans="1:52" x14ac:dyDescent="0.25">
      <c r="A589" s="62"/>
      <c r="B589" s="68"/>
      <c r="C589" s="105"/>
      <c r="D589" s="60"/>
      <c r="E589" s="60"/>
      <c r="F589" s="60"/>
      <c r="G589" s="60"/>
      <c r="H589" s="62"/>
      <c r="I589" s="62"/>
      <c r="J589" s="62"/>
      <c r="K589" s="61"/>
      <c r="M589" s="10">
        <v>28</v>
      </c>
      <c r="N589" s="30"/>
      <c r="O589" s="31"/>
      <c r="P589" s="47"/>
      <c r="Q589" s="31"/>
      <c r="R589" s="31"/>
      <c r="S589" s="32">
        <f t="shared" si="180"/>
        <v>0</v>
      </c>
      <c r="T589" s="10"/>
      <c r="U589" s="10"/>
      <c r="V589" s="10"/>
      <c r="W589" s="12">
        <f t="shared" si="181"/>
        <v>0</v>
      </c>
      <c r="Y589" s="10">
        <v>28</v>
      </c>
      <c r="Z589" s="30"/>
      <c r="AA589" s="31"/>
      <c r="AB589" s="47"/>
      <c r="AC589" s="31"/>
      <c r="AD589" s="31"/>
      <c r="AE589" s="32">
        <f t="shared" si="176"/>
        <v>0</v>
      </c>
      <c r="AF589" s="10"/>
      <c r="AG589" s="10"/>
      <c r="AH589" s="10"/>
      <c r="AI589" s="12">
        <f t="shared" si="177"/>
        <v>0</v>
      </c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</row>
    <row r="590" spans="1:52" x14ac:dyDescent="0.25">
      <c r="A590" s="62"/>
      <c r="B590" s="68"/>
      <c r="C590" s="105"/>
      <c r="D590" s="60"/>
      <c r="E590" s="60"/>
      <c r="F590" s="60"/>
      <c r="G590" s="60"/>
      <c r="H590" s="62"/>
      <c r="I590" s="62"/>
      <c r="J590" s="62"/>
      <c r="K590" s="61"/>
      <c r="M590" s="10">
        <v>29</v>
      </c>
      <c r="N590" s="30"/>
      <c r="O590" s="31"/>
      <c r="P590" s="47"/>
      <c r="Q590" s="31"/>
      <c r="R590" s="31"/>
      <c r="S590" s="32">
        <f t="shared" si="180"/>
        <v>0</v>
      </c>
      <c r="T590" s="10"/>
      <c r="U590" s="10"/>
      <c r="V590" s="10"/>
      <c r="W590" s="12">
        <f t="shared" si="181"/>
        <v>0</v>
      </c>
      <c r="Y590" s="10">
        <v>29</v>
      </c>
      <c r="Z590" s="30"/>
      <c r="AA590" s="31"/>
      <c r="AB590" s="47"/>
      <c r="AC590" s="31"/>
      <c r="AD590" s="31"/>
      <c r="AE590" s="32">
        <f t="shared" si="176"/>
        <v>0</v>
      </c>
      <c r="AF590" s="10"/>
      <c r="AG590" s="10"/>
      <c r="AH590" s="10"/>
      <c r="AI590" s="12">
        <f t="shared" si="177"/>
        <v>0</v>
      </c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</row>
    <row r="591" spans="1:52" x14ac:dyDescent="0.25">
      <c r="A591" s="62"/>
      <c r="B591" s="68"/>
      <c r="C591" s="105"/>
      <c r="D591" s="60"/>
      <c r="E591" s="60"/>
      <c r="F591" s="60"/>
      <c r="G591" s="60"/>
      <c r="H591" s="62"/>
      <c r="I591" s="62"/>
      <c r="J591" s="62"/>
      <c r="K591" s="61"/>
      <c r="M591" s="10">
        <v>30</v>
      </c>
      <c r="N591" s="30"/>
      <c r="O591" s="31"/>
      <c r="P591" s="47"/>
      <c r="Q591" s="31"/>
      <c r="R591" s="31"/>
      <c r="S591" s="32">
        <f t="shared" si="180"/>
        <v>0</v>
      </c>
      <c r="T591" s="10"/>
      <c r="U591" s="10"/>
      <c r="V591" s="10"/>
      <c r="W591" s="12">
        <f t="shared" si="181"/>
        <v>0</v>
      </c>
      <c r="Y591" s="10">
        <v>30</v>
      </c>
      <c r="Z591" s="30"/>
      <c r="AA591" s="31"/>
      <c r="AB591" s="47"/>
      <c r="AC591" s="31"/>
      <c r="AD591" s="31"/>
      <c r="AE591" s="32">
        <f t="shared" si="176"/>
        <v>0</v>
      </c>
      <c r="AF591" s="10"/>
      <c r="AG591" s="10"/>
      <c r="AH591" s="10"/>
      <c r="AI591" s="12">
        <f t="shared" si="177"/>
        <v>0</v>
      </c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</row>
    <row r="592" spans="1:52" x14ac:dyDescent="0.25">
      <c r="A592" s="62"/>
      <c r="B592" s="68"/>
      <c r="C592" s="105"/>
      <c r="D592" s="60"/>
      <c r="E592" s="60"/>
      <c r="F592" s="60"/>
      <c r="G592" s="60"/>
      <c r="H592" s="62"/>
      <c r="I592" s="62"/>
      <c r="J592" s="62"/>
      <c r="K592" s="61"/>
      <c r="M592" s="10">
        <v>31</v>
      </c>
      <c r="N592" s="30"/>
      <c r="P592" s="47"/>
      <c r="Q592" s="31"/>
      <c r="R592" s="31"/>
      <c r="S592" s="32">
        <f t="shared" si="180"/>
        <v>0</v>
      </c>
      <c r="T592" s="10"/>
      <c r="U592" s="10"/>
      <c r="V592" s="10"/>
      <c r="W592" s="12">
        <f t="shared" si="181"/>
        <v>0</v>
      </c>
      <c r="Y592" s="10">
        <v>31</v>
      </c>
      <c r="Z592" s="30"/>
      <c r="AB592" s="47"/>
      <c r="AC592" s="31"/>
      <c r="AD592" s="31"/>
      <c r="AE592" s="32">
        <f t="shared" si="176"/>
        <v>0</v>
      </c>
      <c r="AF592" s="10"/>
      <c r="AG592" s="10"/>
      <c r="AH592" s="10"/>
      <c r="AI592" s="12">
        <f t="shared" si="177"/>
        <v>0</v>
      </c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</row>
    <row r="593" spans="1:52" x14ac:dyDescent="0.25">
      <c r="A593" s="62"/>
      <c r="B593" s="68"/>
      <c r="C593" s="105"/>
      <c r="D593" s="60"/>
      <c r="E593" s="60"/>
      <c r="F593" s="60"/>
      <c r="G593" s="60"/>
      <c r="H593" s="62"/>
      <c r="I593" s="62"/>
      <c r="J593" s="62"/>
      <c r="K593" s="61"/>
      <c r="M593" s="10">
        <v>32</v>
      </c>
      <c r="N593" s="30"/>
      <c r="O593" s="31"/>
      <c r="P593" s="47"/>
      <c r="Q593" s="31"/>
      <c r="R593" s="31"/>
      <c r="S593" s="32">
        <f t="shared" si="180"/>
        <v>0</v>
      </c>
      <c r="T593" s="10"/>
      <c r="U593" s="10"/>
      <c r="V593" s="10"/>
      <c r="W593" s="12">
        <f t="shared" si="181"/>
        <v>0</v>
      </c>
      <c r="Y593" s="10">
        <v>32</v>
      </c>
      <c r="Z593" s="30"/>
      <c r="AA593" s="31"/>
      <c r="AB593" s="47"/>
      <c r="AC593" s="31"/>
      <c r="AD593" s="31"/>
      <c r="AE593" s="32">
        <f t="shared" si="176"/>
        <v>0</v>
      </c>
      <c r="AF593" s="10"/>
      <c r="AG593" s="10"/>
      <c r="AH593" s="10"/>
      <c r="AI593" s="12">
        <f t="shared" si="177"/>
        <v>0</v>
      </c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</row>
    <row r="594" spans="1:52" x14ac:dyDescent="0.25">
      <c r="A594" s="62"/>
      <c r="B594" s="68"/>
      <c r="C594" s="105"/>
      <c r="D594" s="60"/>
      <c r="E594" s="60"/>
      <c r="F594" s="60"/>
      <c r="G594" s="60"/>
      <c r="H594" s="62"/>
      <c r="I594" s="62"/>
      <c r="J594" s="62"/>
      <c r="K594" s="61"/>
      <c r="M594" s="10">
        <v>33</v>
      </c>
      <c r="N594" s="30"/>
      <c r="O594" s="31"/>
      <c r="P594" s="47"/>
      <c r="Q594" s="31"/>
      <c r="R594" s="31"/>
      <c r="S594" s="32">
        <f t="shared" si="180"/>
        <v>0</v>
      </c>
      <c r="T594" s="10"/>
      <c r="U594" s="10"/>
      <c r="V594" s="10"/>
      <c r="W594" s="12">
        <f t="shared" si="181"/>
        <v>0</v>
      </c>
      <c r="Y594" s="10">
        <v>33</v>
      </c>
      <c r="Z594" s="30"/>
      <c r="AA594" s="31"/>
      <c r="AB594" s="47"/>
      <c r="AC594" s="31"/>
      <c r="AD594" s="31"/>
      <c r="AE594" s="32">
        <f t="shared" si="176"/>
        <v>0</v>
      </c>
      <c r="AF594" s="10"/>
      <c r="AG594" s="10"/>
      <c r="AH594" s="10"/>
      <c r="AI594" s="12">
        <f t="shared" si="177"/>
        <v>0</v>
      </c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</row>
    <row r="595" spans="1:52" x14ac:dyDescent="0.25">
      <c r="A595" s="62"/>
      <c r="B595" s="68"/>
      <c r="C595" s="105"/>
      <c r="D595" s="60"/>
      <c r="E595" s="60"/>
      <c r="F595" s="60"/>
      <c r="G595" s="60"/>
      <c r="H595" s="62"/>
      <c r="I595" s="62"/>
      <c r="J595" s="62"/>
      <c r="K595" s="61"/>
      <c r="M595" s="10">
        <v>34</v>
      </c>
      <c r="N595" s="30"/>
      <c r="O595" s="31"/>
      <c r="P595" s="47"/>
      <c r="Q595" s="31"/>
      <c r="R595" s="31"/>
      <c r="S595" s="32">
        <f t="shared" si="180"/>
        <v>0</v>
      </c>
      <c r="T595" s="10"/>
      <c r="U595" s="10"/>
      <c r="V595" s="10"/>
      <c r="W595" s="12">
        <f t="shared" si="181"/>
        <v>0</v>
      </c>
      <c r="Y595" s="10">
        <v>34</v>
      </c>
      <c r="Z595" s="30"/>
      <c r="AB595" s="47"/>
      <c r="AC595" s="31"/>
      <c r="AD595" s="31"/>
      <c r="AE595" s="32">
        <f t="shared" si="176"/>
        <v>0</v>
      </c>
      <c r="AF595" s="10"/>
      <c r="AG595" s="10"/>
      <c r="AH595" s="10"/>
      <c r="AI595" s="12">
        <f t="shared" si="177"/>
        <v>0</v>
      </c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</row>
    <row r="596" spans="1:52" x14ac:dyDescent="0.25">
      <c r="A596" s="62"/>
      <c r="B596" s="68"/>
      <c r="C596" s="105"/>
      <c r="D596" s="60"/>
      <c r="E596" s="60"/>
      <c r="F596" s="60"/>
      <c r="G596" s="60"/>
      <c r="H596" s="62"/>
      <c r="I596" s="62"/>
      <c r="J596" s="62"/>
      <c r="K596" s="61"/>
      <c r="M596" s="10">
        <v>35</v>
      </c>
      <c r="N596" s="30"/>
      <c r="O596" s="31"/>
      <c r="P596" s="47"/>
      <c r="Q596" s="31"/>
      <c r="R596" s="31"/>
      <c r="S596" s="32">
        <f t="shared" si="180"/>
        <v>0</v>
      </c>
      <c r="T596" s="10"/>
      <c r="U596" s="10"/>
      <c r="V596" s="10"/>
      <c r="W596" s="12">
        <f t="shared" si="181"/>
        <v>0</v>
      </c>
      <c r="Y596" s="10">
        <v>35</v>
      </c>
      <c r="Z596" s="30"/>
      <c r="AA596" s="31"/>
      <c r="AB596" s="47"/>
      <c r="AC596" s="31"/>
      <c r="AD596" s="31"/>
      <c r="AE596" s="32">
        <f t="shared" si="176"/>
        <v>0</v>
      </c>
      <c r="AF596" s="10"/>
      <c r="AG596" s="10"/>
      <c r="AH596" s="10"/>
      <c r="AI596" s="12">
        <f t="shared" si="177"/>
        <v>0</v>
      </c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</row>
    <row r="597" spans="1:52" x14ac:dyDescent="0.25">
      <c r="A597" s="62"/>
      <c r="B597" s="68"/>
      <c r="C597" s="105"/>
      <c r="D597" s="60"/>
      <c r="E597" s="60"/>
      <c r="F597" s="60"/>
      <c r="G597" s="60"/>
      <c r="H597" s="62"/>
      <c r="I597" s="62"/>
      <c r="J597" s="62"/>
      <c r="K597" s="61"/>
      <c r="M597" s="10">
        <v>36</v>
      </c>
      <c r="N597" s="30"/>
      <c r="O597" s="31"/>
      <c r="P597" s="47"/>
      <c r="Q597" s="31"/>
      <c r="R597" s="31"/>
      <c r="S597" s="32">
        <f t="shared" si="180"/>
        <v>0</v>
      </c>
      <c r="T597" s="10"/>
      <c r="U597" s="10"/>
      <c r="V597" s="10"/>
      <c r="W597" s="12">
        <f t="shared" si="181"/>
        <v>0</v>
      </c>
      <c r="Y597" s="10">
        <v>36</v>
      </c>
      <c r="Z597" s="30"/>
      <c r="AA597" s="31"/>
      <c r="AB597" s="47"/>
      <c r="AC597" s="31"/>
      <c r="AD597" s="31"/>
      <c r="AE597" s="32">
        <f t="shared" si="176"/>
        <v>0</v>
      </c>
      <c r="AF597" s="10"/>
      <c r="AG597" s="10"/>
      <c r="AH597" s="10"/>
      <c r="AI597" s="12">
        <f t="shared" si="177"/>
        <v>0</v>
      </c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</row>
    <row r="598" spans="1:52" x14ac:dyDescent="0.25">
      <c r="A598" s="62"/>
      <c r="B598" s="68"/>
      <c r="C598" s="105"/>
      <c r="D598" s="60"/>
      <c r="E598" s="60"/>
      <c r="F598" s="60"/>
      <c r="G598" s="60"/>
      <c r="H598" s="62"/>
      <c r="I598" s="62"/>
      <c r="J598" s="62"/>
      <c r="K598" s="61"/>
      <c r="M598" s="10">
        <v>37</v>
      </c>
      <c r="N598" s="30"/>
      <c r="P598" s="47"/>
      <c r="Q598" s="31"/>
      <c r="R598" s="31"/>
      <c r="S598" s="32">
        <f t="shared" si="180"/>
        <v>0</v>
      </c>
      <c r="T598" s="10"/>
      <c r="U598" s="10"/>
      <c r="V598" s="10"/>
      <c r="W598" s="12">
        <f t="shared" si="181"/>
        <v>0</v>
      </c>
      <c r="Y598" s="10">
        <v>37</v>
      </c>
      <c r="Z598" s="30"/>
      <c r="AA598" s="31"/>
      <c r="AB598" s="47"/>
      <c r="AC598" s="31"/>
      <c r="AD598" s="31"/>
      <c r="AE598" s="32">
        <f t="shared" si="176"/>
        <v>0</v>
      </c>
      <c r="AF598" s="10"/>
      <c r="AG598" s="10"/>
      <c r="AH598" s="10"/>
      <c r="AI598" s="12">
        <f t="shared" si="177"/>
        <v>0</v>
      </c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</row>
    <row r="599" spans="1:52" x14ac:dyDescent="0.25">
      <c r="A599" s="62"/>
      <c r="B599" s="68"/>
      <c r="C599" s="105"/>
      <c r="D599" s="60"/>
      <c r="E599" s="60"/>
      <c r="F599" s="60"/>
      <c r="G599" s="60"/>
      <c r="H599" s="62"/>
      <c r="I599" s="62"/>
      <c r="J599" s="62"/>
      <c r="K599" s="61"/>
      <c r="M599" s="10">
        <v>38</v>
      </c>
      <c r="N599" s="30"/>
      <c r="O599" s="31"/>
      <c r="P599" s="47"/>
      <c r="Q599" s="31"/>
      <c r="R599" s="31"/>
      <c r="S599" s="32">
        <f t="shared" si="180"/>
        <v>0</v>
      </c>
      <c r="T599" s="10"/>
      <c r="U599" s="10"/>
      <c r="V599" s="10"/>
      <c r="W599" s="12">
        <f t="shared" si="181"/>
        <v>0</v>
      </c>
      <c r="Y599" s="10">
        <v>38</v>
      </c>
      <c r="Z599" s="30"/>
      <c r="AA599" s="31"/>
      <c r="AB599" s="47"/>
      <c r="AC599" s="31"/>
      <c r="AD599" s="31"/>
      <c r="AE599" s="32">
        <f t="shared" si="176"/>
        <v>0</v>
      </c>
      <c r="AF599" s="10"/>
      <c r="AG599" s="10"/>
      <c r="AH599" s="10"/>
      <c r="AI599" s="12">
        <f t="shared" si="177"/>
        <v>0</v>
      </c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</row>
    <row r="600" spans="1:52" x14ac:dyDescent="0.25">
      <c r="A600" s="62"/>
      <c r="B600" s="68"/>
      <c r="C600" s="105"/>
      <c r="D600" s="60"/>
      <c r="E600" s="60"/>
      <c r="F600" s="60"/>
      <c r="G600" s="60"/>
      <c r="H600" s="62"/>
      <c r="I600" s="62"/>
      <c r="J600" s="62"/>
      <c r="K600" s="61"/>
      <c r="M600" s="10">
        <v>39</v>
      </c>
      <c r="N600" s="30"/>
      <c r="O600" s="31"/>
      <c r="P600" s="47"/>
      <c r="Q600" s="31"/>
      <c r="R600" s="31"/>
      <c r="S600" s="32">
        <f t="shared" si="180"/>
        <v>0</v>
      </c>
      <c r="T600" s="10"/>
      <c r="U600" s="10"/>
      <c r="V600" s="10"/>
      <c r="W600" s="12">
        <f t="shared" si="181"/>
        <v>0</v>
      </c>
      <c r="Y600" s="10">
        <v>39</v>
      </c>
      <c r="Z600" s="30"/>
      <c r="AA600" s="31"/>
      <c r="AB600" s="47"/>
      <c r="AC600" s="31"/>
      <c r="AD600" s="31"/>
      <c r="AE600" s="32">
        <f t="shared" si="176"/>
        <v>0</v>
      </c>
      <c r="AF600" s="10"/>
      <c r="AG600" s="10"/>
      <c r="AH600" s="10"/>
      <c r="AI600" s="12">
        <f t="shared" si="177"/>
        <v>0</v>
      </c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</row>
    <row r="601" spans="1:52" x14ac:dyDescent="0.25">
      <c r="A601" s="62"/>
      <c r="B601" s="68"/>
      <c r="C601" s="105"/>
      <c r="D601" s="60"/>
      <c r="E601" s="60"/>
      <c r="F601" s="60"/>
      <c r="G601" s="60"/>
      <c r="H601" s="62"/>
      <c r="I601" s="62"/>
      <c r="J601" s="62"/>
      <c r="K601" s="61"/>
      <c r="M601" s="10"/>
      <c r="N601" s="30"/>
      <c r="P601" s="47"/>
      <c r="Q601" s="31"/>
      <c r="R601" s="31"/>
      <c r="S601" s="32"/>
      <c r="T601" s="10"/>
      <c r="U601" s="10"/>
      <c r="V601" s="10"/>
      <c r="W601" s="12">
        <f t="shared" si="181"/>
        <v>0</v>
      </c>
      <c r="Y601" s="10"/>
      <c r="Z601" s="30"/>
      <c r="AB601" s="47"/>
      <c r="AC601" s="31"/>
      <c r="AD601" s="31"/>
      <c r="AE601" s="32"/>
      <c r="AF601" s="10"/>
      <c r="AG601" s="10"/>
      <c r="AH601" s="10"/>
      <c r="AI601" s="12">
        <f t="shared" si="177"/>
        <v>0</v>
      </c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</row>
    <row r="602" spans="1:52" x14ac:dyDescent="0.25">
      <c r="A602" s="62"/>
      <c r="B602" s="68"/>
      <c r="C602" s="105"/>
      <c r="D602" s="60"/>
      <c r="E602" s="60"/>
      <c r="F602" s="60"/>
      <c r="G602" s="60"/>
      <c r="H602" s="62"/>
      <c r="I602" s="62"/>
      <c r="J602" s="62"/>
      <c r="K602" s="61"/>
      <c r="M602" s="10"/>
      <c r="N602" s="30"/>
      <c r="O602" s="31"/>
      <c r="P602" s="47"/>
      <c r="Q602" s="31"/>
      <c r="R602" s="31"/>
      <c r="S602" s="32">
        <f t="shared" ref="S602" si="182">SUM(P602:Q602)</f>
        <v>0</v>
      </c>
      <c r="T602" s="10"/>
      <c r="U602" s="10"/>
      <c r="V602" s="10"/>
      <c r="W602" s="12">
        <f t="shared" si="181"/>
        <v>0</v>
      </c>
      <c r="Y602" s="10"/>
      <c r="Z602" s="30"/>
      <c r="AA602" s="31"/>
      <c r="AB602" s="47"/>
      <c r="AC602" s="31"/>
      <c r="AD602" s="31"/>
      <c r="AE602" s="32">
        <f t="shared" ref="AE602" si="183">SUM(AB602:AC602)</f>
        <v>0</v>
      </c>
      <c r="AF602" s="10"/>
      <c r="AG602" s="10"/>
      <c r="AH602" s="10"/>
      <c r="AI602" s="12">
        <f t="shared" si="177"/>
        <v>0</v>
      </c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</row>
    <row r="603" spans="1:52" x14ac:dyDescent="0.25">
      <c r="A603" s="62"/>
      <c r="B603" s="68"/>
      <c r="C603" s="68"/>
      <c r="D603" s="60"/>
      <c r="E603" s="60"/>
      <c r="F603" s="60"/>
      <c r="G603" s="60"/>
      <c r="H603" s="62"/>
      <c r="I603" s="62"/>
      <c r="J603" s="62"/>
      <c r="K603" s="61"/>
      <c r="M603" s="10"/>
      <c r="N603" s="31"/>
      <c r="O603" s="31"/>
      <c r="P603" s="31"/>
      <c r="Q603" s="31"/>
      <c r="R603" s="31"/>
      <c r="S603" s="31"/>
      <c r="T603" s="10"/>
      <c r="U603" s="10"/>
      <c r="V603" s="10"/>
      <c r="W603" s="12">
        <f t="shared" si="181"/>
        <v>0</v>
      </c>
      <c r="Y603" s="10"/>
      <c r="Z603" s="31"/>
      <c r="AA603" s="31"/>
      <c r="AB603" s="31"/>
      <c r="AC603" s="31"/>
      <c r="AD603" s="31"/>
      <c r="AE603" s="31"/>
      <c r="AF603" s="10"/>
      <c r="AG603" s="10"/>
      <c r="AH603" s="10"/>
      <c r="AI603" s="12">
        <f t="shared" si="177"/>
        <v>0</v>
      </c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</row>
    <row r="604" spans="1:52" x14ac:dyDescent="0.25">
      <c r="A604" s="62"/>
      <c r="B604" s="105"/>
      <c r="C604" s="105"/>
      <c r="D604" s="105"/>
      <c r="E604" s="105"/>
      <c r="F604" s="105"/>
      <c r="G604" s="105"/>
      <c r="H604" s="62"/>
      <c r="I604" s="62"/>
      <c r="J604" s="62"/>
      <c r="K604" s="62"/>
      <c r="N604" s="57"/>
      <c r="O604" s="57"/>
      <c r="P604" s="36"/>
      <c r="Q604" s="36"/>
      <c r="R604" s="36"/>
      <c r="S604" s="36"/>
      <c r="T604" s="37"/>
      <c r="U604" s="37"/>
      <c r="V604" s="37"/>
      <c r="W604" s="37"/>
      <c r="Z604" s="57"/>
      <c r="AA604" s="57"/>
      <c r="AB604" s="36"/>
      <c r="AC604" s="36"/>
      <c r="AD604" s="36"/>
      <c r="AE604" s="36"/>
      <c r="AF604" s="37"/>
      <c r="AG604" s="37"/>
      <c r="AH604" s="37"/>
      <c r="AI604" s="37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</row>
    <row r="605" spans="1:52" x14ac:dyDescent="0.25">
      <c r="A605" s="62"/>
      <c r="B605" s="105"/>
      <c r="C605" s="105"/>
      <c r="D605" s="72"/>
      <c r="E605" s="72"/>
      <c r="F605" s="72"/>
      <c r="G605" s="72"/>
      <c r="H605" s="64"/>
      <c r="I605" s="72"/>
      <c r="J605" s="72"/>
      <c r="K605" s="72"/>
      <c r="N605" s="57"/>
      <c r="O605" s="57"/>
      <c r="P605" s="38">
        <f>SUM(P562:P604)</f>
        <v>135930</v>
      </c>
      <c r="Q605" s="38">
        <f>SUM(Q562:Q586)</f>
        <v>-1890</v>
      </c>
      <c r="R605" s="38">
        <f>SUM(R562:R586)</f>
        <v>0</v>
      </c>
      <c r="S605" s="38">
        <f>SUM(S562:S604)</f>
        <v>134040</v>
      </c>
      <c r="T605" s="4"/>
      <c r="U605" s="41">
        <f>SUM(U562:U604)</f>
        <v>2553</v>
      </c>
      <c r="V605" s="41">
        <f>SUM(V562:V586)</f>
        <v>-756</v>
      </c>
      <c r="W605" s="42">
        <f>SUM(W562:W604)</f>
        <v>135837</v>
      </c>
      <c r="Z605" s="57"/>
      <c r="AA605" s="57"/>
      <c r="AB605" s="38">
        <f>SUM(AB562:AB604)</f>
        <v>137777</v>
      </c>
      <c r="AC605" s="38">
        <f>SUM(AC562:AC586)</f>
        <v>-630</v>
      </c>
      <c r="AD605" s="38">
        <f>SUM(AD562:AD586)</f>
        <v>0</v>
      </c>
      <c r="AE605" s="38">
        <f>SUM(AE562:AE604)</f>
        <v>137147</v>
      </c>
      <c r="AF605" s="4"/>
      <c r="AG605" s="41">
        <f>SUM(AG562:AG604)</f>
        <v>0</v>
      </c>
      <c r="AH605" s="41">
        <f>SUM(AH562:AH586)</f>
        <v>-666</v>
      </c>
      <c r="AI605" s="42">
        <f>SUM(AI562:AI604)</f>
        <v>136481</v>
      </c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</row>
    <row r="606" spans="1:52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</row>
    <row r="607" spans="1:52" x14ac:dyDescent="0.25">
      <c r="A607" t="s">
        <v>0</v>
      </c>
      <c r="B607" s="57"/>
      <c r="C607" s="57"/>
      <c r="D607" s="57"/>
      <c r="E607" s="57"/>
      <c r="G607" s="57"/>
      <c r="M607" t="s">
        <v>0</v>
      </c>
      <c r="N607" s="57"/>
      <c r="O607" s="57"/>
      <c r="P607" s="57"/>
      <c r="Q607" s="57"/>
      <c r="R607" s="57"/>
      <c r="S607" s="57"/>
      <c r="Y607" t="s">
        <v>0</v>
      </c>
      <c r="Z607" s="57"/>
      <c r="AA607" s="57"/>
      <c r="AB607" s="57"/>
      <c r="AC607" s="57"/>
      <c r="AD607" s="57"/>
      <c r="AE607" s="57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</row>
    <row r="608" spans="1:52" x14ac:dyDescent="0.25">
      <c r="A608" t="s">
        <v>29</v>
      </c>
      <c r="B608" s="57"/>
      <c r="C608" s="57"/>
      <c r="D608" s="57"/>
      <c r="E608" s="57"/>
      <c r="G608" s="57"/>
      <c r="M608" t="s">
        <v>29</v>
      </c>
      <c r="N608" s="57"/>
      <c r="O608" s="57"/>
      <c r="P608" s="57"/>
      <c r="Q608" s="57"/>
      <c r="R608" s="57"/>
      <c r="S608" s="57"/>
      <c r="Y608" t="s">
        <v>29</v>
      </c>
      <c r="Z608" s="57"/>
      <c r="AA608" s="57"/>
      <c r="AB608" s="57"/>
      <c r="AC608" s="57"/>
      <c r="AD608" s="57"/>
      <c r="AE608" s="57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</row>
    <row r="609" spans="1:52" x14ac:dyDescent="0.25">
      <c r="B609" s="57"/>
      <c r="C609" s="57"/>
      <c r="D609" s="57"/>
      <c r="E609" s="57"/>
      <c r="G609" s="57"/>
      <c r="N609" s="57"/>
      <c r="O609" s="57"/>
      <c r="P609" s="57"/>
      <c r="Q609" s="57"/>
      <c r="R609" s="57"/>
      <c r="S609" s="57"/>
      <c r="Z609" s="57"/>
      <c r="AA609" s="57"/>
      <c r="AB609" s="57"/>
      <c r="AC609" s="57"/>
      <c r="AD609" s="57"/>
      <c r="AE609" s="57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</row>
    <row r="610" spans="1:52" x14ac:dyDescent="0.25">
      <c r="A610" s="4" t="s">
        <v>15</v>
      </c>
      <c r="B610" s="57"/>
      <c r="C610" s="57"/>
      <c r="D610" s="57"/>
      <c r="E610" s="57"/>
      <c r="G610" s="57"/>
      <c r="M610" s="4" t="s">
        <v>15</v>
      </c>
      <c r="N610" s="57"/>
      <c r="O610" s="57"/>
      <c r="P610" s="57"/>
      <c r="Q610" s="57"/>
      <c r="R610" s="57"/>
      <c r="S610" s="57"/>
      <c r="Y610" s="4" t="s">
        <v>15</v>
      </c>
      <c r="Z610" s="57"/>
      <c r="AA610" s="57"/>
      <c r="AB610" s="57"/>
      <c r="AC610" s="57"/>
      <c r="AD610" s="57"/>
      <c r="AE610" s="57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</row>
    <row r="611" spans="1:52" x14ac:dyDescent="0.25">
      <c r="B611" s="57"/>
      <c r="C611" s="57"/>
      <c r="D611" s="57"/>
      <c r="E611" s="57"/>
      <c r="G611" s="57"/>
      <c r="N611" s="57"/>
      <c r="O611" s="57"/>
      <c r="P611" s="57"/>
      <c r="Q611" s="57"/>
      <c r="R611" s="57"/>
      <c r="S611" s="57"/>
      <c r="Z611" s="57"/>
      <c r="AA611" s="57"/>
      <c r="AB611" s="57"/>
      <c r="AC611" s="57"/>
      <c r="AD611" s="57"/>
      <c r="AE611" s="57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</row>
    <row r="612" spans="1:52" ht="15.75" x14ac:dyDescent="0.25">
      <c r="A612" t="s">
        <v>40</v>
      </c>
      <c r="B612" s="57"/>
      <c r="C612" s="57"/>
      <c r="D612" s="57"/>
      <c r="E612" s="57"/>
      <c r="G612" s="57"/>
      <c r="I612" s="57" t="s">
        <v>16</v>
      </c>
      <c r="J612" s="19">
        <v>1</v>
      </c>
      <c r="M612" t="s">
        <v>40</v>
      </c>
      <c r="N612" s="57"/>
      <c r="O612" s="57"/>
      <c r="P612" s="57"/>
      <c r="Q612" s="57"/>
      <c r="R612" s="57"/>
      <c r="S612" s="57"/>
      <c r="U612" s="57" t="s">
        <v>16</v>
      </c>
      <c r="V612" s="19">
        <v>2</v>
      </c>
      <c r="Y612" t="s">
        <v>40</v>
      </c>
      <c r="Z612" s="57"/>
      <c r="AA612" s="57"/>
      <c r="AB612" s="57"/>
      <c r="AC612" s="57"/>
      <c r="AD612" s="57"/>
      <c r="AE612" s="57"/>
      <c r="AG612" s="57" t="s">
        <v>16</v>
      </c>
      <c r="AH612" s="20">
        <v>3</v>
      </c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</row>
    <row r="613" spans="1:52" x14ac:dyDescent="0.25">
      <c r="A613" s="21" t="s">
        <v>69</v>
      </c>
      <c r="B613" s="20"/>
      <c r="C613" s="57"/>
      <c r="D613" s="57"/>
      <c r="E613" s="57"/>
      <c r="G613" s="57"/>
      <c r="I613" s="22" t="s">
        <v>17</v>
      </c>
      <c r="J613" s="23" t="s">
        <v>33</v>
      </c>
      <c r="K613" s="24"/>
      <c r="M613" s="21" t="s">
        <v>69</v>
      </c>
      <c r="N613" s="20"/>
      <c r="O613" s="57"/>
      <c r="P613" s="57"/>
      <c r="Q613" s="57"/>
      <c r="R613" s="57"/>
      <c r="S613" s="57"/>
      <c r="U613" s="22" t="s">
        <v>17</v>
      </c>
      <c r="V613" s="23" t="s">
        <v>34</v>
      </c>
      <c r="W613" s="24"/>
      <c r="Y613" s="21" t="s">
        <v>69</v>
      </c>
      <c r="Z613" s="20"/>
      <c r="AA613" s="57"/>
      <c r="AB613" s="57"/>
      <c r="AC613" s="57"/>
      <c r="AD613" s="57"/>
      <c r="AE613" s="57"/>
      <c r="AG613" s="22" t="s">
        <v>17</v>
      </c>
      <c r="AH613" s="23" t="s">
        <v>35</v>
      </c>
      <c r="AI613" s="24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</row>
    <row r="614" spans="1:52" x14ac:dyDescent="0.25">
      <c r="B614" s="57"/>
      <c r="C614" s="57"/>
      <c r="D614" s="57"/>
      <c r="E614" s="57"/>
      <c r="G614" s="57"/>
      <c r="N614" s="57"/>
      <c r="O614" s="57"/>
      <c r="P614" s="57"/>
      <c r="Q614" s="57"/>
      <c r="R614" s="57"/>
      <c r="S614" s="57"/>
      <c r="Z614" s="57"/>
      <c r="AA614" s="57"/>
      <c r="AB614" s="57"/>
      <c r="AC614" s="57"/>
      <c r="AD614" s="57"/>
      <c r="AE614" s="57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</row>
    <row r="615" spans="1:52" x14ac:dyDescent="0.25">
      <c r="B615" s="25"/>
      <c r="C615" s="26"/>
      <c r="D615" s="121" t="s">
        <v>18</v>
      </c>
      <c r="E615" s="121"/>
      <c r="F615" s="107"/>
      <c r="G615" s="27"/>
      <c r="I615" s="119" t="s">
        <v>19</v>
      </c>
      <c r="J615" s="120"/>
      <c r="K615" s="117" t="s">
        <v>20</v>
      </c>
      <c r="N615" s="25"/>
      <c r="O615" s="26"/>
      <c r="P615" s="121" t="s">
        <v>18</v>
      </c>
      <c r="Q615" s="121"/>
      <c r="R615" s="107"/>
      <c r="S615" s="27"/>
      <c r="U615" s="119" t="s">
        <v>19</v>
      </c>
      <c r="V615" s="120"/>
      <c r="W615" s="117" t="s">
        <v>20</v>
      </c>
      <c r="Z615" s="25"/>
      <c r="AA615" s="26"/>
      <c r="AB615" s="121" t="s">
        <v>18</v>
      </c>
      <c r="AC615" s="121"/>
      <c r="AD615" s="107"/>
      <c r="AE615" s="27"/>
      <c r="AG615" s="119" t="s">
        <v>19</v>
      </c>
      <c r="AH615" s="120"/>
      <c r="AI615" s="117" t="s">
        <v>20</v>
      </c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</row>
    <row r="616" spans="1:52" ht="30" x14ac:dyDescent="0.25">
      <c r="B616" s="28" t="s">
        <v>21</v>
      </c>
      <c r="C616" s="28" t="s">
        <v>22</v>
      </c>
      <c r="D616" s="83" t="s">
        <v>23</v>
      </c>
      <c r="E616" s="82" t="s">
        <v>24</v>
      </c>
      <c r="F616" s="84" t="s">
        <v>36</v>
      </c>
      <c r="G616" s="84" t="s">
        <v>25</v>
      </c>
      <c r="I616" s="29" t="s">
        <v>26</v>
      </c>
      <c r="J616" s="29" t="s">
        <v>27</v>
      </c>
      <c r="K616" s="118"/>
      <c r="N616" s="28" t="s">
        <v>21</v>
      </c>
      <c r="O616" s="28" t="s">
        <v>22</v>
      </c>
      <c r="P616" s="83" t="s">
        <v>23</v>
      </c>
      <c r="Q616" s="84" t="s">
        <v>24</v>
      </c>
      <c r="R616" s="84" t="s">
        <v>36</v>
      </c>
      <c r="S616" s="84" t="s">
        <v>25</v>
      </c>
      <c r="U616" s="29" t="s">
        <v>26</v>
      </c>
      <c r="V616" s="29" t="s">
        <v>27</v>
      </c>
      <c r="W616" s="118"/>
      <c r="Z616" s="28" t="s">
        <v>21</v>
      </c>
      <c r="AA616" s="28" t="s">
        <v>22</v>
      </c>
      <c r="AB616" s="83" t="s">
        <v>23</v>
      </c>
      <c r="AC616" s="84" t="s">
        <v>24</v>
      </c>
      <c r="AD616" s="84" t="s">
        <v>36</v>
      </c>
      <c r="AE616" s="84" t="s">
        <v>25</v>
      </c>
      <c r="AG616" s="29" t="s">
        <v>26</v>
      </c>
      <c r="AH616" s="29" t="s">
        <v>27</v>
      </c>
      <c r="AI616" s="118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</row>
    <row r="617" spans="1:52" x14ac:dyDescent="0.25">
      <c r="A617" s="10">
        <v>1</v>
      </c>
      <c r="B617" s="30" t="s">
        <v>70</v>
      </c>
      <c r="C617" s="31">
        <v>5201</v>
      </c>
      <c r="D617" s="32">
        <f>8764+1228+852+133</f>
        <v>10977</v>
      </c>
      <c r="E617" s="32"/>
      <c r="F617" s="32"/>
      <c r="G617" s="32">
        <f t="shared" ref="G617:G644" si="184">SUM(D617:E617)</f>
        <v>10977</v>
      </c>
      <c r="H617" s="12"/>
      <c r="I617" s="12">
        <f>20+27</f>
        <v>47</v>
      </c>
      <c r="J617" s="12"/>
      <c r="K617" s="12">
        <f t="shared" ref="K617:K650" si="185">SUM(G617:J617)</f>
        <v>11024</v>
      </c>
      <c r="M617" s="10">
        <v>1</v>
      </c>
      <c r="N617" s="30" t="s">
        <v>70</v>
      </c>
      <c r="O617" s="31">
        <v>5140</v>
      </c>
      <c r="P617" s="32">
        <f>1252+596+28.5</f>
        <v>1876.5</v>
      </c>
      <c r="Q617" s="32"/>
      <c r="R617" s="32"/>
      <c r="S617" s="32">
        <f>SUM(P617:Q617)</f>
        <v>1876.5</v>
      </c>
      <c r="T617" s="12"/>
      <c r="U617" s="12">
        <v>9</v>
      </c>
      <c r="V617" s="12"/>
      <c r="W617" s="12">
        <f>SUM(S617:V617)</f>
        <v>1885.5</v>
      </c>
      <c r="Y617" s="10">
        <v>1</v>
      </c>
      <c r="Z617" s="30" t="s">
        <v>70</v>
      </c>
      <c r="AA617" s="31">
        <v>5163</v>
      </c>
      <c r="AB617" s="32">
        <f>253530+12280+29800+10050+4351</f>
        <v>310011</v>
      </c>
      <c r="AC617" s="32">
        <v>-2994</v>
      </c>
      <c r="AD617" s="32"/>
      <c r="AE617" s="32">
        <f>SUM(AB617:AC617)</f>
        <v>307017</v>
      </c>
      <c r="AF617" s="12"/>
      <c r="AG617" s="12">
        <f>360+546</f>
        <v>906</v>
      </c>
      <c r="AH617" s="12"/>
      <c r="AI617" s="12">
        <f>SUM(AE617:AH617)</f>
        <v>307923</v>
      </c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</row>
    <row r="618" spans="1:52" x14ac:dyDescent="0.25">
      <c r="A618" s="10">
        <v>2</v>
      </c>
      <c r="B618" s="30" t="s">
        <v>70</v>
      </c>
      <c r="C618" s="31">
        <f>C617+1</f>
        <v>5202</v>
      </c>
      <c r="D618" s="32">
        <f>1252+1192+38</f>
        <v>2482</v>
      </c>
      <c r="E618" s="32"/>
      <c r="F618" s="32"/>
      <c r="G618" s="32">
        <f t="shared" si="184"/>
        <v>2482</v>
      </c>
      <c r="H618" s="12"/>
      <c r="I618" s="12"/>
      <c r="J618" s="12"/>
      <c r="K618" s="12">
        <f t="shared" si="185"/>
        <v>2482</v>
      </c>
      <c r="M618" s="10">
        <v>2</v>
      </c>
      <c r="N618" s="30" t="s">
        <v>70</v>
      </c>
      <c r="O618" s="31">
        <f>O617+1</f>
        <v>5141</v>
      </c>
      <c r="P618" s="32">
        <f>50080+3070+11920+852+832+6740</f>
        <v>73494</v>
      </c>
      <c r="Q618" s="32">
        <v>-936</v>
      </c>
      <c r="R618" s="32"/>
      <c r="S618" s="32">
        <f t="shared" ref="S618:S631" si="186">SUM(P618:Q618)</f>
        <v>72558</v>
      </c>
      <c r="T618" s="12"/>
      <c r="U618" s="12"/>
      <c r="V618" s="12"/>
      <c r="W618" s="12">
        <f t="shared" ref="W618:W631" si="187">SUM(S618:V618)</f>
        <v>72558</v>
      </c>
      <c r="Y618" s="10">
        <v>2</v>
      </c>
      <c r="Z618" s="30" t="s">
        <v>70</v>
      </c>
      <c r="AA618" s="31">
        <f>AA617+1</f>
        <v>5164</v>
      </c>
      <c r="AB618" s="32">
        <f>37560+1228+8940+458</f>
        <v>48186</v>
      </c>
      <c r="AC618" s="32">
        <v>-474</v>
      </c>
      <c r="AD618" s="32"/>
      <c r="AE618" s="32">
        <f t="shared" ref="AE618:AE655" si="188">SUM(AB618:AC618)</f>
        <v>47712</v>
      </c>
      <c r="AF618" s="12"/>
      <c r="AG618" s="12"/>
      <c r="AH618" s="12"/>
      <c r="AI618" s="12">
        <f t="shared" ref="AI618:AI658" si="189">SUM(AE618:AH618)</f>
        <v>47712</v>
      </c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</row>
    <row r="619" spans="1:52" x14ac:dyDescent="0.25">
      <c r="A619" s="10">
        <v>3</v>
      </c>
      <c r="B619" s="30" t="s">
        <v>70</v>
      </c>
      <c r="C619" s="31">
        <f t="shared" ref="C619:C642" si="190">C618+1</f>
        <v>5203</v>
      </c>
      <c r="D619" s="33">
        <f>8138+1826+1192+9.5*15</f>
        <v>11298.5</v>
      </c>
      <c r="E619" s="33"/>
      <c r="F619" s="33"/>
      <c r="G619" s="33">
        <f t="shared" si="184"/>
        <v>11298.5</v>
      </c>
      <c r="H619" s="34"/>
      <c r="I619" s="34"/>
      <c r="J619" s="34"/>
      <c r="K619" s="34">
        <f t="shared" si="185"/>
        <v>11298.5</v>
      </c>
      <c r="M619" s="10">
        <v>3</v>
      </c>
      <c r="N619" s="30" t="s">
        <v>70</v>
      </c>
      <c r="O619" s="31">
        <f t="shared" ref="O619:O620" si="191">O618+1</f>
        <v>5142</v>
      </c>
      <c r="P619" s="32">
        <f>3756+1192+76</f>
        <v>5024</v>
      </c>
      <c r="Q619" s="32"/>
      <c r="R619" s="32"/>
      <c r="S619" s="32">
        <f t="shared" si="186"/>
        <v>5024</v>
      </c>
      <c r="T619" s="12"/>
      <c r="U619" s="12"/>
      <c r="V619" s="12"/>
      <c r="W619" s="12">
        <f t="shared" si="187"/>
        <v>5024</v>
      </c>
      <c r="Y619" s="10">
        <v>3</v>
      </c>
      <c r="Z619" s="30" t="s">
        <v>70</v>
      </c>
      <c r="AA619" s="31">
        <f t="shared" ref="AA619:AA620" si="192">AA618+1</f>
        <v>5165</v>
      </c>
      <c r="AB619" s="33"/>
      <c r="AC619" s="33"/>
      <c r="AD619" s="32"/>
      <c r="AE619" s="32">
        <f t="shared" si="188"/>
        <v>0</v>
      </c>
      <c r="AF619" s="12"/>
      <c r="AG619" s="12"/>
      <c r="AH619" s="12"/>
      <c r="AI619" s="12">
        <f t="shared" si="189"/>
        <v>0</v>
      </c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</row>
    <row r="620" spans="1:52" x14ac:dyDescent="0.25">
      <c r="A620" s="10">
        <v>4</v>
      </c>
      <c r="B620" s="30" t="s">
        <v>70</v>
      </c>
      <c r="C620" s="31">
        <f t="shared" si="190"/>
        <v>5204</v>
      </c>
      <c r="D620" s="32">
        <f>1252+614+19</f>
        <v>1885</v>
      </c>
      <c r="E620" s="32"/>
      <c r="F620" s="32"/>
      <c r="G620" s="32">
        <f t="shared" si="184"/>
        <v>1885</v>
      </c>
      <c r="H620" s="12"/>
      <c r="I620" s="12"/>
      <c r="J620" s="12"/>
      <c r="K620" s="12">
        <f t="shared" si="185"/>
        <v>1885</v>
      </c>
      <c r="M620" s="10">
        <v>4</v>
      </c>
      <c r="N620" s="30" t="s">
        <v>70</v>
      </c>
      <c r="O620" s="31">
        <f t="shared" si="191"/>
        <v>5143</v>
      </c>
      <c r="P620" s="32">
        <f>112680+12280+54236+2010+4160+3435+1300</f>
        <v>190101</v>
      </c>
      <c r="Q620" s="32">
        <v>-1890</v>
      </c>
      <c r="R620" s="32"/>
      <c r="S620" s="32">
        <f t="shared" si="186"/>
        <v>188211</v>
      </c>
      <c r="T620" s="12"/>
      <c r="U620" s="12">
        <f>390</f>
        <v>390</v>
      </c>
      <c r="V620" s="12">
        <v>-5883</v>
      </c>
      <c r="W620" s="12">
        <f t="shared" si="187"/>
        <v>182718</v>
      </c>
      <c r="Y620" s="10">
        <v>4</v>
      </c>
      <c r="Z620" s="30" t="s">
        <v>70</v>
      </c>
      <c r="AA620" s="31">
        <f t="shared" si="192"/>
        <v>5166</v>
      </c>
      <c r="AB620" s="32">
        <f>27544+4044+29800+916</f>
        <v>62304</v>
      </c>
      <c r="AC620" s="32">
        <v>-624</v>
      </c>
      <c r="AD620" s="32"/>
      <c r="AE620" s="32">
        <f t="shared" si="188"/>
        <v>61680</v>
      </c>
      <c r="AF620" s="12"/>
      <c r="AH620" s="12">
        <f>-13764+-546</f>
        <v>-14310</v>
      </c>
      <c r="AI620" s="12">
        <f t="shared" si="189"/>
        <v>47370</v>
      </c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</row>
    <row r="621" spans="1:52" x14ac:dyDescent="0.25">
      <c r="A621" s="10">
        <v>5</v>
      </c>
      <c r="B621" s="30" t="s">
        <v>70</v>
      </c>
      <c r="C621" s="31">
        <f t="shared" si="190"/>
        <v>5205</v>
      </c>
      <c r="D621" s="32">
        <f>5008+1228+76</f>
        <v>6312</v>
      </c>
      <c r="E621" s="32"/>
      <c r="F621" s="32"/>
      <c r="G621" s="32">
        <f t="shared" si="184"/>
        <v>6312</v>
      </c>
      <c r="H621" s="12"/>
      <c r="I621" s="12">
        <v>5</v>
      </c>
      <c r="J621" s="12"/>
      <c r="K621" s="12">
        <f t="shared" si="185"/>
        <v>6317</v>
      </c>
      <c r="M621" s="10">
        <v>5</v>
      </c>
      <c r="N621" s="30"/>
      <c r="O621" s="11" t="s">
        <v>28</v>
      </c>
      <c r="P621" s="32"/>
      <c r="Q621" s="32"/>
      <c r="R621" s="32"/>
      <c r="S621" s="32">
        <f t="shared" si="186"/>
        <v>0</v>
      </c>
      <c r="T621" s="12"/>
      <c r="U621" s="12"/>
      <c r="V621" s="12"/>
      <c r="W621" s="12">
        <f t="shared" si="187"/>
        <v>0</v>
      </c>
      <c r="Y621" s="10">
        <v>5</v>
      </c>
      <c r="Z621" s="30"/>
      <c r="AA621" s="11" t="s">
        <v>28</v>
      </c>
      <c r="AB621" s="32"/>
      <c r="AC621" s="32"/>
      <c r="AD621" s="32"/>
      <c r="AE621" s="32">
        <f t="shared" si="188"/>
        <v>0</v>
      </c>
      <c r="AF621" s="12"/>
      <c r="AG621" s="12"/>
      <c r="AH621" s="12"/>
      <c r="AI621" s="12">
        <f t="shared" si="189"/>
        <v>0</v>
      </c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</row>
    <row r="622" spans="1:52" x14ac:dyDescent="0.25">
      <c r="A622" s="10">
        <v>6</v>
      </c>
      <c r="B622" s="30" t="s">
        <v>70</v>
      </c>
      <c r="C622" s="31">
        <f t="shared" si="190"/>
        <v>5206</v>
      </c>
      <c r="D622" s="32">
        <f>1252+596+29</f>
        <v>1877</v>
      </c>
      <c r="E622" s="32"/>
      <c r="F622" s="32"/>
      <c r="G622" s="32">
        <f t="shared" si="184"/>
        <v>1877</v>
      </c>
      <c r="H622" s="12"/>
      <c r="I622" s="12"/>
      <c r="J622" s="12"/>
      <c r="K622" s="12">
        <f t="shared" si="185"/>
        <v>1877</v>
      </c>
      <c r="M622" s="10">
        <v>6</v>
      </c>
      <c r="N622" s="30"/>
      <c r="O622" s="31"/>
      <c r="P622" s="32"/>
      <c r="Q622" s="32"/>
      <c r="R622" s="32"/>
      <c r="S622" s="32">
        <f t="shared" si="186"/>
        <v>0</v>
      </c>
      <c r="T622" s="12"/>
      <c r="U622" s="12"/>
      <c r="V622" s="10"/>
      <c r="W622" s="12">
        <f t="shared" si="187"/>
        <v>0</v>
      </c>
      <c r="Y622" s="10">
        <v>6</v>
      </c>
      <c r="Z622" s="30"/>
      <c r="AA622" s="31"/>
      <c r="AB622" s="32"/>
      <c r="AC622" s="32"/>
      <c r="AD622" s="32"/>
      <c r="AE622" s="32">
        <f t="shared" si="188"/>
        <v>0</v>
      </c>
      <c r="AF622" s="12"/>
      <c r="AG622" s="12"/>
      <c r="AH622" s="10"/>
      <c r="AI622" s="12">
        <f t="shared" si="189"/>
        <v>0</v>
      </c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</row>
    <row r="623" spans="1:52" x14ac:dyDescent="0.25">
      <c r="A623" s="10">
        <v>7</v>
      </c>
      <c r="B623" s="30" t="s">
        <v>70</v>
      </c>
      <c r="C623" s="31">
        <f t="shared" si="190"/>
        <v>5207</v>
      </c>
      <c r="D623" s="32">
        <f>1878+29</f>
        <v>1907</v>
      </c>
      <c r="E623" s="32"/>
      <c r="F623" s="32"/>
      <c r="G623" s="32">
        <f t="shared" si="184"/>
        <v>1907</v>
      </c>
      <c r="H623" s="12"/>
      <c r="I623" s="12"/>
      <c r="J623" s="12"/>
      <c r="K623" s="12">
        <f t="shared" si="185"/>
        <v>1907</v>
      </c>
      <c r="M623" s="10">
        <v>7</v>
      </c>
      <c r="N623" s="30"/>
      <c r="O623" s="31"/>
      <c r="P623" s="32"/>
      <c r="Q623" s="32"/>
      <c r="R623" s="32"/>
      <c r="S623" s="32">
        <f t="shared" si="186"/>
        <v>0</v>
      </c>
      <c r="T623" s="12"/>
      <c r="U623" s="12"/>
      <c r="V623" s="12"/>
      <c r="W623" s="12">
        <f t="shared" si="187"/>
        <v>0</v>
      </c>
      <c r="Y623" s="10">
        <v>7</v>
      </c>
      <c r="Z623" s="30"/>
      <c r="AA623" s="31"/>
      <c r="AB623" s="32"/>
      <c r="AC623" s="32"/>
      <c r="AD623" s="32"/>
      <c r="AE623" s="32">
        <f t="shared" si="188"/>
        <v>0</v>
      </c>
      <c r="AF623" s="12"/>
      <c r="AG623" s="58"/>
      <c r="AH623" s="12"/>
      <c r="AI623" s="12">
        <f t="shared" si="189"/>
        <v>0</v>
      </c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</row>
    <row r="624" spans="1:52" x14ac:dyDescent="0.25">
      <c r="A624" s="10">
        <v>8</v>
      </c>
      <c r="B624" s="30" t="s">
        <v>70</v>
      </c>
      <c r="C624" s="31">
        <f t="shared" si="190"/>
        <v>5208</v>
      </c>
      <c r="D624" s="32">
        <f>1878+29+500</f>
        <v>2407</v>
      </c>
      <c r="E624" s="32"/>
      <c r="F624" s="32"/>
      <c r="G624" s="32">
        <f t="shared" si="184"/>
        <v>2407</v>
      </c>
      <c r="H624" s="12"/>
      <c r="I624" s="12"/>
      <c r="J624" s="12"/>
      <c r="K624" s="12">
        <f t="shared" si="185"/>
        <v>2407</v>
      </c>
      <c r="M624" s="10">
        <v>8</v>
      </c>
      <c r="N624" s="30"/>
      <c r="O624" s="31"/>
      <c r="P624" s="32"/>
      <c r="Q624" s="32"/>
      <c r="R624" s="32"/>
      <c r="S624" s="32">
        <f t="shared" si="186"/>
        <v>0</v>
      </c>
      <c r="T624" s="12"/>
      <c r="U624" s="12"/>
      <c r="V624" s="12"/>
      <c r="W624" s="12">
        <f t="shared" si="187"/>
        <v>0</v>
      </c>
      <c r="Y624" s="10">
        <v>8</v>
      </c>
      <c r="Z624" s="30"/>
      <c r="AA624" s="31"/>
      <c r="AB624" s="32"/>
      <c r="AC624" s="32"/>
      <c r="AE624" s="32">
        <f t="shared" si="188"/>
        <v>0</v>
      </c>
      <c r="AF624" s="12"/>
      <c r="AG624" s="12"/>
      <c r="AH624" s="12"/>
      <c r="AI624" s="12">
        <f t="shared" si="189"/>
        <v>0</v>
      </c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</row>
    <row r="625" spans="1:52" x14ac:dyDescent="0.25">
      <c r="A625" s="10">
        <v>9</v>
      </c>
      <c r="B625" s="30" t="s">
        <v>70</v>
      </c>
      <c r="C625" s="31">
        <f t="shared" si="190"/>
        <v>5209</v>
      </c>
      <c r="D625" s="32">
        <f>1878+29</f>
        <v>1907</v>
      </c>
      <c r="E625" s="32"/>
      <c r="F625" s="32"/>
      <c r="G625" s="32">
        <f t="shared" si="184"/>
        <v>1907</v>
      </c>
      <c r="H625" s="12"/>
      <c r="I625" s="12"/>
      <c r="J625" s="12"/>
      <c r="K625" s="12">
        <f t="shared" si="185"/>
        <v>1907</v>
      </c>
      <c r="M625" s="10">
        <v>9</v>
      </c>
      <c r="N625" s="30"/>
      <c r="O625" s="31"/>
      <c r="P625" s="32"/>
      <c r="Q625" s="32"/>
      <c r="R625" s="32"/>
      <c r="S625" s="32">
        <f t="shared" si="186"/>
        <v>0</v>
      </c>
      <c r="T625" s="12"/>
      <c r="U625" s="12"/>
      <c r="V625" s="12"/>
      <c r="W625" s="12">
        <f t="shared" si="187"/>
        <v>0</v>
      </c>
      <c r="Y625" s="10">
        <v>9</v>
      </c>
      <c r="Z625" s="30"/>
      <c r="AA625" s="31"/>
      <c r="AC625" s="32"/>
      <c r="AD625" s="32"/>
      <c r="AE625" s="32">
        <f t="shared" si="188"/>
        <v>0</v>
      </c>
      <c r="AF625" s="12"/>
      <c r="AH625" s="12"/>
      <c r="AI625" s="12">
        <f t="shared" si="189"/>
        <v>0</v>
      </c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</row>
    <row r="626" spans="1:52" x14ac:dyDescent="0.25">
      <c r="A626" s="10">
        <v>10</v>
      </c>
      <c r="B626" s="30" t="s">
        <v>70</v>
      </c>
      <c r="C626" s="31">
        <f t="shared" si="190"/>
        <v>5210</v>
      </c>
      <c r="D626" s="32">
        <f>626+596+19</f>
        <v>1241</v>
      </c>
      <c r="E626" s="32"/>
      <c r="F626" s="32"/>
      <c r="G626" s="32">
        <f t="shared" si="184"/>
        <v>1241</v>
      </c>
      <c r="H626" s="12"/>
      <c r="I626" s="12"/>
      <c r="J626" s="12"/>
      <c r="K626" s="12">
        <f t="shared" si="185"/>
        <v>1241</v>
      </c>
      <c r="M626" s="10">
        <v>10</v>
      </c>
      <c r="N626" s="30"/>
      <c r="O626" s="31"/>
      <c r="P626" s="32"/>
      <c r="Q626" s="32"/>
      <c r="R626" s="32"/>
      <c r="S626" s="32">
        <f t="shared" si="186"/>
        <v>0</v>
      </c>
      <c r="T626" s="12"/>
      <c r="U626" s="12"/>
      <c r="V626" s="12"/>
      <c r="W626" s="12">
        <f t="shared" si="187"/>
        <v>0</v>
      </c>
      <c r="Y626" s="10">
        <v>10</v>
      </c>
      <c r="Z626" s="30"/>
      <c r="AA626" s="31"/>
      <c r="AB626" s="32"/>
      <c r="AC626" s="32"/>
      <c r="AD626" s="32"/>
      <c r="AE626" s="32">
        <f t="shared" si="188"/>
        <v>0</v>
      </c>
      <c r="AF626" s="12"/>
      <c r="AG626" s="12"/>
      <c r="AH626" s="12"/>
      <c r="AI626" s="12">
        <f t="shared" si="189"/>
        <v>0</v>
      </c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</row>
    <row r="627" spans="1:52" x14ac:dyDescent="0.25">
      <c r="A627" s="10">
        <v>11</v>
      </c>
      <c r="B627" s="30" t="s">
        <v>70</v>
      </c>
      <c r="C627" s="31">
        <f t="shared" si="190"/>
        <v>5211</v>
      </c>
      <c r="D627" s="32">
        <f>1252+19</f>
        <v>1271</v>
      </c>
      <c r="E627" s="32"/>
      <c r="F627" s="32"/>
      <c r="G627" s="32">
        <f t="shared" si="184"/>
        <v>1271</v>
      </c>
      <c r="H627" s="12"/>
      <c r="I627" s="12"/>
      <c r="J627" s="12"/>
      <c r="K627" s="12">
        <f t="shared" si="185"/>
        <v>1271</v>
      </c>
      <c r="M627" s="10">
        <v>11</v>
      </c>
      <c r="N627" s="30"/>
      <c r="O627" s="31"/>
      <c r="P627" s="32"/>
      <c r="Q627" s="32"/>
      <c r="R627" s="32"/>
      <c r="S627" s="32">
        <f t="shared" si="186"/>
        <v>0</v>
      </c>
      <c r="T627" s="12"/>
      <c r="U627" s="12"/>
      <c r="V627" s="12"/>
      <c r="W627" s="12">
        <f t="shared" si="187"/>
        <v>0</v>
      </c>
      <c r="Y627" s="10">
        <v>11</v>
      </c>
      <c r="Z627" s="30"/>
      <c r="AA627" s="31"/>
      <c r="AB627" s="32"/>
      <c r="AC627" s="32"/>
      <c r="AD627" s="32"/>
      <c r="AE627" s="32">
        <f t="shared" si="188"/>
        <v>0</v>
      </c>
      <c r="AF627" s="12"/>
      <c r="AG627" s="12"/>
      <c r="AH627" s="12"/>
      <c r="AI627" s="12">
        <f t="shared" si="189"/>
        <v>0</v>
      </c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</row>
    <row r="628" spans="1:52" x14ac:dyDescent="0.25">
      <c r="A628" s="10">
        <v>12</v>
      </c>
      <c r="B628" s="30" t="s">
        <v>70</v>
      </c>
      <c r="C628" s="31">
        <f t="shared" si="190"/>
        <v>5212</v>
      </c>
      <c r="D628" s="32">
        <f>1878+29</f>
        <v>1907</v>
      </c>
      <c r="E628" s="32"/>
      <c r="F628" s="32"/>
      <c r="G628" s="32">
        <f t="shared" si="184"/>
        <v>1907</v>
      </c>
      <c r="H628" s="12"/>
      <c r="I628" s="12"/>
      <c r="J628" s="10"/>
      <c r="K628" s="12">
        <f t="shared" si="185"/>
        <v>1907</v>
      </c>
      <c r="M628" s="10">
        <v>12</v>
      </c>
      <c r="N628" s="30"/>
      <c r="O628" s="31"/>
      <c r="P628" s="32"/>
      <c r="Q628" s="32"/>
      <c r="R628" s="32"/>
      <c r="S628" s="32">
        <f t="shared" si="186"/>
        <v>0</v>
      </c>
      <c r="T628" s="12"/>
      <c r="U628" s="12"/>
      <c r="V628" s="12"/>
      <c r="W628" s="12">
        <f t="shared" si="187"/>
        <v>0</v>
      </c>
      <c r="Y628" s="10">
        <v>12</v>
      </c>
      <c r="Z628" s="30"/>
      <c r="AA628" s="31"/>
      <c r="AB628" s="32"/>
      <c r="AC628" s="32"/>
      <c r="AD628" s="32"/>
      <c r="AE628" s="32">
        <f t="shared" si="188"/>
        <v>0</v>
      </c>
      <c r="AF628" s="12"/>
      <c r="AG628" s="12"/>
      <c r="AH628" s="12"/>
      <c r="AI628" s="12">
        <f t="shared" si="189"/>
        <v>0</v>
      </c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</row>
    <row r="629" spans="1:52" x14ac:dyDescent="0.25">
      <c r="A629" s="10">
        <v>13</v>
      </c>
      <c r="B629" s="30" t="s">
        <v>70</v>
      </c>
      <c r="C629" s="31">
        <f t="shared" si="190"/>
        <v>5213</v>
      </c>
      <c r="D629" s="32">
        <f>2504+38</f>
        <v>2542</v>
      </c>
      <c r="E629" s="32"/>
      <c r="F629" s="32"/>
      <c r="G629" s="32">
        <f t="shared" si="184"/>
        <v>2542</v>
      </c>
      <c r="H629" s="12"/>
      <c r="I629" s="12"/>
      <c r="J629" s="12"/>
      <c r="K629" s="12">
        <f t="shared" si="185"/>
        <v>2542</v>
      </c>
      <c r="M629" s="10">
        <v>13</v>
      </c>
      <c r="N629" s="30"/>
      <c r="O629" s="31"/>
      <c r="P629" s="32"/>
      <c r="Q629" s="32"/>
      <c r="R629" s="32"/>
      <c r="S629" s="32">
        <f t="shared" si="186"/>
        <v>0</v>
      </c>
      <c r="T629" s="12"/>
      <c r="U629" s="12"/>
      <c r="V629" s="12"/>
      <c r="W629" s="12">
        <f t="shared" si="187"/>
        <v>0</v>
      </c>
      <c r="Y629" s="10">
        <v>13</v>
      </c>
      <c r="Z629" s="30"/>
      <c r="AA629" s="31"/>
      <c r="AB629" s="32"/>
      <c r="AC629" s="32"/>
      <c r="AD629" s="32"/>
      <c r="AE629" s="32">
        <f t="shared" si="188"/>
        <v>0</v>
      </c>
      <c r="AF629" s="12"/>
      <c r="AG629" s="12"/>
      <c r="AH629" s="12"/>
      <c r="AI629" s="12">
        <f t="shared" si="189"/>
        <v>0</v>
      </c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</row>
    <row r="630" spans="1:52" x14ac:dyDescent="0.25">
      <c r="A630" s="10">
        <v>14</v>
      </c>
      <c r="B630" s="30" t="s">
        <v>70</v>
      </c>
      <c r="C630" s="31">
        <f t="shared" si="190"/>
        <v>5214</v>
      </c>
      <c r="D630" s="32">
        <f>7512+1192+133</f>
        <v>8837</v>
      </c>
      <c r="E630" s="32"/>
      <c r="F630" s="32"/>
      <c r="G630" s="32">
        <f t="shared" si="184"/>
        <v>8837</v>
      </c>
      <c r="H630" s="12"/>
      <c r="I630" s="12"/>
      <c r="J630" s="12"/>
      <c r="K630" s="12">
        <f t="shared" si="185"/>
        <v>8837</v>
      </c>
      <c r="M630" s="10">
        <v>14</v>
      </c>
      <c r="N630" s="30"/>
      <c r="O630" s="31"/>
      <c r="P630" s="32"/>
      <c r="Q630" s="32"/>
      <c r="R630" s="32"/>
      <c r="S630" s="32">
        <f t="shared" si="186"/>
        <v>0</v>
      </c>
      <c r="T630" s="12"/>
      <c r="U630" s="12"/>
      <c r="V630" s="12"/>
      <c r="W630" s="12">
        <f t="shared" si="187"/>
        <v>0</v>
      </c>
      <c r="Y630" s="10">
        <v>14</v>
      </c>
      <c r="Z630" s="30"/>
      <c r="AB630" s="32"/>
      <c r="AC630" s="32"/>
      <c r="AD630" s="32"/>
      <c r="AE630" s="32">
        <f t="shared" si="188"/>
        <v>0</v>
      </c>
      <c r="AF630" s="12"/>
      <c r="AG630" s="12"/>
      <c r="AH630" s="12"/>
      <c r="AI630" s="12">
        <f t="shared" si="189"/>
        <v>0</v>
      </c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</row>
    <row r="631" spans="1:52" x14ac:dyDescent="0.25">
      <c r="A631" s="10">
        <v>15</v>
      </c>
      <c r="B631" s="30" t="s">
        <v>70</v>
      </c>
      <c r="C631" s="31">
        <f t="shared" si="190"/>
        <v>5215</v>
      </c>
      <c r="D631" s="32">
        <f>9390+1788+171</f>
        <v>11349</v>
      </c>
      <c r="E631" s="32"/>
      <c r="F631" s="32"/>
      <c r="G631" s="32">
        <f t="shared" si="184"/>
        <v>11349</v>
      </c>
      <c r="H631" s="12"/>
      <c r="I631" s="12"/>
      <c r="J631" s="12"/>
      <c r="K631" s="12">
        <f t="shared" si="185"/>
        <v>11349</v>
      </c>
      <c r="M631" s="10">
        <v>15</v>
      </c>
      <c r="N631" s="30"/>
      <c r="O631" s="31"/>
      <c r="P631" s="32"/>
      <c r="R631" s="32"/>
      <c r="S631" s="32">
        <f t="shared" si="186"/>
        <v>0</v>
      </c>
      <c r="T631" s="12"/>
      <c r="U631" s="12"/>
      <c r="W631" s="12">
        <f t="shared" si="187"/>
        <v>0</v>
      </c>
      <c r="Y631" s="10">
        <v>15</v>
      </c>
      <c r="Z631" s="30"/>
      <c r="AA631" s="31"/>
      <c r="AB631" s="32"/>
      <c r="AC631" s="32"/>
      <c r="AD631" s="32"/>
      <c r="AE631" s="32">
        <f t="shared" si="188"/>
        <v>0</v>
      </c>
      <c r="AF631" s="12"/>
      <c r="AG631" s="12"/>
      <c r="AH631" s="12"/>
      <c r="AI631" s="12">
        <f t="shared" si="189"/>
        <v>0</v>
      </c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</row>
    <row r="632" spans="1:52" x14ac:dyDescent="0.25">
      <c r="A632" s="10">
        <v>16</v>
      </c>
      <c r="B632" s="30" t="s">
        <v>70</v>
      </c>
      <c r="C632" s="31">
        <f t="shared" si="190"/>
        <v>5216</v>
      </c>
      <c r="D632" s="32">
        <f>1252+19</f>
        <v>1271</v>
      </c>
      <c r="E632" s="32"/>
      <c r="F632" s="32"/>
      <c r="G632" s="32">
        <f t="shared" si="184"/>
        <v>1271</v>
      </c>
      <c r="H632" s="12"/>
      <c r="I632" s="12"/>
      <c r="J632" s="12"/>
      <c r="K632" s="12">
        <f t="shared" si="185"/>
        <v>1271</v>
      </c>
      <c r="M632" s="10">
        <v>16</v>
      </c>
      <c r="N632" s="30"/>
      <c r="O632" s="31"/>
      <c r="P632" s="32"/>
      <c r="Q632" s="32"/>
      <c r="R632" s="32"/>
      <c r="S632" s="32">
        <f>SUM(P632:Q632)</f>
        <v>0</v>
      </c>
      <c r="T632" s="12"/>
      <c r="U632" s="12"/>
      <c r="V632" s="12"/>
      <c r="W632" s="12">
        <f>SUM(S632:V632)</f>
        <v>0</v>
      </c>
      <c r="Y632" s="10">
        <v>16</v>
      </c>
      <c r="Z632" s="30"/>
      <c r="AB632" s="32"/>
      <c r="AC632" s="32"/>
      <c r="AD632" s="32"/>
      <c r="AE632" s="32">
        <f t="shared" si="188"/>
        <v>0</v>
      </c>
      <c r="AF632" s="12"/>
      <c r="AG632" s="12"/>
      <c r="AH632" s="12"/>
      <c r="AI632" s="12">
        <f t="shared" si="189"/>
        <v>0</v>
      </c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</row>
    <row r="633" spans="1:52" x14ac:dyDescent="0.25">
      <c r="A633" s="10">
        <v>17</v>
      </c>
      <c r="B633" s="30" t="s">
        <v>70</v>
      </c>
      <c r="C633" s="31">
        <f t="shared" si="190"/>
        <v>5217</v>
      </c>
      <c r="D633" s="32">
        <f>6886+674</f>
        <v>7560</v>
      </c>
      <c r="E633" s="32"/>
      <c r="F633" s="32"/>
      <c r="G633" s="32">
        <f t="shared" si="184"/>
        <v>7560</v>
      </c>
      <c r="H633" s="12"/>
      <c r="I633" s="12"/>
      <c r="J633" s="12"/>
      <c r="K633" s="12">
        <f t="shared" si="185"/>
        <v>7560</v>
      </c>
      <c r="M633" s="10">
        <v>17</v>
      </c>
      <c r="N633" s="30"/>
      <c r="P633" s="35"/>
      <c r="Q633" s="32"/>
      <c r="R633" s="32"/>
      <c r="S633" s="32">
        <f t="shared" ref="S633:S655" si="193">SUM(P633:Q633)</f>
        <v>0</v>
      </c>
      <c r="T633" s="12"/>
      <c r="U633" s="12"/>
      <c r="V633" s="12"/>
      <c r="W633" s="12">
        <f t="shared" ref="W633:W658" si="194">SUM(S633:V633)</f>
        <v>0</v>
      </c>
      <c r="Y633" s="10">
        <v>17</v>
      </c>
      <c r="Z633" s="30"/>
      <c r="AA633" s="31"/>
      <c r="AB633" s="35"/>
      <c r="AC633" s="32"/>
      <c r="AD633" s="32"/>
      <c r="AE633" s="32">
        <f t="shared" si="188"/>
        <v>0</v>
      </c>
      <c r="AF633" s="12"/>
      <c r="AG633" s="12"/>
      <c r="AH633" s="12"/>
      <c r="AI633" s="12">
        <f t="shared" si="189"/>
        <v>0</v>
      </c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</row>
    <row r="634" spans="1:52" x14ac:dyDescent="0.25">
      <c r="A634" s="10">
        <v>18</v>
      </c>
      <c r="B634" s="30" t="s">
        <v>70</v>
      </c>
      <c r="C634" s="31">
        <f t="shared" si="190"/>
        <v>5218</v>
      </c>
      <c r="D634" s="32">
        <f>4382+67</f>
        <v>4449</v>
      </c>
      <c r="E634" s="32"/>
      <c r="F634" s="32"/>
      <c r="G634" s="32">
        <f t="shared" si="184"/>
        <v>4449</v>
      </c>
      <c r="H634" s="12"/>
      <c r="I634" s="12">
        <v>2</v>
      </c>
      <c r="J634" s="12"/>
      <c r="K634" s="12">
        <f t="shared" si="185"/>
        <v>4451</v>
      </c>
      <c r="M634" s="10">
        <v>18</v>
      </c>
      <c r="N634" s="30"/>
      <c r="O634" s="31"/>
      <c r="P634" s="32"/>
      <c r="Q634" s="32"/>
      <c r="R634" s="32"/>
      <c r="S634" s="32">
        <f t="shared" si="193"/>
        <v>0</v>
      </c>
      <c r="T634" s="12"/>
      <c r="U634" s="12"/>
      <c r="V634" s="12"/>
      <c r="W634" s="12">
        <f t="shared" si="194"/>
        <v>0</v>
      </c>
      <c r="Y634" s="10">
        <v>18</v>
      </c>
      <c r="Z634" s="30"/>
      <c r="AA634" s="31"/>
      <c r="AB634" s="32"/>
      <c r="AC634" s="32"/>
      <c r="AD634" s="32"/>
      <c r="AE634" s="32">
        <f t="shared" si="188"/>
        <v>0</v>
      </c>
      <c r="AF634" s="12"/>
      <c r="AG634" s="12"/>
      <c r="AH634" s="12"/>
      <c r="AI634" s="12">
        <f t="shared" si="189"/>
        <v>0</v>
      </c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</row>
    <row r="635" spans="1:52" x14ac:dyDescent="0.25">
      <c r="A635" s="10">
        <v>19</v>
      </c>
      <c r="B635" s="30" t="s">
        <v>70</v>
      </c>
      <c r="C635" s="31">
        <f t="shared" si="190"/>
        <v>5219</v>
      </c>
      <c r="D635" s="32">
        <f>3130+48</f>
        <v>3178</v>
      </c>
      <c r="E635" s="32"/>
      <c r="F635" s="32"/>
      <c r="G635" s="32">
        <f t="shared" si="184"/>
        <v>3178</v>
      </c>
      <c r="H635" s="12"/>
      <c r="I635" s="12"/>
      <c r="J635" s="12"/>
      <c r="K635" s="12">
        <f t="shared" si="185"/>
        <v>3178</v>
      </c>
      <c r="M635" s="10">
        <v>19</v>
      </c>
      <c r="N635" s="30"/>
      <c r="O635" s="31"/>
      <c r="P635" s="32"/>
      <c r="Q635" s="32"/>
      <c r="R635" s="32"/>
      <c r="S635" s="32">
        <f t="shared" si="193"/>
        <v>0</v>
      </c>
      <c r="T635" s="12"/>
      <c r="U635" s="12"/>
      <c r="V635" s="12"/>
      <c r="W635" s="12">
        <f t="shared" si="194"/>
        <v>0</v>
      </c>
      <c r="Y635" s="10">
        <v>19</v>
      </c>
      <c r="Z635" s="30"/>
      <c r="AA635" s="31"/>
      <c r="AB635" s="32"/>
      <c r="AC635" s="32"/>
      <c r="AD635" s="32"/>
      <c r="AE635" s="32">
        <f t="shared" si="188"/>
        <v>0</v>
      </c>
      <c r="AF635" s="12"/>
      <c r="AG635" s="12"/>
      <c r="AH635" s="12"/>
      <c r="AI635" s="12">
        <f t="shared" si="189"/>
        <v>0</v>
      </c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</row>
    <row r="636" spans="1:52" x14ac:dyDescent="0.25">
      <c r="A636" s="10">
        <v>20</v>
      </c>
      <c r="B636" s="30" t="s">
        <v>70</v>
      </c>
      <c r="C636" s="31">
        <f t="shared" si="190"/>
        <v>5220</v>
      </c>
      <c r="D636" s="32">
        <f>6260+614+596+832+105+500</f>
        <v>8907</v>
      </c>
      <c r="E636" s="32"/>
      <c r="F636" s="32"/>
      <c r="G636" s="32">
        <f t="shared" si="184"/>
        <v>8907</v>
      </c>
      <c r="H636" s="12"/>
      <c r="I636" s="12"/>
      <c r="J636" s="12"/>
      <c r="K636" s="12">
        <f t="shared" si="185"/>
        <v>8907</v>
      </c>
      <c r="M636" s="10">
        <v>20</v>
      </c>
      <c r="N636" s="30"/>
      <c r="O636" s="31"/>
      <c r="P636" s="32"/>
      <c r="Q636" s="32"/>
      <c r="R636" s="32"/>
      <c r="S636" s="32">
        <f t="shared" si="193"/>
        <v>0</v>
      </c>
      <c r="T636" s="12"/>
      <c r="U636" s="12"/>
      <c r="V636" s="12"/>
      <c r="W636" s="12">
        <f t="shared" si="194"/>
        <v>0</v>
      </c>
      <c r="Y636" s="10">
        <v>20</v>
      </c>
      <c r="Z636" s="30"/>
      <c r="AA636" s="31"/>
      <c r="AB636" s="32"/>
      <c r="AC636" s="32"/>
      <c r="AD636" s="32"/>
      <c r="AE636" s="32">
        <f t="shared" si="188"/>
        <v>0</v>
      </c>
      <c r="AF636" s="12"/>
      <c r="AG636" s="12"/>
      <c r="AH636" s="12"/>
      <c r="AI636" s="12">
        <f t="shared" si="189"/>
        <v>0</v>
      </c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</row>
    <row r="637" spans="1:52" x14ac:dyDescent="0.25">
      <c r="A637" s="10">
        <v>21</v>
      </c>
      <c r="B637" s="30" t="s">
        <v>70</v>
      </c>
      <c r="C637" s="31">
        <f t="shared" si="190"/>
        <v>5221</v>
      </c>
      <c r="D637" s="32">
        <f>15024+5960+229</f>
        <v>21213</v>
      </c>
      <c r="E637" s="32"/>
      <c r="F637" s="32"/>
      <c r="G637" s="32">
        <f t="shared" si="184"/>
        <v>21213</v>
      </c>
      <c r="H637" s="10"/>
      <c r="I637" s="10"/>
      <c r="J637" s="10"/>
      <c r="K637" s="12">
        <f t="shared" si="185"/>
        <v>21213</v>
      </c>
      <c r="M637" s="10">
        <v>21</v>
      </c>
      <c r="N637" s="30"/>
      <c r="P637" s="46"/>
      <c r="Q637" s="31"/>
      <c r="R637" s="31"/>
      <c r="S637" s="32">
        <f t="shared" si="193"/>
        <v>0</v>
      </c>
      <c r="T637" s="10"/>
      <c r="U637" s="10"/>
      <c r="V637" s="10"/>
      <c r="W637" s="12">
        <f t="shared" si="194"/>
        <v>0</v>
      </c>
      <c r="Y637" s="10">
        <v>21</v>
      </c>
      <c r="Z637" s="30"/>
      <c r="AA637" s="11"/>
      <c r="AB637" s="46"/>
      <c r="AC637" s="31"/>
      <c r="AD637" s="31"/>
      <c r="AE637" s="32">
        <f t="shared" si="188"/>
        <v>0</v>
      </c>
      <c r="AF637" s="10"/>
      <c r="AG637" s="10"/>
      <c r="AH637" s="10"/>
      <c r="AI637" s="12">
        <f t="shared" si="189"/>
        <v>0</v>
      </c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</row>
    <row r="638" spans="1:52" x14ac:dyDescent="0.25">
      <c r="A638" s="10">
        <v>22</v>
      </c>
      <c r="B638" s="30" t="s">
        <v>70</v>
      </c>
      <c r="C638" s="31">
        <f t="shared" si="190"/>
        <v>5222</v>
      </c>
      <c r="D638" s="32">
        <f>50080+614+1192+687</f>
        <v>52573</v>
      </c>
      <c r="E638" s="32"/>
      <c r="F638" s="32"/>
      <c r="G638" s="32">
        <f t="shared" si="184"/>
        <v>52573</v>
      </c>
      <c r="H638" s="10"/>
      <c r="I638" s="10">
        <v>156</v>
      </c>
      <c r="J638" s="10">
        <f>-42+-26</f>
        <v>-68</v>
      </c>
      <c r="K638" s="12">
        <f t="shared" si="185"/>
        <v>52661</v>
      </c>
      <c r="M638" s="10">
        <v>22</v>
      </c>
      <c r="N638" s="30"/>
      <c r="O638" s="31"/>
      <c r="P638" s="45"/>
      <c r="Q638" s="31"/>
      <c r="R638" s="31"/>
      <c r="S638" s="32">
        <f t="shared" si="193"/>
        <v>0</v>
      </c>
      <c r="T638" s="10"/>
      <c r="U638" s="10"/>
      <c r="V638" s="10"/>
      <c r="W638" s="12">
        <f t="shared" si="194"/>
        <v>0</v>
      </c>
      <c r="Y638" s="10">
        <v>22</v>
      </c>
      <c r="Z638" s="30"/>
      <c r="AA638" s="31"/>
      <c r="AB638" s="45"/>
      <c r="AC638" s="31"/>
      <c r="AD638" s="31"/>
      <c r="AE638" s="32">
        <f t="shared" si="188"/>
        <v>0</v>
      </c>
      <c r="AF638" s="10"/>
      <c r="AG638" s="10"/>
      <c r="AH638" s="10"/>
      <c r="AI638" s="12">
        <f t="shared" si="189"/>
        <v>0</v>
      </c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</row>
    <row r="639" spans="1:52" x14ac:dyDescent="0.25">
      <c r="A639" s="10">
        <v>23</v>
      </c>
      <c r="B639" s="30" t="s">
        <v>70</v>
      </c>
      <c r="C639" s="31">
        <f t="shared" si="190"/>
        <v>5223</v>
      </c>
      <c r="D639" s="32">
        <f>1878+29</f>
        <v>1907</v>
      </c>
      <c r="E639" s="32"/>
      <c r="F639" s="32"/>
      <c r="G639" s="32">
        <f t="shared" si="184"/>
        <v>1907</v>
      </c>
      <c r="H639" s="10"/>
      <c r="I639" s="10"/>
      <c r="J639" s="12"/>
      <c r="K639" s="12">
        <f t="shared" si="185"/>
        <v>1907</v>
      </c>
      <c r="M639" s="10">
        <v>23</v>
      </c>
      <c r="N639" s="30"/>
      <c r="O639" s="31"/>
      <c r="P639" s="47"/>
      <c r="Q639" s="31"/>
      <c r="R639" s="31"/>
      <c r="S639" s="32">
        <f t="shared" si="193"/>
        <v>0</v>
      </c>
      <c r="T639" s="10"/>
      <c r="U639" s="10"/>
      <c r="V639" s="10"/>
      <c r="W639" s="12">
        <f t="shared" si="194"/>
        <v>0</v>
      </c>
      <c r="Y639" s="10">
        <v>23</v>
      </c>
      <c r="Z639" s="30"/>
      <c r="AA639" s="31"/>
      <c r="AB639" s="47"/>
      <c r="AE639" s="32">
        <f t="shared" si="188"/>
        <v>0</v>
      </c>
      <c r="AF639" s="10"/>
      <c r="AG639" s="10"/>
      <c r="AH639" s="10"/>
      <c r="AI639" s="12">
        <f t="shared" si="189"/>
        <v>0</v>
      </c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</row>
    <row r="640" spans="1:52" x14ac:dyDescent="0.25">
      <c r="A640" s="10">
        <v>24</v>
      </c>
      <c r="B640" s="30" t="s">
        <v>70</v>
      </c>
      <c r="C640" s="31">
        <f t="shared" si="190"/>
        <v>5224</v>
      </c>
      <c r="D640" s="32">
        <f>6260+95</f>
        <v>6355</v>
      </c>
      <c r="E640" s="32"/>
      <c r="F640" s="32"/>
      <c r="G640" s="32">
        <f t="shared" si="184"/>
        <v>6355</v>
      </c>
      <c r="H640" s="10"/>
      <c r="I640" s="10">
        <v>15</v>
      </c>
      <c r="J640" s="10"/>
      <c r="K640" s="12">
        <f t="shared" si="185"/>
        <v>6370</v>
      </c>
      <c r="M640" s="10">
        <v>24</v>
      </c>
      <c r="N640" s="30"/>
      <c r="O640" s="31"/>
      <c r="P640" s="47"/>
      <c r="Q640" s="31"/>
      <c r="R640" s="31"/>
      <c r="S640" s="32">
        <f t="shared" si="193"/>
        <v>0</v>
      </c>
      <c r="T640" s="10"/>
      <c r="U640" s="10"/>
      <c r="V640" s="10"/>
      <c r="W640" s="12">
        <f t="shared" si="194"/>
        <v>0</v>
      </c>
      <c r="Y640" s="10">
        <v>24</v>
      </c>
      <c r="Z640" s="30"/>
      <c r="AA640" s="31"/>
      <c r="AB640" s="47"/>
      <c r="AC640" s="31"/>
      <c r="AD640" s="31"/>
      <c r="AE640" s="32">
        <f t="shared" si="188"/>
        <v>0</v>
      </c>
      <c r="AF640" s="10"/>
      <c r="AG640" s="10"/>
      <c r="AH640" s="10"/>
      <c r="AI640" s="12">
        <f t="shared" si="189"/>
        <v>0</v>
      </c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</row>
    <row r="641" spans="1:52" x14ac:dyDescent="0.25">
      <c r="A641" s="10">
        <v>25</v>
      </c>
      <c r="B641" s="30" t="s">
        <v>70</v>
      </c>
      <c r="C641" s="31">
        <f t="shared" si="190"/>
        <v>5225</v>
      </c>
      <c r="D641" s="32"/>
      <c r="E641" s="32"/>
      <c r="F641" s="32"/>
      <c r="G641" s="32">
        <f t="shared" si="184"/>
        <v>0</v>
      </c>
      <c r="H641" s="10"/>
      <c r="I641" s="10"/>
      <c r="J641" s="10"/>
      <c r="K641" s="12">
        <f t="shared" si="185"/>
        <v>0</v>
      </c>
      <c r="M641" s="10">
        <v>25</v>
      </c>
      <c r="N641" s="30"/>
      <c r="O641" s="31"/>
      <c r="P641" s="47"/>
      <c r="Q641" s="31"/>
      <c r="R641" s="31"/>
      <c r="S641" s="32">
        <f t="shared" si="193"/>
        <v>0</v>
      </c>
      <c r="T641" s="10"/>
      <c r="U641" s="10"/>
      <c r="V641" s="10"/>
      <c r="W641" s="12">
        <f t="shared" si="194"/>
        <v>0</v>
      </c>
      <c r="Y641" s="10">
        <v>25</v>
      </c>
      <c r="Z641" s="30"/>
      <c r="AA641" s="31"/>
      <c r="AB641" s="47"/>
      <c r="AC641" s="31"/>
      <c r="AD641" s="31"/>
      <c r="AE641" s="32">
        <f t="shared" si="188"/>
        <v>0</v>
      </c>
      <c r="AF641" s="10"/>
      <c r="AG641" s="10"/>
      <c r="AH641" s="10"/>
      <c r="AI641" s="12">
        <f t="shared" si="189"/>
        <v>0</v>
      </c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</row>
    <row r="642" spans="1:52" x14ac:dyDescent="0.25">
      <c r="A642" s="10">
        <v>26</v>
      </c>
      <c r="B642" s="30" t="s">
        <v>70</v>
      </c>
      <c r="C642" s="31">
        <f t="shared" si="190"/>
        <v>5226</v>
      </c>
      <c r="D642" s="32">
        <f>18260+1704+2010+1664</f>
        <v>23638</v>
      </c>
      <c r="E642" s="32"/>
      <c r="F642" s="32"/>
      <c r="G642" s="32">
        <f t="shared" si="184"/>
        <v>23638</v>
      </c>
      <c r="H642" s="10"/>
      <c r="I642" s="10"/>
      <c r="J642" s="10"/>
      <c r="K642" s="12">
        <f t="shared" si="185"/>
        <v>23638</v>
      </c>
      <c r="M642" s="10">
        <v>26</v>
      </c>
      <c r="N642" s="30"/>
      <c r="O642" s="31"/>
      <c r="P642" s="47"/>
      <c r="Q642" s="31"/>
      <c r="R642" s="31"/>
      <c r="S642" s="32">
        <f t="shared" si="193"/>
        <v>0</v>
      </c>
      <c r="T642" s="10"/>
      <c r="U642" s="10"/>
      <c r="V642" s="10"/>
      <c r="W642" s="12">
        <f t="shared" si="194"/>
        <v>0</v>
      </c>
      <c r="Y642" s="10">
        <v>26</v>
      </c>
      <c r="Z642" s="30"/>
      <c r="AA642" s="31"/>
      <c r="AB642" s="47"/>
      <c r="AC642" s="31"/>
      <c r="AD642" s="31"/>
      <c r="AE642" s="32">
        <f t="shared" si="188"/>
        <v>0</v>
      </c>
      <c r="AF642" s="10"/>
      <c r="AG642" s="10"/>
      <c r="AH642" s="10"/>
      <c r="AI642" s="12">
        <f t="shared" si="189"/>
        <v>0</v>
      </c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</row>
    <row r="643" spans="1:52" x14ac:dyDescent="0.25">
      <c r="A643" s="10">
        <v>27</v>
      </c>
      <c r="B643" s="30"/>
      <c r="C643" s="11" t="s">
        <v>28</v>
      </c>
      <c r="D643" s="32"/>
      <c r="E643" s="32"/>
      <c r="F643" s="32"/>
      <c r="G643" s="32">
        <f t="shared" si="184"/>
        <v>0</v>
      </c>
      <c r="H643" s="10"/>
      <c r="I643" s="10"/>
      <c r="J643" s="10"/>
      <c r="K643" s="12">
        <f t="shared" si="185"/>
        <v>0</v>
      </c>
      <c r="M643" s="10">
        <v>27</v>
      </c>
      <c r="N643" s="30"/>
      <c r="O643" s="31"/>
      <c r="P643" s="47"/>
      <c r="Q643" s="31"/>
      <c r="R643" s="31"/>
      <c r="S643" s="32">
        <f t="shared" si="193"/>
        <v>0</v>
      </c>
      <c r="T643" s="10"/>
      <c r="U643" s="10"/>
      <c r="V643" s="10"/>
      <c r="W643" s="12">
        <f t="shared" si="194"/>
        <v>0</v>
      </c>
      <c r="Y643" s="10">
        <v>27</v>
      </c>
      <c r="Z643" s="30"/>
      <c r="AA643" s="31"/>
      <c r="AB643" s="47"/>
      <c r="AC643" s="31"/>
      <c r="AD643" s="31"/>
      <c r="AE643" s="32">
        <f t="shared" si="188"/>
        <v>0</v>
      </c>
      <c r="AF643" s="10"/>
      <c r="AG643" s="10"/>
      <c r="AH643" s="10"/>
      <c r="AI643" s="12">
        <f t="shared" si="189"/>
        <v>0</v>
      </c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</row>
    <row r="644" spans="1:52" x14ac:dyDescent="0.25">
      <c r="A644" s="10">
        <v>28</v>
      </c>
      <c r="B644" s="30"/>
      <c r="C644" s="31"/>
      <c r="D644" s="32"/>
      <c r="E644" s="32"/>
      <c r="F644" s="32"/>
      <c r="G644" s="32">
        <f t="shared" si="184"/>
        <v>0</v>
      </c>
      <c r="H644" s="10"/>
      <c r="I644" s="10"/>
      <c r="J644" s="10"/>
      <c r="K644" s="12">
        <f t="shared" si="185"/>
        <v>0</v>
      </c>
      <c r="M644" s="10">
        <v>28</v>
      </c>
      <c r="N644" s="30"/>
      <c r="O644" s="31"/>
      <c r="P644" s="47"/>
      <c r="Q644" s="31"/>
      <c r="R644" s="31"/>
      <c r="S644" s="32">
        <f t="shared" si="193"/>
        <v>0</v>
      </c>
      <c r="T644" s="10"/>
      <c r="U644" s="10"/>
      <c r="V644" s="10"/>
      <c r="W644" s="12">
        <f t="shared" si="194"/>
        <v>0</v>
      </c>
      <c r="Y644" s="10">
        <v>28</v>
      </c>
      <c r="Z644" s="30"/>
      <c r="AA644" s="31"/>
      <c r="AB644" s="47"/>
      <c r="AC644" s="31"/>
      <c r="AD644" s="31"/>
      <c r="AE644" s="32">
        <f t="shared" si="188"/>
        <v>0</v>
      </c>
      <c r="AF644" s="10"/>
      <c r="AG644" s="10"/>
      <c r="AH644" s="10"/>
      <c r="AI644" s="12">
        <f t="shared" si="189"/>
        <v>0</v>
      </c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</row>
    <row r="645" spans="1:52" x14ac:dyDescent="0.25">
      <c r="A645" s="10">
        <v>29</v>
      </c>
      <c r="B645" s="30"/>
      <c r="D645" s="32"/>
      <c r="E645" s="32"/>
      <c r="F645" s="32"/>
      <c r="G645" s="32"/>
      <c r="H645" s="10"/>
      <c r="I645" s="10"/>
      <c r="J645" s="10"/>
      <c r="K645" s="12">
        <f t="shared" si="185"/>
        <v>0</v>
      </c>
      <c r="M645" s="10">
        <v>29</v>
      </c>
      <c r="N645" s="30"/>
      <c r="O645" s="31"/>
      <c r="P645" s="47"/>
      <c r="Q645" s="31"/>
      <c r="R645" s="31"/>
      <c r="S645" s="32">
        <f t="shared" si="193"/>
        <v>0</v>
      </c>
      <c r="T645" s="10"/>
      <c r="U645" s="10"/>
      <c r="V645" s="10"/>
      <c r="W645" s="12">
        <f t="shared" si="194"/>
        <v>0</v>
      </c>
      <c r="Y645" s="10">
        <v>29</v>
      </c>
      <c r="Z645" s="30"/>
      <c r="AA645" s="31"/>
      <c r="AB645" s="47"/>
      <c r="AC645" s="31"/>
      <c r="AD645" s="31"/>
      <c r="AE645" s="32">
        <f t="shared" si="188"/>
        <v>0</v>
      </c>
      <c r="AF645" s="10"/>
      <c r="AG645" s="10"/>
      <c r="AH645" s="10"/>
      <c r="AI645" s="12">
        <f t="shared" si="189"/>
        <v>0</v>
      </c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</row>
    <row r="646" spans="1:52" x14ac:dyDescent="0.25">
      <c r="A646" s="10">
        <v>30</v>
      </c>
      <c r="B646" s="30"/>
      <c r="C646" s="31"/>
      <c r="D646" s="32"/>
      <c r="E646" s="32"/>
      <c r="F646" s="32"/>
      <c r="G646" s="32"/>
      <c r="H646" s="10"/>
      <c r="I646" s="10"/>
      <c r="J646" s="10"/>
      <c r="K646" s="12">
        <f t="shared" si="185"/>
        <v>0</v>
      </c>
      <c r="M646" s="10">
        <v>30</v>
      </c>
      <c r="N646" s="30"/>
      <c r="O646" s="31"/>
      <c r="P646" s="47"/>
      <c r="Q646" s="31"/>
      <c r="R646" s="31"/>
      <c r="S646" s="32">
        <f t="shared" si="193"/>
        <v>0</v>
      </c>
      <c r="T646" s="10"/>
      <c r="U646" s="10"/>
      <c r="V646" s="10"/>
      <c r="W646" s="12">
        <f t="shared" si="194"/>
        <v>0</v>
      </c>
      <c r="Y646" s="10">
        <v>30</v>
      </c>
      <c r="Z646" s="30"/>
      <c r="AA646" s="31"/>
      <c r="AB646" s="47"/>
      <c r="AC646" s="31"/>
      <c r="AD646" s="31"/>
      <c r="AE646" s="32">
        <f t="shared" si="188"/>
        <v>0</v>
      </c>
      <c r="AF646" s="10"/>
      <c r="AG646" s="10"/>
      <c r="AH646" s="10"/>
      <c r="AI646" s="12">
        <f t="shared" si="189"/>
        <v>0</v>
      </c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</row>
    <row r="647" spans="1:52" x14ac:dyDescent="0.25">
      <c r="A647" s="10">
        <v>31</v>
      </c>
      <c r="B647" s="30"/>
      <c r="C647" s="31"/>
      <c r="D647" s="32"/>
      <c r="E647" s="32"/>
      <c r="F647" s="32"/>
      <c r="G647" s="32"/>
      <c r="H647" s="10"/>
      <c r="I647" s="10"/>
      <c r="J647" s="10"/>
      <c r="K647" s="12">
        <f t="shared" si="185"/>
        <v>0</v>
      </c>
      <c r="M647" s="10">
        <v>31</v>
      </c>
      <c r="N647" s="30"/>
      <c r="P647" s="47"/>
      <c r="Q647" s="31"/>
      <c r="R647" s="31"/>
      <c r="S647" s="32">
        <f t="shared" si="193"/>
        <v>0</v>
      </c>
      <c r="T647" s="10"/>
      <c r="U647" s="10"/>
      <c r="V647" s="10"/>
      <c r="W647" s="12">
        <f t="shared" si="194"/>
        <v>0</v>
      </c>
      <c r="Y647" s="10">
        <v>31</v>
      </c>
      <c r="Z647" s="30"/>
      <c r="AB647" s="47"/>
      <c r="AC647" s="31"/>
      <c r="AD647" s="31"/>
      <c r="AE647" s="32">
        <f t="shared" si="188"/>
        <v>0</v>
      </c>
      <c r="AF647" s="10"/>
      <c r="AG647" s="10"/>
      <c r="AH647" s="10"/>
      <c r="AI647" s="12">
        <f t="shared" si="189"/>
        <v>0</v>
      </c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</row>
    <row r="648" spans="1:52" x14ac:dyDescent="0.25">
      <c r="A648" s="10">
        <v>32</v>
      </c>
      <c r="B648" s="30"/>
      <c r="C648" s="31"/>
      <c r="D648" s="32"/>
      <c r="E648" s="32"/>
      <c r="F648" s="32"/>
      <c r="G648" s="32"/>
      <c r="H648" s="10"/>
      <c r="I648" s="10"/>
      <c r="J648" s="10"/>
      <c r="K648" s="12">
        <f t="shared" si="185"/>
        <v>0</v>
      </c>
      <c r="M648" s="10">
        <v>32</v>
      </c>
      <c r="N648" s="30"/>
      <c r="O648" s="31"/>
      <c r="P648" s="47"/>
      <c r="Q648" s="31"/>
      <c r="R648" s="31"/>
      <c r="S648" s="32">
        <f t="shared" si="193"/>
        <v>0</v>
      </c>
      <c r="T648" s="10"/>
      <c r="U648" s="10"/>
      <c r="V648" s="10"/>
      <c r="W648" s="12">
        <f t="shared" si="194"/>
        <v>0</v>
      </c>
      <c r="Y648" s="10">
        <v>32</v>
      </c>
      <c r="Z648" s="30"/>
      <c r="AA648" s="31"/>
      <c r="AB648" s="47"/>
      <c r="AC648" s="31"/>
      <c r="AD648" s="31"/>
      <c r="AE648" s="32">
        <f t="shared" si="188"/>
        <v>0</v>
      </c>
      <c r="AF648" s="10"/>
      <c r="AG648" s="10"/>
      <c r="AH648" s="10"/>
      <c r="AI648" s="12">
        <f t="shared" si="189"/>
        <v>0</v>
      </c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</row>
    <row r="649" spans="1:52" x14ac:dyDescent="0.25">
      <c r="A649" s="10">
        <v>33</v>
      </c>
      <c r="B649" s="30"/>
      <c r="C649" s="31"/>
      <c r="D649" s="32"/>
      <c r="E649" s="32"/>
      <c r="F649" s="32"/>
      <c r="G649" s="32"/>
      <c r="H649" s="10"/>
      <c r="I649" s="10"/>
      <c r="J649" s="10"/>
      <c r="K649" s="12">
        <f t="shared" si="185"/>
        <v>0</v>
      </c>
      <c r="M649" s="10">
        <v>33</v>
      </c>
      <c r="N649" s="30"/>
      <c r="O649" s="31"/>
      <c r="P649" s="47"/>
      <c r="Q649" s="31"/>
      <c r="R649" s="31"/>
      <c r="S649" s="32">
        <f t="shared" si="193"/>
        <v>0</v>
      </c>
      <c r="T649" s="10"/>
      <c r="U649" s="10"/>
      <c r="V649" s="10"/>
      <c r="W649" s="12">
        <f t="shared" si="194"/>
        <v>0</v>
      </c>
      <c r="Y649" s="10">
        <v>33</v>
      </c>
      <c r="Z649" s="30"/>
      <c r="AA649" s="31"/>
      <c r="AB649" s="47"/>
      <c r="AC649" s="31"/>
      <c r="AD649" s="31"/>
      <c r="AE649" s="32">
        <f t="shared" si="188"/>
        <v>0</v>
      </c>
      <c r="AF649" s="10"/>
      <c r="AG649" s="10"/>
      <c r="AH649" s="10"/>
      <c r="AI649" s="12">
        <f t="shared" si="189"/>
        <v>0</v>
      </c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</row>
    <row r="650" spans="1:52" x14ac:dyDescent="0.25">
      <c r="A650" s="10"/>
      <c r="B650" s="30"/>
      <c r="C650" s="57"/>
      <c r="D650" s="32"/>
      <c r="E650" s="32"/>
      <c r="F650" s="32"/>
      <c r="G650" s="32">
        <f t="shared" ref="G650" si="195">SUM(D650:E650)</f>
        <v>0</v>
      </c>
      <c r="H650" s="10"/>
      <c r="I650" s="10"/>
      <c r="J650" s="10"/>
      <c r="K650" s="12">
        <f t="shared" si="185"/>
        <v>0</v>
      </c>
      <c r="M650" s="10">
        <v>34</v>
      </c>
      <c r="N650" s="30"/>
      <c r="O650" s="31"/>
      <c r="P650" s="47"/>
      <c r="Q650" s="31"/>
      <c r="R650" s="31"/>
      <c r="S650" s="32">
        <f t="shared" si="193"/>
        <v>0</v>
      </c>
      <c r="T650" s="10"/>
      <c r="U650" s="10"/>
      <c r="V650" s="10"/>
      <c r="W650" s="12">
        <f t="shared" si="194"/>
        <v>0</v>
      </c>
      <c r="Y650" s="10">
        <v>34</v>
      </c>
      <c r="Z650" s="30"/>
      <c r="AB650" s="47"/>
      <c r="AC650" s="31"/>
      <c r="AD650" s="31"/>
      <c r="AE650" s="32">
        <f t="shared" si="188"/>
        <v>0</v>
      </c>
      <c r="AF650" s="10"/>
      <c r="AG650" s="10"/>
      <c r="AH650" s="10"/>
      <c r="AI650" s="12">
        <f t="shared" si="189"/>
        <v>0</v>
      </c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</row>
    <row r="651" spans="1:52" x14ac:dyDescent="0.25">
      <c r="A651" s="10"/>
      <c r="B651" s="30"/>
      <c r="C651" s="31"/>
      <c r="D651" s="32"/>
      <c r="E651" s="32"/>
      <c r="F651" s="32"/>
      <c r="G651" s="32"/>
      <c r="H651" s="10"/>
      <c r="I651" s="10"/>
      <c r="J651" s="10"/>
      <c r="K651" s="12"/>
      <c r="M651" s="10">
        <v>35</v>
      </c>
      <c r="N651" s="30"/>
      <c r="O651" s="31"/>
      <c r="P651" s="47"/>
      <c r="Q651" s="31"/>
      <c r="R651" s="31"/>
      <c r="S651" s="32">
        <f t="shared" si="193"/>
        <v>0</v>
      </c>
      <c r="T651" s="10"/>
      <c r="U651" s="10"/>
      <c r="V651" s="10"/>
      <c r="W651" s="12">
        <f t="shared" si="194"/>
        <v>0</v>
      </c>
      <c r="Y651" s="10">
        <v>35</v>
      </c>
      <c r="Z651" s="30"/>
      <c r="AA651" s="31"/>
      <c r="AB651" s="47"/>
      <c r="AC651" s="31"/>
      <c r="AD651" s="31"/>
      <c r="AE651" s="32">
        <f t="shared" si="188"/>
        <v>0</v>
      </c>
      <c r="AF651" s="10"/>
      <c r="AG651" s="10"/>
      <c r="AH651" s="10"/>
      <c r="AI651" s="12">
        <f t="shared" si="189"/>
        <v>0</v>
      </c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</row>
    <row r="652" spans="1:52" x14ac:dyDescent="0.25">
      <c r="A652" s="10"/>
      <c r="B652" s="30"/>
      <c r="C652" s="31"/>
      <c r="D652" s="32"/>
      <c r="E652" s="32"/>
      <c r="F652" s="32"/>
      <c r="G652" s="32"/>
      <c r="H652" s="10"/>
      <c r="I652" s="10"/>
      <c r="J652" s="10"/>
      <c r="K652" s="12"/>
      <c r="M652" s="10">
        <v>36</v>
      </c>
      <c r="N652" s="30"/>
      <c r="O652" s="31"/>
      <c r="P652" s="47"/>
      <c r="Q652" s="31"/>
      <c r="R652" s="31"/>
      <c r="S652" s="32">
        <f t="shared" si="193"/>
        <v>0</v>
      </c>
      <c r="T652" s="10"/>
      <c r="U652" s="10"/>
      <c r="V652" s="10"/>
      <c r="W652" s="12">
        <f t="shared" si="194"/>
        <v>0</v>
      </c>
      <c r="Y652" s="10">
        <v>36</v>
      </c>
      <c r="Z652" s="30"/>
      <c r="AA652" s="31"/>
      <c r="AB652" s="47"/>
      <c r="AC652" s="31"/>
      <c r="AD652" s="31"/>
      <c r="AE652" s="32">
        <f t="shared" si="188"/>
        <v>0</v>
      </c>
      <c r="AF652" s="10"/>
      <c r="AG652" s="10"/>
      <c r="AH652" s="10"/>
      <c r="AI652" s="12">
        <f t="shared" si="189"/>
        <v>0</v>
      </c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</row>
    <row r="653" spans="1:52" x14ac:dyDescent="0.25">
      <c r="A653" s="10"/>
      <c r="B653" s="30"/>
      <c r="C653" s="31"/>
      <c r="D653" s="32"/>
      <c r="E653" s="32"/>
      <c r="F653" s="32"/>
      <c r="G653" s="32"/>
      <c r="H653" s="10"/>
      <c r="I653" s="10"/>
      <c r="J653" s="10"/>
      <c r="K653" s="12"/>
      <c r="M653" s="10">
        <v>37</v>
      </c>
      <c r="N653" s="30"/>
      <c r="P653" s="47"/>
      <c r="Q653" s="31"/>
      <c r="R653" s="31"/>
      <c r="S653" s="32">
        <f t="shared" si="193"/>
        <v>0</v>
      </c>
      <c r="T653" s="10"/>
      <c r="U653" s="10"/>
      <c r="V653" s="10"/>
      <c r="W653" s="12">
        <f t="shared" si="194"/>
        <v>0</v>
      </c>
      <c r="Y653" s="10">
        <v>37</v>
      </c>
      <c r="Z653" s="30"/>
      <c r="AA653" s="31"/>
      <c r="AB653" s="47"/>
      <c r="AC653" s="31"/>
      <c r="AD653" s="31"/>
      <c r="AE653" s="32">
        <f t="shared" si="188"/>
        <v>0</v>
      </c>
      <c r="AF653" s="10"/>
      <c r="AG653" s="10"/>
      <c r="AH653" s="10"/>
      <c r="AI653" s="12">
        <f t="shared" si="189"/>
        <v>0</v>
      </c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</row>
    <row r="654" spans="1:52" x14ac:dyDescent="0.25">
      <c r="A654" s="10"/>
      <c r="B654" s="30"/>
      <c r="C654" s="31"/>
      <c r="D654" s="32"/>
      <c r="E654" s="32"/>
      <c r="F654" s="32"/>
      <c r="G654" s="32"/>
      <c r="H654" s="10"/>
      <c r="I654" s="10"/>
      <c r="J654" s="10"/>
      <c r="K654" s="12"/>
      <c r="M654" s="10">
        <v>38</v>
      </c>
      <c r="N654" s="30"/>
      <c r="O654" s="31"/>
      <c r="P654" s="47"/>
      <c r="Q654" s="31"/>
      <c r="R654" s="31"/>
      <c r="S654" s="32">
        <f t="shared" si="193"/>
        <v>0</v>
      </c>
      <c r="T654" s="10"/>
      <c r="U654" s="10"/>
      <c r="V654" s="10"/>
      <c r="W654" s="12">
        <f t="shared" si="194"/>
        <v>0</v>
      </c>
      <c r="Y654" s="10">
        <v>38</v>
      </c>
      <c r="Z654" s="30"/>
      <c r="AA654" s="31"/>
      <c r="AB654" s="47"/>
      <c r="AC654" s="31"/>
      <c r="AD654" s="31"/>
      <c r="AE654" s="32">
        <f t="shared" si="188"/>
        <v>0</v>
      </c>
      <c r="AF654" s="10"/>
      <c r="AG654" s="10"/>
      <c r="AH654" s="10"/>
      <c r="AI654" s="12">
        <f t="shared" si="189"/>
        <v>0</v>
      </c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</row>
    <row r="655" spans="1:52" x14ac:dyDescent="0.25">
      <c r="A655" s="10"/>
      <c r="B655" s="30"/>
      <c r="C655" s="57"/>
      <c r="D655" s="32"/>
      <c r="E655" s="32"/>
      <c r="F655" s="32"/>
      <c r="G655" s="32"/>
      <c r="H655" s="10"/>
      <c r="I655" s="10"/>
      <c r="J655" s="10"/>
      <c r="K655" s="12"/>
      <c r="M655" s="10">
        <v>39</v>
      </c>
      <c r="N655" s="30"/>
      <c r="O655" s="31"/>
      <c r="P655" s="47"/>
      <c r="Q655" s="31"/>
      <c r="R655" s="31"/>
      <c r="S655" s="32">
        <f t="shared" si="193"/>
        <v>0</v>
      </c>
      <c r="T655" s="10"/>
      <c r="U655" s="10"/>
      <c r="V655" s="10"/>
      <c r="W655" s="12">
        <f t="shared" si="194"/>
        <v>0</v>
      </c>
      <c r="Y655" s="10">
        <v>39</v>
      </c>
      <c r="Z655" s="30"/>
      <c r="AA655" s="31"/>
      <c r="AB655" s="47"/>
      <c r="AC655" s="31"/>
      <c r="AD655" s="31"/>
      <c r="AE655" s="32">
        <f t="shared" si="188"/>
        <v>0</v>
      </c>
      <c r="AF655" s="10"/>
      <c r="AG655" s="10"/>
      <c r="AH655" s="10"/>
      <c r="AI655" s="12">
        <f t="shared" si="189"/>
        <v>0</v>
      </c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</row>
    <row r="656" spans="1:52" x14ac:dyDescent="0.25">
      <c r="A656" s="10"/>
      <c r="B656" s="30"/>
      <c r="C656" s="31"/>
      <c r="D656" s="32"/>
      <c r="E656" s="32"/>
      <c r="F656" s="32"/>
      <c r="G656" s="32"/>
      <c r="H656" s="10"/>
      <c r="I656" s="10"/>
      <c r="J656" s="10"/>
      <c r="K656" s="12"/>
      <c r="M656" s="10"/>
      <c r="N656" s="30"/>
      <c r="P656" s="47"/>
      <c r="Q656" s="31"/>
      <c r="R656" s="31"/>
      <c r="S656" s="32"/>
      <c r="T656" s="10"/>
      <c r="U656" s="10"/>
      <c r="V656" s="10"/>
      <c r="W656" s="12">
        <f t="shared" si="194"/>
        <v>0</v>
      </c>
      <c r="Y656" s="10"/>
      <c r="Z656" s="30"/>
      <c r="AB656" s="47"/>
      <c r="AC656" s="31"/>
      <c r="AD656" s="31"/>
      <c r="AE656" s="32"/>
      <c r="AF656" s="10"/>
      <c r="AG656" s="10"/>
      <c r="AH656" s="10"/>
      <c r="AI656" s="12">
        <f t="shared" si="189"/>
        <v>0</v>
      </c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</row>
    <row r="657" spans="1:52" x14ac:dyDescent="0.25">
      <c r="A657" s="10"/>
      <c r="B657" s="30"/>
      <c r="C657" s="31"/>
      <c r="D657" s="32"/>
      <c r="E657" s="32"/>
      <c r="F657" s="32"/>
      <c r="G657" s="32">
        <f t="shared" ref="G657" si="196">SUM(D657:E657)</f>
        <v>0</v>
      </c>
      <c r="H657" s="10"/>
      <c r="I657" s="10"/>
      <c r="J657" s="10"/>
      <c r="K657" s="12">
        <f t="shared" ref="K657" si="197">SUM(G657:J657)</f>
        <v>0</v>
      </c>
      <c r="M657" s="10"/>
      <c r="N657" s="30"/>
      <c r="O657" s="31"/>
      <c r="P657" s="47"/>
      <c r="Q657" s="31"/>
      <c r="R657" s="31"/>
      <c r="S657" s="32">
        <f t="shared" ref="S657" si="198">SUM(P657:Q657)</f>
        <v>0</v>
      </c>
      <c r="T657" s="10"/>
      <c r="U657" s="10"/>
      <c r="V657" s="10"/>
      <c r="W657" s="12">
        <f t="shared" si="194"/>
        <v>0</v>
      </c>
      <c r="Y657" s="10"/>
      <c r="Z657" s="30"/>
      <c r="AA657" s="31"/>
      <c r="AB657" s="47"/>
      <c r="AC657" s="31"/>
      <c r="AD657" s="31"/>
      <c r="AE657" s="32">
        <f t="shared" ref="AE657" si="199">SUM(AB657:AC657)</f>
        <v>0</v>
      </c>
      <c r="AF657" s="10"/>
      <c r="AG657" s="10"/>
      <c r="AH657" s="10"/>
      <c r="AI657" s="12">
        <f t="shared" si="189"/>
        <v>0</v>
      </c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</row>
    <row r="658" spans="1:52" x14ac:dyDescent="0.25">
      <c r="A658" s="10"/>
      <c r="B658" s="30"/>
      <c r="C658" s="30"/>
      <c r="D658" s="32"/>
      <c r="E658" s="32"/>
      <c r="F658" s="32"/>
      <c r="G658" s="32"/>
      <c r="H658" s="10"/>
      <c r="I658" s="10"/>
      <c r="J658" s="10"/>
      <c r="K658" s="12"/>
      <c r="M658" s="10"/>
      <c r="N658" s="31"/>
      <c r="O658" s="31"/>
      <c r="P658" s="31"/>
      <c r="Q658" s="31"/>
      <c r="R658" s="31"/>
      <c r="S658" s="31"/>
      <c r="T658" s="10"/>
      <c r="U658" s="10"/>
      <c r="V658" s="10"/>
      <c r="W658" s="12">
        <f t="shared" si="194"/>
        <v>0</v>
      </c>
      <c r="Y658" s="10"/>
      <c r="Z658" s="31"/>
      <c r="AA658" s="31"/>
      <c r="AB658" s="31"/>
      <c r="AC658" s="31"/>
      <c r="AD658" s="31"/>
      <c r="AE658" s="31"/>
      <c r="AF658" s="10"/>
      <c r="AG658" s="10"/>
      <c r="AH658" s="10"/>
      <c r="AI658" s="12">
        <f t="shared" si="189"/>
        <v>0</v>
      </c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</row>
    <row r="659" spans="1:52" x14ac:dyDescent="0.25">
      <c r="B659" s="57"/>
      <c r="C659" s="57"/>
      <c r="D659" s="36"/>
      <c r="E659" s="36"/>
      <c r="F659" s="36"/>
      <c r="G659" s="36"/>
      <c r="H659" s="37"/>
      <c r="I659" s="37"/>
      <c r="J659" s="37"/>
      <c r="K659" s="37"/>
      <c r="N659" s="57"/>
      <c r="O659" s="57"/>
      <c r="P659" s="36"/>
      <c r="Q659" s="36"/>
      <c r="R659" s="36"/>
      <c r="S659" s="36"/>
      <c r="T659" s="37"/>
      <c r="U659" s="37"/>
      <c r="V659" s="37"/>
      <c r="W659" s="37"/>
      <c r="Z659" s="57"/>
      <c r="AA659" s="57"/>
      <c r="AB659" s="36"/>
      <c r="AC659" s="36"/>
      <c r="AD659" s="36"/>
      <c r="AE659" s="36"/>
      <c r="AF659" s="37"/>
      <c r="AG659" s="37"/>
      <c r="AH659" s="37"/>
      <c r="AI659" s="37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</row>
    <row r="660" spans="1:52" x14ac:dyDescent="0.25">
      <c r="B660" s="57"/>
      <c r="C660" s="57"/>
      <c r="D660" s="38">
        <f>SUM(D617:D659)</f>
        <v>199250.5</v>
      </c>
      <c r="E660" s="38">
        <f t="shared" ref="E660:F660" si="200">SUM(E617:E657)</f>
        <v>0</v>
      </c>
      <c r="F660" s="38">
        <f t="shared" si="200"/>
        <v>0</v>
      </c>
      <c r="G660" s="38">
        <f>SUM(G617:G659)</f>
        <v>199250.5</v>
      </c>
      <c r="H660" s="4"/>
      <c r="I660" s="39">
        <f>SUM(I617:I659)</f>
        <v>225</v>
      </c>
      <c r="J660" s="39">
        <f>SUM(J617:J659)</f>
        <v>-68</v>
      </c>
      <c r="K660" s="40">
        <f>SUM(K617:K659)</f>
        <v>199407.5</v>
      </c>
      <c r="N660" s="57"/>
      <c r="O660" s="57"/>
      <c r="P660" s="38">
        <f>SUM(P617:P659)</f>
        <v>270495.5</v>
      </c>
      <c r="Q660" s="38">
        <f>SUM(Q617:Q641)</f>
        <v>-2826</v>
      </c>
      <c r="R660" s="38">
        <f>SUM(R617:R641)</f>
        <v>0</v>
      </c>
      <c r="S660" s="38">
        <f>SUM(S617:S659)</f>
        <v>267669.5</v>
      </c>
      <c r="T660" s="4"/>
      <c r="U660" s="41">
        <f>SUM(U617:U659)</f>
        <v>399</v>
      </c>
      <c r="V660" s="41">
        <f>SUM(V617:V641)</f>
        <v>-5883</v>
      </c>
      <c r="W660" s="42">
        <f>SUM(W617:W659)</f>
        <v>262185.5</v>
      </c>
      <c r="Z660" s="57"/>
      <c r="AA660" s="57"/>
      <c r="AB660" s="38">
        <f>SUM(AB617:AB659)</f>
        <v>420501</v>
      </c>
      <c r="AC660" s="38">
        <f>SUM(AC617:AC641)</f>
        <v>-4092</v>
      </c>
      <c r="AD660" s="38">
        <f>SUM(AD617:AD641)</f>
        <v>0</v>
      </c>
      <c r="AE660" s="38">
        <f>SUM(AE617:AE659)</f>
        <v>416409</v>
      </c>
      <c r="AF660" s="4"/>
      <c r="AG660" s="41">
        <f>SUM(AG617:AG659)</f>
        <v>906</v>
      </c>
      <c r="AH660" s="41">
        <f>SUM(AH617:AH641)</f>
        <v>-14310</v>
      </c>
      <c r="AI660" s="42">
        <f>SUM(AI617:AI659)</f>
        <v>403005</v>
      </c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</row>
    <row r="661" spans="1:52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</row>
    <row r="662" spans="1:52" x14ac:dyDescent="0.25">
      <c r="A662" t="s">
        <v>0</v>
      </c>
      <c r="B662" s="57"/>
      <c r="C662" s="57"/>
      <c r="D662" s="57"/>
      <c r="E662" s="57"/>
      <c r="G662" s="57"/>
      <c r="M662" t="s">
        <v>0</v>
      </c>
      <c r="N662" s="57"/>
      <c r="O662" s="57"/>
      <c r="P662" s="57"/>
      <c r="Q662" s="57"/>
      <c r="R662" s="57"/>
      <c r="S662" s="57"/>
      <c r="Y662" t="s">
        <v>0</v>
      </c>
      <c r="Z662" s="57"/>
      <c r="AA662" s="57"/>
      <c r="AB662" s="57"/>
      <c r="AC662" s="57"/>
      <c r="AD662" s="57"/>
      <c r="AE662" s="57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</row>
    <row r="663" spans="1:52" x14ac:dyDescent="0.25">
      <c r="A663" t="s">
        <v>29</v>
      </c>
      <c r="B663" s="57"/>
      <c r="C663" s="57"/>
      <c r="D663" s="57"/>
      <c r="E663" s="57"/>
      <c r="G663" s="57"/>
      <c r="M663" t="s">
        <v>29</v>
      </c>
      <c r="N663" s="57"/>
      <c r="O663" s="57"/>
      <c r="P663" s="57"/>
      <c r="Q663" s="57"/>
      <c r="R663" s="57"/>
      <c r="S663" s="57"/>
      <c r="Y663" t="s">
        <v>29</v>
      </c>
      <c r="Z663" s="57"/>
      <c r="AA663" s="57"/>
      <c r="AB663" s="57"/>
      <c r="AC663" s="57"/>
      <c r="AD663" s="57"/>
      <c r="AE663" s="57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</row>
    <row r="664" spans="1:52" x14ac:dyDescent="0.25">
      <c r="B664" s="57"/>
      <c r="C664" s="57"/>
      <c r="D664" s="57"/>
      <c r="E664" s="57"/>
      <c r="G664" s="57"/>
      <c r="N664" s="57"/>
      <c r="O664" s="57"/>
      <c r="P664" s="57"/>
      <c r="Q664" s="57"/>
      <c r="R664" s="57"/>
      <c r="S664" s="57"/>
      <c r="Z664" s="57"/>
      <c r="AA664" s="57"/>
      <c r="AB664" s="57"/>
      <c r="AC664" s="57"/>
      <c r="AD664" s="57"/>
      <c r="AE664" s="57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</row>
    <row r="665" spans="1:52" x14ac:dyDescent="0.25">
      <c r="A665" s="4" t="s">
        <v>15</v>
      </c>
      <c r="B665" s="57"/>
      <c r="C665" s="57"/>
      <c r="D665" s="57"/>
      <c r="E665" s="57"/>
      <c r="G665" s="57"/>
      <c r="M665" s="4" t="s">
        <v>15</v>
      </c>
      <c r="N665" s="57"/>
      <c r="O665" s="57"/>
      <c r="P665" s="57"/>
      <c r="Q665" s="57"/>
      <c r="R665" s="57"/>
      <c r="S665" s="57"/>
      <c r="Y665" s="4" t="s">
        <v>15</v>
      </c>
      <c r="Z665" s="57"/>
      <c r="AA665" s="57"/>
      <c r="AB665" s="57"/>
      <c r="AC665" s="57"/>
      <c r="AD665" s="57"/>
      <c r="AE665" s="57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</row>
    <row r="666" spans="1:52" x14ac:dyDescent="0.25">
      <c r="B666" s="57"/>
      <c r="C666" s="57"/>
      <c r="D666" s="57"/>
      <c r="E666" s="57"/>
      <c r="G666" s="57"/>
      <c r="N666" s="57"/>
      <c r="O666" s="57"/>
      <c r="P666" s="57"/>
      <c r="Q666" s="57"/>
      <c r="R666" s="57"/>
      <c r="S666" s="57"/>
      <c r="Z666" s="57"/>
      <c r="AA666" s="57"/>
      <c r="AB666" s="57"/>
      <c r="AC666" s="57"/>
      <c r="AD666" s="57"/>
      <c r="AE666" s="57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</row>
    <row r="667" spans="1:52" ht="15.75" x14ac:dyDescent="0.25">
      <c r="A667" t="s">
        <v>46</v>
      </c>
      <c r="B667" s="57"/>
      <c r="C667" s="57"/>
      <c r="D667" s="57"/>
      <c r="E667" s="57"/>
      <c r="G667" s="57"/>
      <c r="I667" s="57" t="s">
        <v>16</v>
      </c>
      <c r="J667" s="19">
        <v>1</v>
      </c>
      <c r="M667" t="s">
        <v>46</v>
      </c>
      <c r="N667" s="57"/>
      <c r="O667" s="57"/>
      <c r="P667" s="57"/>
      <c r="Q667" s="57"/>
      <c r="R667" s="57"/>
      <c r="S667" s="57"/>
      <c r="U667" s="57" t="s">
        <v>16</v>
      </c>
      <c r="V667" s="19">
        <v>2</v>
      </c>
      <c r="Y667" t="s">
        <v>46</v>
      </c>
      <c r="Z667" s="57"/>
      <c r="AA667" s="57"/>
      <c r="AB667" s="57"/>
      <c r="AC667" s="57"/>
      <c r="AD667" s="57"/>
      <c r="AE667" s="57"/>
      <c r="AG667" s="57" t="s">
        <v>16</v>
      </c>
      <c r="AH667" s="20">
        <v>3</v>
      </c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</row>
    <row r="668" spans="1:52" x14ac:dyDescent="0.25">
      <c r="A668" s="21" t="s">
        <v>72</v>
      </c>
      <c r="B668" s="20"/>
      <c r="C668" s="57"/>
      <c r="D668" s="57"/>
      <c r="E668" s="57"/>
      <c r="G668" s="57"/>
      <c r="I668" s="22" t="s">
        <v>17</v>
      </c>
      <c r="J668" s="23" t="s">
        <v>33</v>
      </c>
      <c r="K668" s="24"/>
      <c r="M668" s="21" t="s">
        <v>72</v>
      </c>
      <c r="N668" s="20"/>
      <c r="O668" s="57"/>
      <c r="P668" s="57"/>
      <c r="Q668" s="57"/>
      <c r="R668" s="57"/>
      <c r="S668" s="57"/>
      <c r="U668" s="22" t="s">
        <v>17</v>
      </c>
      <c r="V668" s="23" t="s">
        <v>34</v>
      </c>
      <c r="W668" s="24"/>
      <c r="Y668" s="21" t="s">
        <v>72</v>
      </c>
      <c r="Z668" s="20"/>
      <c r="AA668" s="57"/>
      <c r="AB668" s="57"/>
      <c r="AC668" s="57"/>
      <c r="AD668" s="57"/>
      <c r="AE668" s="57"/>
      <c r="AG668" s="22" t="s">
        <v>17</v>
      </c>
      <c r="AH668" s="23" t="s">
        <v>35</v>
      </c>
      <c r="AI668" s="24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</row>
    <row r="669" spans="1:52" x14ac:dyDescent="0.25">
      <c r="B669" s="57"/>
      <c r="C669" s="57"/>
      <c r="D669" s="57"/>
      <c r="E669" s="57"/>
      <c r="G669" s="57"/>
      <c r="N669" s="57"/>
      <c r="O669" s="57"/>
      <c r="P669" s="57"/>
      <c r="Q669" s="57"/>
      <c r="R669" s="57"/>
      <c r="S669" s="57"/>
      <c r="Z669" s="57"/>
      <c r="AA669" s="57"/>
      <c r="AB669" s="57"/>
      <c r="AC669" s="57"/>
      <c r="AD669" s="57"/>
      <c r="AE669" s="57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</row>
    <row r="670" spans="1:52" x14ac:dyDescent="0.25">
      <c r="B670" s="25"/>
      <c r="C670" s="26"/>
      <c r="D670" s="121" t="s">
        <v>18</v>
      </c>
      <c r="E670" s="121"/>
      <c r="F670" s="108"/>
      <c r="G670" s="27"/>
      <c r="I670" s="119" t="s">
        <v>19</v>
      </c>
      <c r="J670" s="120"/>
      <c r="K670" s="117" t="s">
        <v>20</v>
      </c>
      <c r="N670" s="25"/>
      <c r="O670" s="26"/>
      <c r="P670" s="121" t="s">
        <v>18</v>
      </c>
      <c r="Q670" s="121"/>
      <c r="R670" s="108"/>
      <c r="S670" s="27"/>
      <c r="U670" s="119" t="s">
        <v>19</v>
      </c>
      <c r="V670" s="120"/>
      <c r="W670" s="117" t="s">
        <v>20</v>
      </c>
      <c r="Z670" s="25"/>
      <c r="AA670" s="26"/>
      <c r="AB670" s="121" t="s">
        <v>18</v>
      </c>
      <c r="AC670" s="121"/>
      <c r="AD670" s="108"/>
      <c r="AE670" s="27"/>
      <c r="AG670" s="119" t="s">
        <v>19</v>
      </c>
      <c r="AH670" s="120"/>
      <c r="AI670" s="117" t="s">
        <v>20</v>
      </c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</row>
    <row r="671" spans="1:52" ht="30" x14ac:dyDescent="0.25">
      <c r="B671" s="28" t="s">
        <v>21</v>
      </c>
      <c r="C671" s="28" t="s">
        <v>22</v>
      </c>
      <c r="D671" s="83" t="s">
        <v>23</v>
      </c>
      <c r="E671" s="82" t="s">
        <v>24</v>
      </c>
      <c r="F671" s="84" t="s">
        <v>36</v>
      </c>
      <c r="G671" s="84" t="s">
        <v>25</v>
      </c>
      <c r="I671" s="29" t="s">
        <v>26</v>
      </c>
      <c r="J671" s="29" t="s">
        <v>27</v>
      </c>
      <c r="K671" s="118"/>
      <c r="N671" s="28" t="s">
        <v>21</v>
      </c>
      <c r="O671" s="28" t="s">
        <v>22</v>
      </c>
      <c r="P671" s="83" t="s">
        <v>23</v>
      </c>
      <c r="Q671" s="84" t="s">
        <v>24</v>
      </c>
      <c r="R671" s="84" t="s">
        <v>36</v>
      </c>
      <c r="S671" s="84" t="s">
        <v>25</v>
      </c>
      <c r="U671" s="29" t="s">
        <v>26</v>
      </c>
      <c r="V671" s="29" t="s">
        <v>27</v>
      </c>
      <c r="W671" s="118"/>
      <c r="Z671" s="28" t="s">
        <v>21</v>
      </c>
      <c r="AA671" s="28" t="s">
        <v>22</v>
      </c>
      <c r="AB671" s="83" t="s">
        <v>23</v>
      </c>
      <c r="AC671" s="84" t="s">
        <v>24</v>
      </c>
      <c r="AD671" s="84" t="s">
        <v>36</v>
      </c>
      <c r="AE671" s="84" t="s">
        <v>25</v>
      </c>
      <c r="AG671" s="29" t="s">
        <v>26</v>
      </c>
      <c r="AH671" s="29" t="s">
        <v>27</v>
      </c>
      <c r="AI671" s="118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</row>
    <row r="672" spans="1:52" x14ac:dyDescent="0.25">
      <c r="A672" s="10">
        <v>1</v>
      </c>
      <c r="B672" s="30" t="s">
        <v>73</v>
      </c>
      <c r="C672" s="31">
        <v>5227</v>
      </c>
      <c r="D672" s="32">
        <f>21910+1228</f>
        <v>23138</v>
      </c>
      <c r="E672" s="32"/>
      <c r="F672" s="32"/>
      <c r="G672" s="32">
        <f t="shared" ref="G672:G699" si="201">SUM(D672:E672)</f>
        <v>23138</v>
      </c>
      <c r="H672" s="12"/>
      <c r="I672" s="12"/>
      <c r="J672" s="12"/>
      <c r="K672" s="12">
        <f t="shared" ref="K672:K705" si="202">SUM(G672:J672)</f>
        <v>23138</v>
      </c>
      <c r="M672" s="10">
        <v>1</v>
      </c>
      <c r="N672" s="30" t="s">
        <v>73</v>
      </c>
      <c r="O672" s="31">
        <v>5144</v>
      </c>
      <c r="P672" s="32">
        <f>2504+38</f>
        <v>2542</v>
      </c>
      <c r="Q672" s="32"/>
      <c r="R672" s="32"/>
      <c r="S672" s="32">
        <f>SUM(P672:Q672)</f>
        <v>2542</v>
      </c>
      <c r="T672" s="12"/>
      <c r="U672" s="12"/>
      <c r="V672" s="12"/>
      <c r="W672" s="12">
        <f>SUM(S672:V672)</f>
        <v>2542</v>
      </c>
      <c r="Y672" s="10">
        <v>1</v>
      </c>
      <c r="Z672" s="30" t="s">
        <v>70</v>
      </c>
      <c r="AA672" s="31">
        <v>5167</v>
      </c>
      <c r="AB672" s="32">
        <f>13146+1788+229</f>
        <v>15163</v>
      </c>
      <c r="AC672" s="32"/>
      <c r="AD672" s="32"/>
      <c r="AE672" s="32">
        <f>SUM(AB672:AC672)</f>
        <v>15163</v>
      </c>
      <c r="AF672" s="12"/>
      <c r="AG672" s="12">
        <v>36</v>
      </c>
      <c r="AH672" s="12"/>
      <c r="AI672" s="12">
        <f>SUM(AE672:AH672)</f>
        <v>15199</v>
      </c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</row>
    <row r="673" spans="1:52" x14ac:dyDescent="0.25">
      <c r="A673" s="10">
        <v>2</v>
      </c>
      <c r="B673" s="30" t="s">
        <v>73</v>
      </c>
      <c r="C673" s="31">
        <f>C672+1</f>
        <v>5228</v>
      </c>
      <c r="D673" s="32">
        <f>1252+596+29</f>
        <v>1877</v>
      </c>
      <c r="E673" s="32"/>
      <c r="F673" s="32"/>
      <c r="G673" s="32">
        <f t="shared" si="201"/>
        <v>1877</v>
      </c>
      <c r="H673" s="12"/>
      <c r="I673" s="12"/>
      <c r="J673" s="12"/>
      <c r="K673" s="12">
        <f t="shared" si="202"/>
        <v>1877</v>
      </c>
      <c r="M673" s="10">
        <v>2</v>
      </c>
      <c r="N673" s="30" t="s">
        <v>73</v>
      </c>
      <c r="O673" s="31">
        <f>O672+1</f>
        <v>5145</v>
      </c>
      <c r="P673" s="32">
        <f>31300+229</f>
        <v>31529</v>
      </c>
      <c r="Q673" s="32"/>
      <c r="R673" s="32"/>
      <c r="S673" s="32">
        <f t="shared" ref="S673:S686" si="203">SUM(P673:Q673)</f>
        <v>31529</v>
      </c>
      <c r="T673" s="12"/>
      <c r="U673" s="12"/>
      <c r="V673" s="12"/>
      <c r="W673" s="12">
        <f t="shared" ref="W673:W686" si="204">SUM(S673:V673)</f>
        <v>31529</v>
      </c>
      <c r="Y673" s="10">
        <v>2</v>
      </c>
      <c r="Z673" s="30" t="s">
        <v>70</v>
      </c>
      <c r="AA673" s="31">
        <f>AA672+1</f>
        <v>5168</v>
      </c>
      <c r="AB673" s="32">
        <f>43820+3070+23840+916</f>
        <v>71646</v>
      </c>
      <c r="AC673" s="32">
        <v>-714</v>
      </c>
      <c r="AD673" s="32"/>
      <c r="AE673" s="32">
        <f t="shared" ref="AE673:AE710" si="205">SUM(AB673:AC673)</f>
        <v>70932</v>
      </c>
      <c r="AF673" s="12"/>
      <c r="AG673" s="12"/>
      <c r="AH673" s="12"/>
      <c r="AI673" s="12">
        <f t="shared" ref="AI673:AI713" si="206">SUM(AE673:AH673)</f>
        <v>70932</v>
      </c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</row>
    <row r="674" spans="1:52" x14ac:dyDescent="0.25">
      <c r="A674" s="10">
        <v>3</v>
      </c>
      <c r="B674" s="30" t="s">
        <v>73</v>
      </c>
      <c r="C674" s="31">
        <f t="shared" ref="C674:C691" si="207">C673+1</f>
        <v>5229</v>
      </c>
      <c r="D674" s="33">
        <f>1252+614+457+596+29+250</f>
        <v>3198</v>
      </c>
      <c r="E674" s="33"/>
      <c r="F674" s="33"/>
      <c r="G674" s="33">
        <f t="shared" si="201"/>
        <v>3198</v>
      </c>
      <c r="H674" s="34"/>
      <c r="I674" s="34">
        <v>41</v>
      </c>
      <c r="J674" s="34"/>
      <c r="K674" s="34">
        <f t="shared" si="202"/>
        <v>3239</v>
      </c>
      <c r="M674" s="10">
        <v>3</v>
      </c>
      <c r="N674" s="30" t="s">
        <v>73</v>
      </c>
      <c r="O674" s="31">
        <f t="shared" ref="O674:O676" si="208">O673+1</f>
        <v>5146</v>
      </c>
      <c r="P674" s="32">
        <f>156500+2977</f>
        <v>159477</v>
      </c>
      <c r="Q674" s="32">
        <v>-2367</v>
      </c>
      <c r="R674" s="32"/>
      <c r="S674" s="32">
        <f t="shared" si="203"/>
        <v>157110</v>
      </c>
      <c r="T674" s="12"/>
      <c r="U674" s="12"/>
      <c r="V674" s="12">
        <v>-35520</v>
      </c>
      <c r="W674" s="12">
        <f t="shared" si="204"/>
        <v>121590</v>
      </c>
      <c r="Y674" s="10">
        <v>3</v>
      </c>
      <c r="Z674" s="30" t="s">
        <v>70</v>
      </c>
      <c r="AA674" s="31">
        <f t="shared" ref="AA674:AA675" si="209">AA673+1</f>
        <v>5169</v>
      </c>
      <c r="AB674" s="33">
        <f>6886+1192+123</f>
        <v>8201</v>
      </c>
      <c r="AC674" s="33"/>
      <c r="AD674" s="32"/>
      <c r="AE674" s="32">
        <f t="shared" si="205"/>
        <v>8201</v>
      </c>
      <c r="AF674" s="12"/>
      <c r="AG674" s="12">
        <f>40+19</f>
        <v>59</v>
      </c>
      <c r="AH674" s="12"/>
      <c r="AI674" s="12">
        <f t="shared" si="206"/>
        <v>8260</v>
      </c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</row>
    <row r="675" spans="1:52" x14ac:dyDescent="0.25">
      <c r="A675" s="10">
        <v>4</v>
      </c>
      <c r="B675" s="30" t="s">
        <v>73</v>
      </c>
      <c r="C675" s="31">
        <f t="shared" si="207"/>
        <v>5230</v>
      </c>
      <c r="D675" s="32">
        <f>626+614+832+10</f>
        <v>2082</v>
      </c>
      <c r="E675" s="32"/>
      <c r="F675" s="32"/>
      <c r="G675" s="32">
        <f t="shared" si="201"/>
        <v>2082</v>
      </c>
      <c r="H675" s="12"/>
      <c r="I675" s="12"/>
      <c r="J675" s="12"/>
      <c r="K675" s="12">
        <f t="shared" si="202"/>
        <v>2082</v>
      </c>
      <c r="M675" s="10">
        <v>4</v>
      </c>
      <c r="N675" s="30" t="s">
        <v>73</v>
      </c>
      <c r="O675" s="31">
        <f t="shared" si="208"/>
        <v>5147</v>
      </c>
      <c r="P675" s="32">
        <f>8764+1842+1192+152</f>
        <v>11950</v>
      </c>
      <c r="Q675" s="32"/>
      <c r="R675" s="32"/>
      <c r="S675" s="32">
        <f t="shared" si="203"/>
        <v>11950</v>
      </c>
      <c r="T675" s="12"/>
      <c r="U675" s="12">
        <v>38</v>
      </c>
      <c r="V675" s="12"/>
      <c r="W675" s="12">
        <f t="shared" si="204"/>
        <v>11988</v>
      </c>
      <c r="Y675" s="10">
        <v>4</v>
      </c>
      <c r="Z675" s="30" t="s">
        <v>70</v>
      </c>
      <c r="AA675" s="31">
        <f t="shared" si="209"/>
        <v>5170</v>
      </c>
      <c r="AB675" s="32">
        <f>50080+3070+8940+852+916</f>
        <v>63858</v>
      </c>
      <c r="AC675" s="32">
        <v>-624</v>
      </c>
      <c r="AD675" s="32"/>
      <c r="AE675" s="32">
        <f t="shared" si="205"/>
        <v>63234</v>
      </c>
      <c r="AF675" s="12"/>
      <c r="AG675">
        <v>108</v>
      </c>
      <c r="AH675" s="12"/>
      <c r="AI675" s="12">
        <f t="shared" si="206"/>
        <v>63342</v>
      </c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</row>
    <row r="676" spans="1:52" x14ac:dyDescent="0.25">
      <c r="A676" s="10">
        <v>5</v>
      </c>
      <c r="B676" s="30" t="s">
        <v>73</v>
      </c>
      <c r="C676" s="31">
        <f t="shared" si="207"/>
        <v>5231</v>
      </c>
      <c r="D676" s="32">
        <f>626+614+10</f>
        <v>1250</v>
      </c>
      <c r="E676" s="32"/>
      <c r="F676" s="32"/>
      <c r="G676" s="32">
        <f t="shared" si="201"/>
        <v>1250</v>
      </c>
      <c r="H676" s="12"/>
      <c r="I676" s="12"/>
      <c r="J676" s="12"/>
      <c r="K676" s="12">
        <f t="shared" si="202"/>
        <v>1250</v>
      </c>
      <c r="M676" s="10">
        <v>5</v>
      </c>
      <c r="N676" s="30" t="s">
        <v>73</v>
      </c>
      <c r="O676" s="31">
        <f t="shared" si="208"/>
        <v>5148</v>
      </c>
      <c r="P676" s="32">
        <f>626+596+9.5</f>
        <v>1231.5</v>
      </c>
      <c r="Q676" s="32"/>
      <c r="R676" s="32"/>
      <c r="S676" s="32">
        <f t="shared" si="203"/>
        <v>1231.5</v>
      </c>
      <c r="T676" s="12"/>
      <c r="U676" s="12"/>
      <c r="V676" s="12"/>
      <c r="W676" s="12">
        <f t="shared" si="204"/>
        <v>1231.5</v>
      </c>
      <c r="Y676" s="10">
        <v>5</v>
      </c>
      <c r="Z676" s="30"/>
      <c r="AA676" s="11" t="s">
        <v>28</v>
      </c>
      <c r="AB676" s="32"/>
      <c r="AC676" s="32"/>
      <c r="AD676" s="32"/>
      <c r="AE676" s="32">
        <f t="shared" si="205"/>
        <v>0</v>
      </c>
      <c r="AF676" s="12"/>
      <c r="AG676" s="12"/>
      <c r="AH676" s="12"/>
      <c r="AI676" s="12">
        <f t="shared" si="206"/>
        <v>0</v>
      </c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</row>
    <row r="677" spans="1:52" x14ac:dyDescent="0.25">
      <c r="A677" s="10">
        <v>6</v>
      </c>
      <c r="B677" s="30" t="s">
        <v>73</v>
      </c>
      <c r="C677" s="31">
        <f t="shared" si="207"/>
        <v>5232</v>
      </c>
      <c r="D677" s="32">
        <f>2504+38</f>
        <v>2542</v>
      </c>
      <c r="E677" s="32"/>
      <c r="F677" s="32"/>
      <c r="G677" s="32">
        <f t="shared" si="201"/>
        <v>2542</v>
      </c>
      <c r="H677" s="12"/>
      <c r="I677" s="12"/>
      <c r="J677" s="12"/>
      <c r="K677" s="12">
        <f t="shared" si="202"/>
        <v>2542</v>
      </c>
      <c r="M677" s="10">
        <v>6</v>
      </c>
      <c r="N677" s="30"/>
      <c r="O677" s="11" t="s">
        <v>28</v>
      </c>
      <c r="P677" s="32"/>
      <c r="Q677" s="32"/>
      <c r="R677" s="32"/>
      <c r="S677" s="32">
        <f t="shared" si="203"/>
        <v>0</v>
      </c>
      <c r="T677" s="12"/>
      <c r="U677" s="12"/>
      <c r="V677" s="10"/>
      <c r="W677" s="12">
        <f t="shared" si="204"/>
        <v>0</v>
      </c>
      <c r="Y677" s="10">
        <v>6</v>
      </c>
      <c r="Z677" s="30"/>
      <c r="AA677" s="31"/>
      <c r="AB677" s="32"/>
      <c r="AC677" s="32"/>
      <c r="AD677" s="32"/>
      <c r="AE677" s="32">
        <f t="shared" si="205"/>
        <v>0</v>
      </c>
      <c r="AF677" s="12"/>
      <c r="AG677" s="12"/>
      <c r="AH677" s="10"/>
      <c r="AI677" s="12">
        <f t="shared" si="206"/>
        <v>0</v>
      </c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</row>
    <row r="678" spans="1:52" x14ac:dyDescent="0.25">
      <c r="A678" s="10">
        <v>7</v>
      </c>
      <c r="B678" s="30" t="s">
        <v>73</v>
      </c>
      <c r="C678" s="31">
        <f t="shared" si="207"/>
        <v>5233</v>
      </c>
      <c r="D678" s="32">
        <f>1252+19</f>
        <v>1271</v>
      </c>
      <c r="E678" s="32"/>
      <c r="F678" s="32"/>
      <c r="G678" s="32">
        <f t="shared" si="201"/>
        <v>1271</v>
      </c>
      <c r="H678" s="12"/>
      <c r="I678" s="12"/>
      <c r="J678" s="12"/>
      <c r="K678" s="12">
        <f t="shared" si="202"/>
        <v>1271</v>
      </c>
      <c r="M678" s="10">
        <v>7</v>
      </c>
      <c r="N678" s="30"/>
      <c r="O678" s="31"/>
      <c r="P678" s="32"/>
      <c r="Q678" s="32"/>
      <c r="R678" s="32"/>
      <c r="S678" s="32">
        <f t="shared" si="203"/>
        <v>0</v>
      </c>
      <c r="T678" s="12"/>
      <c r="U678" s="12"/>
      <c r="V678" s="12"/>
      <c r="W678" s="12">
        <f t="shared" si="204"/>
        <v>0</v>
      </c>
      <c r="Y678" s="10">
        <v>7</v>
      </c>
      <c r="Z678" s="30"/>
      <c r="AA678" s="31"/>
      <c r="AB678" s="32"/>
      <c r="AC678" s="32"/>
      <c r="AD678" s="32"/>
      <c r="AE678" s="32">
        <f t="shared" si="205"/>
        <v>0</v>
      </c>
      <c r="AF678" s="12"/>
      <c r="AG678" s="58"/>
      <c r="AH678" s="12"/>
      <c r="AI678" s="12">
        <f t="shared" si="206"/>
        <v>0</v>
      </c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</row>
    <row r="679" spans="1:52" x14ac:dyDescent="0.25">
      <c r="A679" s="10">
        <v>8</v>
      </c>
      <c r="B679" s="30" t="s">
        <v>73</v>
      </c>
      <c r="C679" s="31">
        <f t="shared" si="207"/>
        <v>5234</v>
      </c>
      <c r="D679" s="32">
        <f>626+596+19</f>
        <v>1241</v>
      </c>
      <c r="E679" s="32"/>
      <c r="F679" s="32"/>
      <c r="G679" s="32">
        <f t="shared" si="201"/>
        <v>1241</v>
      </c>
      <c r="H679" s="12"/>
      <c r="I679" s="12"/>
      <c r="J679" s="12"/>
      <c r="K679" s="12">
        <f t="shared" si="202"/>
        <v>1241</v>
      </c>
      <c r="M679" s="10">
        <v>8</v>
      </c>
      <c r="N679" s="30"/>
      <c r="O679" s="31"/>
      <c r="P679" s="32"/>
      <c r="Q679" s="32"/>
      <c r="R679" s="32"/>
      <c r="S679" s="32">
        <f t="shared" si="203"/>
        <v>0</v>
      </c>
      <c r="T679" s="12"/>
      <c r="U679" s="12"/>
      <c r="V679" s="12"/>
      <c r="W679" s="12">
        <f t="shared" si="204"/>
        <v>0</v>
      </c>
      <c r="Y679" s="10">
        <v>8</v>
      </c>
      <c r="Z679" s="30"/>
      <c r="AA679" s="31"/>
      <c r="AB679" s="32"/>
      <c r="AC679" s="32"/>
      <c r="AE679" s="32">
        <f t="shared" si="205"/>
        <v>0</v>
      </c>
      <c r="AF679" s="12"/>
      <c r="AG679" s="12"/>
      <c r="AH679" s="12"/>
      <c r="AI679" s="12">
        <f t="shared" si="206"/>
        <v>0</v>
      </c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</row>
    <row r="680" spans="1:52" x14ac:dyDescent="0.25">
      <c r="A680" s="10">
        <v>9</v>
      </c>
      <c r="B680" s="30" t="s">
        <v>73</v>
      </c>
      <c r="C680" s="31">
        <f t="shared" si="207"/>
        <v>5235</v>
      </c>
      <c r="D680" s="32">
        <f>614+852</f>
        <v>1466</v>
      </c>
      <c r="E680" s="32"/>
      <c r="F680" s="32"/>
      <c r="G680" s="32">
        <f t="shared" si="201"/>
        <v>1466</v>
      </c>
      <c r="H680" s="12"/>
      <c r="I680" s="12"/>
      <c r="J680" s="12"/>
      <c r="K680" s="12">
        <f t="shared" si="202"/>
        <v>1466</v>
      </c>
      <c r="M680" s="10">
        <v>9</v>
      </c>
      <c r="N680" s="30"/>
      <c r="O680" s="31"/>
      <c r="P680" s="32"/>
      <c r="Q680" s="32"/>
      <c r="R680" s="32"/>
      <c r="S680" s="32">
        <f t="shared" si="203"/>
        <v>0</v>
      </c>
      <c r="T680" s="12"/>
      <c r="U680" s="12"/>
      <c r="V680" s="12"/>
      <c r="W680" s="12">
        <f t="shared" si="204"/>
        <v>0</v>
      </c>
      <c r="Y680" s="10">
        <v>9</v>
      </c>
      <c r="Z680" s="30"/>
      <c r="AA680" s="31"/>
      <c r="AC680" s="32"/>
      <c r="AD680" s="32"/>
      <c r="AE680" s="32">
        <f t="shared" si="205"/>
        <v>0</v>
      </c>
      <c r="AF680" s="12"/>
      <c r="AH680" s="12"/>
      <c r="AI680" s="12">
        <f t="shared" si="206"/>
        <v>0</v>
      </c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</row>
    <row r="681" spans="1:52" x14ac:dyDescent="0.25">
      <c r="A681" s="10">
        <v>10</v>
      </c>
      <c r="B681" s="30" t="s">
        <v>73</v>
      </c>
      <c r="C681" s="31">
        <f t="shared" si="207"/>
        <v>5236</v>
      </c>
      <c r="D681" s="32">
        <f>626+10</f>
        <v>636</v>
      </c>
      <c r="E681" s="32"/>
      <c r="F681" s="32"/>
      <c r="G681" s="32">
        <f t="shared" si="201"/>
        <v>636</v>
      </c>
      <c r="H681" s="12"/>
      <c r="I681" s="12"/>
      <c r="J681" s="12"/>
      <c r="K681" s="12">
        <f t="shared" si="202"/>
        <v>636</v>
      </c>
      <c r="M681" s="10">
        <v>10</v>
      </c>
      <c r="N681" s="30"/>
      <c r="O681" s="31"/>
      <c r="P681" s="32"/>
      <c r="Q681" s="32"/>
      <c r="R681" s="32"/>
      <c r="S681" s="32">
        <f t="shared" si="203"/>
        <v>0</v>
      </c>
      <c r="T681" s="12"/>
      <c r="U681" s="12"/>
      <c r="V681" s="12"/>
      <c r="W681" s="12">
        <f t="shared" si="204"/>
        <v>0</v>
      </c>
      <c r="Y681" s="10">
        <v>10</v>
      </c>
      <c r="Z681" s="30"/>
      <c r="AA681" s="31"/>
      <c r="AB681" s="32"/>
      <c r="AC681" s="32"/>
      <c r="AD681" s="32"/>
      <c r="AE681" s="32">
        <f t="shared" si="205"/>
        <v>0</v>
      </c>
      <c r="AF681" s="12"/>
      <c r="AG681" s="12"/>
      <c r="AH681" s="12"/>
      <c r="AI681" s="12">
        <f t="shared" si="206"/>
        <v>0</v>
      </c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</row>
    <row r="682" spans="1:52" x14ac:dyDescent="0.25">
      <c r="A682" s="10">
        <v>11</v>
      </c>
      <c r="B682" s="30" t="s">
        <v>73</v>
      </c>
      <c r="C682" s="31">
        <f t="shared" si="207"/>
        <v>5237</v>
      </c>
      <c r="D682" s="32">
        <f>5634+614+86</f>
        <v>6334</v>
      </c>
      <c r="E682" s="32"/>
      <c r="F682" s="32"/>
      <c r="G682" s="32">
        <f t="shared" si="201"/>
        <v>6334</v>
      </c>
      <c r="H682" s="12"/>
      <c r="I682" s="12"/>
      <c r="J682" s="12"/>
      <c r="K682" s="12">
        <f t="shared" si="202"/>
        <v>6334</v>
      </c>
      <c r="M682" s="10">
        <v>11</v>
      </c>
      <c r="N682" s="30"/>
      <c r="O682" s="31"/>
      <c r="P682" s="32"/>
      <c r="Q682" s="32"/>
      <c r="R682" s="32"/>
      <c r="S682" s="32">
        <f t="shared" si="203"/>
        <v>0</v>
      </c>
      <c r="T682" s="12"/>
      <c r="U682" s="12"/>
      <c r="V682" s="12"/>
      <c r="W682" s="12">
        <f t="shared" si="204"/>
        <v>0</v>
      </c>
      <c r="Y682" s="10">
        <v>11</v>
      </c>
      <c r="Z682" s="30"/>
      <c r="AA682" s="31"/>
      <c r="AB682" s="32"/>
      <c r="AC682" s="32"/>
      <c r="AD682" s="32"/>
      <c r="AE682" s="32">
        <f t="shared" si="205"/>
        <v>0</v>
      </c>
      <c r="AF682" s="12"/>
      <c r="AG682" s="12"/>
      <c r="AH682" s="12"/>
      <c r="AI682" s="12">
        <f t="shared" si="206"/>
        <v>0</v>
      </c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</row>
    <row r="683" spans="1:52" x14ac:dyDescent="0.25">
      <c r="A683" s="10">
        <v>12</v>
      </c>
      <c r="B683" s="30" t="s">
        <v>73</v>
      </c>
      <c r="C683" s="31">
        <f t="shared" si="207"/>
        <v>5238</v>
      </c>
      <c r="D683" s="32">
        <f>1252+596+29</f>
        <v>1877</v>
      </c>
      <c r="E683" s="32"/>
      <c r="F683" s="32"/>
      <c r="G683" s="32">
        <f t="shared" si="201"/>
        <v>1877</v>
      </c>
      <c r="H683" s="12"/>
      <c r="I683" s="12"/>
      <c r="J683" s="10"/>
      <c r="K683" s="12">
        <f t="shared" si="202"/>
        <v>1877</v>
      </c>
      <c r="M683" s="10">
        <v>12</v>
      </c>
      <c r="N683" s="30"/>
      <c r="O683" s="31"/>
      <c r="P683" s="32"/>
      <c r="Q683" s="32"/>
      <c r="R683" s="32"/>
      <c r="S683" s="32">
        <f t="shared" si="203"/>
        <v>0</v>
      </c>
      <c r="T683" s="12"/>
      <c r="U683" s="12"/>
      <c r="V683" s="12"/>
      <c r="W683" s="12">
        <f t="shared" si="204"/>
        <v>0</v>
      </c>
      <c r="Y683" s="10">
        <v>12</v>
      </c>
      <c r="Z683" s="30"/>
      <c r="AA683" s="31"/>
      <c r="AB683" s="32"/>
      <c r="AC683" s="32"/>
      <c r="AD683" s="32"/>
      <c r="AE683" s="32">
        <f t="shared" si="205"/>
        <v>0</v>
      </c>
      <c r="AF683" s="12"/>
      <c r="AG683" s="12"/>
      <c r="AH683" s="12"/>
      <c r="AI683" s="12">
        <f t="shared" si="206"/>
        <v>0</v>
      </c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</row>
    <row r="684" spans="1:52" x14ac:dyDescent="0.25">
      <c r="A684" s="10">
        <v>13</v>
      </c>
      <c r="B684" s="30" t="s">
        <v>73</v>
      </c>
      <c r="C684" s="31">
        <f t="shared" si="207"/>
        <v>5239</v>
      </c>
      <c r="D684" s="32">
        <f>1878+596+38</f>
        <v>2512</v>
      </c>
      <c r="E684" s="32"/>
      <c r="F684" s="32"/>
      <c r="G684" s="32">
        <f t="shared" si="201"/>
        <v>2512</v>
      </c>
      <c r="H684" s="12"/>
      <c r="I684" s="12"/>
      <c r="J684" s="12"/>
      <c r="K684" s="12">
        <f t="shared" si="202"/>
        <v>2512</v>
      </c>
      <c r="M684" s="10">
        <v>13</v>
      </c>
      <c r="N684" s="30"/>
      <c r="O684" s="31"/>
      <c r="P684" s="32"/>
      <c r="Q684" s="32"/>
      <c r="R684" s="32"/>
      <c r="S684" s="32">
        <f t="shared" si="203"/>
        <v>0</v>
      </c>
      <c r="T684" s="12"/>
      <c r="U684" s="12"/>
      <c r="V684" s="12"/>
      <c r="W684" s="12">
        <f t="shared" si="204"/>
        <v>0</v>
      </c>
      <c r="Y684" s="10">
        <v>13</v>
      </c>
      <c r="Z684" s="30"/>
      <c r="AA684" s="31"/>
      <c r="AB684" s="32"/>
      <c r="AC684" s="32"/>
      <c r="AD684" s="32"/>
      <c r="AE684" s="32">
        <f t="shared" si="205"/>
        <v>0</v>
      </c>
      <c r="AF684" s="12"/>
      <c r="AG684" s="12"/>
      <c r="AH684" s="12"/>
      <c r="AI684" s="12">
        <f t="shared" si="206"/>
        <v>0</v>
      </c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</row>
    <row r="685" spans="1:52" x14ac:dyDescent="0.25">
      <c r="A685" s="10">
        <v>14</v>
      </c>
      <c r="B685" s="30" t="s">
        <v>73</v>
      </c>
      <c r="C685" s="31">
        <f t="shared" si="207"/>
        <v>5240</v>
      </c>
      <c r="D685" s="32">
        <f>1878+29</f>
        <v>1907</v>
      </c>
      <c r="E685" s="32"/>
      <c r="F685" s="32"/>
      <c r="G685" s="32">
        <f t="shared" si="201"/>
        <v>1907</v>
      </c>
      <c r="H685" s="12"/>
      <c r="I685" s="12"/>
      <c r="J685" s="12"/>
      <c r="K685" s="12">
        <f t="shared" si="202"/>
        <v>1907</v>
      </c>
      <c r="M685" s="10">
        <v>14</v>
      </c>
      <c r="N685" s="30"/>
      <c r="O685" s="31"/>
      <c r="P685" s="32"/>
      <c r="Q685" s="32"/>
      <c r="R685" s="32"/>
      <c r="S685" s="32">
        <f t="shared" si="203"/>
        <v>0</v>
      </c>
      <c r="T685" s="12"/>
      <c r="U685" s="12"/>
      <c r="V685" s="12"/>
      <c r="W685" s="12">
        <f t="shared" si="204"/>
        <v>0</v>
      </c>
      <c r="Y685" s="10">
        <v>14</v>
      </c>
      <c r="Z685" s="30"/>
      <c r="AB685" s="32"/>
      <c r="AC685" s="32"/>
      <c r="AD685" s="32"/>
      <c r="AE685" s="32">
        <f t="shared" si="205"/>
        <v>0</v>
      </c>
      <c r="AF685" s="12"/>
      <c r="AG685" s="12"/>
      <c r="AH685" s="12"/>
      <c r="AI685" s="12">
        <f t="shared" si="206"/>
        <v>0</v>
      </c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</row>
    <row r="686" spans="1:52" x14ac:dyDescent="0.25">
      <c r="A686" s="10">
        <v>15</v>
      </c>
      <c r="B686" s="30" t="s">
        <v>73</v>
      </c>
      <c r="C686" s="31">
        <f t="shared" si="207"/>
        <v>5241</v>
      </c>
      <c r="D686" s="32">
        <f>614</f>
        <v>614</v>
      </c>
      <c r="E686" s="32"/>
      <c r="F686" s="32"/>
      <c r="G686" s="32">
        <f t="shared" si="201"/>
        <v>614</v>
      </c>
      <c r="H686" s="12"/>
      <c r="I686" s="12"/>
      <c r="J686" s="12"/>
      <c r="K686" s="12">
        <f t="shared" si="202"/>
        <v>614</v>
      </c>
      <c r="M686" s="10">
        <v>15</v>
      </c>
      <c r="N686" s="30"/>
      <c r="O686" s="31"/>
      <c r="P686" s="32"/>
      <c r="R686" s="32"/>
      <c r="S686" s="32">
        <f t="shared" si="203"/>
        <v>0</v>
      </c>
      <c r="T686" s="12"/>
      <c r="U686" s="12"/>
      <c r="W686" s="12">
        <f t="shared" si="204"/>
        <v>0</v>
      </c>
      <c r="Y686" s="10">
        <v>15</v>
      </c>
      <c r="Z686" s="30"/>
      <c r="AA686" s="31"/>
      <c r="AB686" s="32"/>
      <c r="AC686" s="32"/>
      <c r="AD686" s="32"/>
      <c r="AE686" s="32">
        <f t="shared" si="205"/>
        <v>0</v>
      </c>
      <c r="AF686" s="12"/>
      <c r="AG686" s="12"/>
      <c r="AH686" s="12"/>
      <c r="AI686" s="12">
        <f t="shared" si="206"/>
        <v>0</v>
      </c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</row>
    <row r="687" spans="1:52" x14ac:dyDescent="0.25">
      <c r="A687" s="10">
        <v>16</v>
      </c>
      <c r="B687" s="30" t="s">
        <v>73</v>
      </c>
      <c r="C687" s="31">
        <f t="shared" si="207"/>
        <v>5242</v>
      </c>
      <c r="D687" s="32">
        <f>1252+19</f>
        <v>1271</v>
      </c>
      <c r="E687" s="32"/>
      <c r="F687" s="32"/>
      <c r="G687" s="32">
        <f t="shared" si="201"/>
        <v>1271</v>
      </c>
      <c r="H687" s="12"/>
      <c r="I687" s="12"/>
      <c r="J687" s="12"/>
      <c r="K687" s="12">
        <f t="shared" si="202"/>
        <v>1271</v>
      </c>
      <c r="M687" s="10">
        <v>16</v>
      </c>
      <c r="N687" s="30"/>
      <c r="O687" s="31"/>
      <c r="P687" s="32"/>
      <c r="Q687" s="32"/>
      <c r="R687" s="32"/>
      <c r="S687" s="32">
        <f>SUM(P687:Q687)</f>
        <v>0</v>
      </c>
      <c r="T687" s="12"/>
      <c r="U687" s="12"/>
      <c r="V687" s="12"/>
      <c r="W687" s="12">
        <f>SUM(S687:V687)</f>
        <v>0</v>
      </c>
      <c r="Y687" s="10">
        <v>16</v>
      </c>
      <c r="Z687" s="30"/>
      <c r="AB687" s="32"/>
      <c r="AC687" s="32"/>
      <c r="AD687" s="32"/>
      <c r="AE687" s="32">
        <f t="shared" si="205"/>
        <v>0</v>
      </c>
      <c r="AF687" s="12"/>
      <c r="AG687" s="12"/>
      <c r="AH687" s="12"/>
      <c r="AI687" s="12">
        <f t="shared" si="206"/>
        <v>0</v>
      </c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</row>
    <row r="688" spans="1:52" x14ac:dyDescent="0.25">
      <c r="A688" s="10">
        <v>17</v>
      </c>
      <c r="B688" s="30" t="s">
        <v>73</v>
      </c>
      <c r="C688" s="31">
        <f t="shared" si="207"/>
        <v>5243</v>
      </c>
      <c r="D688" s="32">
        <f>3756+57</f>
        <v>3813</v>
      </c>
      <c r="E688" s="32"/>
      <c r="F688" s="32"/>
      <c r="G688" s="32">
        <f t="shared" si="201"/>
        <v>3813</v>
      </c>
      <c r="H688" s="12"/>
      <c r="I688" s="12"/>
      <c r="J688" s="12"/>
      <c r="K688" s="12">
        <f t="shared" si="202"/>
        <v>3813</v>
      </c>
      <c r="M688" s="10">
        <v>17</v>
      </c>
      <c r="N688" s="30"/>
      <c r="P688" s="35"/>
      <c r="Q688" s="32"/>
      <c r="R688" s="32"/>
      <c r="S688" s="32">
        <f t="shared" ref="S688:S710" si="210">SUM(P688:Q688)</f>
        <v>0</v>
      </c>
      <c r="T688" s="12"/>
      <c r="U688" s="12"/>
      <c r="V688" s="12"/>
      <c r="W688" s="12">
        <f t="shared" ref="W688:W713" si="211">SUM(S688:V688)</f>
        <v>0</v>
      </c>
      <c r="Y688" s="10">
        <v>17</v>
      </c>
      <c r="Z688" s="30"/>
      <c r="AA688" s="31"/>
      <c r="AB688" s="35"/>
      <c r="AC688" s="32"/>
      <c r="AD688" s="32"/>
      <c r="AE688" s="32">
        <f t="shared" si="205"/>
        <v>0</v>
      </c>
      <c r="AF688" s="12"/>
      <c r="AG688" s="12"/>
      <c r="AH688" s="12"/>
      <c r="AI688" s="12">
        <f t="shared" si="206"/>
        <v>0</v>
      </c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</row>
    <row r="689" spans="1:52" x14ac:dyDescent="0.25">
      <c r="A689" s="10">
        <v>18</v>
      </c>
      <c r="B689" s="30" t="s">
        <v>73</v>
      </c>
      <c r="C689" s="31">
        <f t="shared" si="207"/>
        <v>5244</v>
      </c>
      <c r="D689" s="32">
        <f>3130+1788+76</f>
        <v>4994</v>
      </c>
      <c r="E689" s="32"/>
      <c r="F689" s="32"/>
      <c r="G689" s="32">
        <f t="shared" si="201"/>
        <v>4994</v>
      </c>
      <c r="H689" s="12"/>
      <c r="I689" s="12">
        <f>18+9</f>
        <v>27</v>
      </c>
      <c r="J689" s="12"/>
      <c r="K689" s="12">
        <f t="shared" si="202"/>
        <v>5021</v>
      </c>
      <c r="M689" s="10">
        <v>18</v>
      </c>
      <c r="N689" s="30"/>
      <c r="O689" s="31"/>
      <c r="P689" s="32"/>
      <c r="Q689" s="32"/>
      <c r="R689" s="32"/>
      <c r="S689" s="32">
        <f t="shared" si="210"/>
        <v>0</v>
      </c>
      <c r="T689" s="12"/>
      <c r="U689" s="12"/>
      <c r="V689" s="12"/>
      <c r="W689" s="12">
        <f t="shared" si="211"/>
        <v>0</v>
      </c>
      <c r="Y689" s="10">
        <v>18</v>
      </c>
      <c r="Z689" s="30"/>
      <c r="AA689" s="31"/>
      <c r="AB689" s="32"/>
      <c r="AC689" s="32"/>
      <c r="AD689" s="32"/>
      <c r="AE689" s="32">
        <f t="shared" si="205"/>
        <v>0</v>
      </c>
      <c r="AF689" s="12"/>
      <c r="AG689" s="12"/>
      <c r="AH689" s="12"/>
      <c r="AI689" s="12">
        <f t="shared" si="206"/>
        <v>0</v>
      </c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</row>
    <row r="690" spans="1:52" x14ac:dyDescent="0.25">
      <c r="A690" s="10">
        <v>19</v>
      </c>
      <c r="B690" s="30" t="s">
        <v>73</v>
      </c>
      <c r="C690" s="31">
        <f t="shared" si="207"/>
        <v>5245</v>
      </c>
      <c r="D690" s="32">
        <f>71364+4298+10132+458</f>
        <v>86252</v>
      </c>
      <c r="E690" s="32">
        <v>-1120</v>
      </c>
      <c r="F690" s="32"/>
      <c r="G690" s="32">
        <f t="shared" si="201"/>
        <v>85132</v>
      </c>
      <c r="H690" s="12"/>
      <c r="I690" s="12">
        <v>156</v>
      </c>
      <c r="J690" s="12"/>
      <c r="K690" s="12">
        <f t="shared" si="202"/>
        <v>85288</v>
      </c>
      <c r="M690" s="10">
        <v>19</v>
      </c>
      <c r="N690" s="30"/>
      <c r="O690" s="31"/>
      <c r="P690" s="32"/>
      <c r="Q690" s="32"/>
      <c r="R690" s="32"/>
      <c r="S690" s="32">
        <f t="shared" si="210"/>
        <v>0</v>
      </c>
      <c r="T690" s="12"/>
      <c r="U690" s="12"/>
      <c r="V690" s="12"/>
      <c r="W690" s="12">
        <f t="shared" si="211"/>
        <v>0</v>
      </c>
      <c r="Y690" s="10">
        <v>19</v>
      </c>
      <c r="Z690" s="30"/>
      <c r="AA690" s="31"/>
      <c r="AB690" s="32"/>
      <c r="AC690" s="32"/>
      <c r="AD690" s="32"/>
      <c r="AE690" s="32">
        <f t="shared" si="205"/>
        <v>0</v>
      </c>
      <c r="AF690" s="12"/>
      <c r="AG690" s="12"/>
      <c r="AH690" s="12"/>
      <c r="AI690" s="12">
        <f t="shared" si="206"/>
        <v>0</v>
      </c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</row>
    <row r="691" spans="1:52" x14ac:dyDescent="0.25">
      <c r="A691" s="10">
        <v>20</v>
      </c>
      <c r="B691" s="30" t="s">
        <v>73</v>
      </c>
      <c r="C691" s="31">
        <f t="shared" si="207"/>
        <v>5246</v>
      </c>
      <c r="D691" s="32">
        <f>12520+190</f>
        <v>12710</v>
      </c>
      <c r="E691" s="32"/>
      <c r="F691" s="32"/>
      <c r="G691" s="32">
        <f t="shared" si="201"/>
        <v>12710</v>
      </c>
      <c r="H691" s="12"/>
      <c r="I691" s="12"/>
      <c r="J691" s="12"/>
      <c r="K691" s="12">
        <f t="shared" si="202"/>
        <v>12710</v>
      </c>
      <c r="M691" s="10">
        <v>20</v>
      </c>
      <c r="N691" s="30"/>
      <c r="O691" s="31"/>
      <c r="P691" s="32"/>
      <c r="Q691" s="32"/>
      <c r="R691" s="32"/>
      <c r="S691" s="32">
        <f t="shared" si="210"/>
        <v>0</v>
      </c>
      <c r="T691" s="12"/>
      <c r="U691" s="12"/>
      <c r="V691" s="12"/>
      <c r="W691" s="12">
        <f t="shared" si="211"/>
        <v>0</v>
      </c>
      <c r="Y691" s="10">
        <v>20</v>
      </c>
      <c r="Z691" s="30"/>
      <c r="AA691" s="31"/>
      <c r="AB691" s="32"/>
      <c r="AC691" s="32"/>
      <c r="AD691" s="32"/>
      <c r="AE691" s="32">
        <f t="shared" si="205"/>
        <v>0</v>
      </c>
      <c r="AF691" s="12"/>
      <c r="AG691" s="12"/>
      <c r="AH691" s="12"/>
      <c r="AI691" s="12">
        <f t="shared" si="206"/>
        <v>0</v>
      </c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</row>
    <row r="692" spans="1:52" x14ac:dyDescent="0.25">
      <c r="A692" s="10">
        <v>21</v>
      </c>
      <c r="B692" s="30"/>
      <c r="C692" s="11" t="s">
        <v>28</v>
      </c>
      <c r="D692" s="32"/>
      <c r="E692" s="32"/>
      <c r="F692" s="32"/>
      <c r="G692" s="32">
        <f t="shared" si="201"/>
        <v>0</v>
      </c>
      <c r="H692" s="10"/>
      <c r="I692" s="10"/>
      <c r="J692" s="10"/>
      <c r="K692" s="12">
        <f t="shared" si="202"/>
        <v>0</v>
      </c>
      <c r="M692" s="10">
        <v>21</v>
      </c>
      <c r="N692" s="30"/>
      <c r="P692" s="46"/>
      <c r="Q692" s="31"/>
      <c r="R692" s="31"/>
      <c r="S692" s="32">
        <f t="shared" si="210"/>
        <v>0</v>
      </c>
      <c r="T692" s="10"/>
      <c r="U692" s="10"/>
      <c r="V692" s="10"/>
      <c r="W692" s="12">
        <f t="shared" si="211"/>
        <v>0</v>
      </c>
      <c r="Y692" s="10">
        <v>21</v>
      </c>
      <c r="Z692" s="30"/>
      <c r="AA692" s="11"/>
      <c r="AB692" s="46"/>
      <c r="AC692" s="31"/>
      <c r="AD692" s="31"/>
      <c r="AE692" s="32">
        <f t="shared" si="205"/>
        <v>0</v>
      </c>
      <c r="AF692" s="10"/>
      <c r="AG692" s="10"/>
      <c r="AH692" s="10"/>
      <c r="AI692" s="12">
        <f t="shared" si="206"/>
        <v>0</v>
      </c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</row>
    <row r="693" spans="1:52" x14ac:dyDescent="0.25">
      <c r="A693" s="10">
        <v>22</v>
      </c>
      <c r="B693" s="30"/>
      <c r="C693" s="31"/>
      <c r="D693" s="32"/>
      <c r="E693" s="32"/>
      <c r="F693" s="32"/>
      <c r="G693" s="32">
        <f t="shared" si="201"/>
        <v>0</v>
      </c>
      <c r="H693" s="10"/>
      <c r="I693" s="10"/>
      <c r="J693" s="10"/>
      <c r="K693" s="12">
        <f t="shared" si="202"/>
        <v>0</v>
      </c>
      <c r="M693" s="10">
        <v>22</v>
      </c>
      <c r="N693" s="30"/>
      <c r="O693" s="31"/>
      <c r="P693" s="45"/>
      <c r="Q693" s="31"/>
      <c r="R693" s="31"/>
      <c r="S693" s="32">
        <f t="shared" si="210"/>
        <v>0</v>
      </c>
      <c r="T693" s="10"/>
      <c r="U693" s="10"/>
      <c r="V693" s="10"/>
      <c r="W693" s="12">
        <f t="shared" si="211"/>
        <v>0</v>
      </c>
      <c r="Y693" s="10">
        <v>22</v>
      </c>
      <c r="Z693" s="30"/>
      <c r="AA693" s="31"/>
      <c r="AB693" s="45"/>
      <c r="AC693" s="31"/>
      <c r="AD693" s="31"/>
      <c r="AE693" s="32">
        <f t="shared" si="205"/>
        <v>0</v>
      </c>
      <c r="AF693" s="10"/>
      <c r="AG693" s="10"/>
      <c r="AH693" s="10"/>
      <c r="AI693" s="12">
        <f t="shared" si="206"/>
        <v>0</v>
      </c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</row>
    <row r="694" spans="1:52" x14ac:dyDescent="0.25">
      <c r="A694" s="10">
        <v>23</v>
      </c>
      <c r="B694" s="30"/>
      <c r="C694" s="31"/>
      <c r="D694" s="32"/>
      <c r="E694" s="32"/>
      <c r="F694" s="32"/>
      <c r="G694" s="32">
        <f t="shared" si="201"/>
        <v>0</v>
      </c>
      <c r="H694" s="10"/>
      <c r="I694" s="10"/>
      <c r="J694" s="12"/>
      <c r="K694" s="12">
        <f t="shared" si="202"/>
        <v>0</v>
      </c>
      <c r="M694" s="10">
        <v>23</v>
      </c>
      <c r="N694" s="30"/>
      <c r="O694" s="31"/>
      <c r="P694" s="47"/>
      <c r="Q694" s="31"/>
      <c r="R694" s="31"/>
      <c r="S694" s="32">
        <f t="shared" si="210"/>
        <v>0</v>
      </c>
      <c r="T694" s="10"/>
      <c r="U694" s="10"/>
      <c r="V694" s="10"/>
      <c r="W694" s="12">
        <f t="shared" si="211"/>
        <v>0</v>
      </c>
      <c r="Y694" s="10">
        <v>23</v>
      </c>
      <c r="Z694" s="30"/>
      <c r="AA694" s="31"/>
      <c r="AB694" s="47"/>
      <c r="AE694" s="32">
        <f t="shared" si="205"/>
        <v>0</v>
      </c>
      <c r="AF694" s="10"/>
      <c r="AG694" s="10"/>
      <c r="AH694" s="10"/>
      <c r="AI694" s="12">
        <f t="shared" si="206"/>
        <v>0</v>
      </c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</row>
    <row r="695" spans="1:52" x14ac:dyDescent="0.25">
      <c r="A695" s="10">
        <v>24</v>
      </c>
      <c r="B695" s="30"/>
      <c r="C695" s="31"/>
      <c r="D695" s="32"/>
      <c r="E695" s="32"/>
      <c r="F695" s="32"/>
      <c r="G695" s="32">
        <f t="shared" si="201"/>
        <v>0</v>
      </c>
      <c r="H695" s="10"/>
      <c r="I695" s="10"/>
      <c r="J695" s="10"/>
      <c r="K695" s="12">
        <f t="shared" si="202"/>
        <v>0</v>
      </c>
      <c r="M695" s="10">
        <v>24</v>
      </c>
      <c r="N695" s="30"/>
      <c r="O695" s="31"/>
      <c r="P695" s="47"/>
      <c r="Q695" s="31"/>
      <c r="R695" s="31"/>
      <c r="S695" s="32">
        <f t="shared" si="210"/>
        <v>0</v>
      </c>
      <c r="T695" s="10"/>
      <c r="U695" s="10"/>
      <c r="V695" s="10"/>
      <c r="W695" s="12">
        <f t="shared" si="211"/>
        <v>0</v>
      </c>
      <c r="Y695" s="10">
        <v>24</v>
      </c>
      <c r="Z695" s="30"/>
      <c r="AA695" s="31"/>
      <c r="AB695" s="47"/>
      <c r="AC695" s="31"/>
      <c r="AD695" s="31"/>
      <c r="AE695" s="32">
        <f t="shared" si="205"/>
        <v>0</v>
      </c>
      <c r="AF695" s="10"/>
      <c r="AG695" s="10"/>
      <c r="AH695" s="10"/>
      <c r="AI695" s="12">
        <f t="shared" si="206"/>
        <v>0</v>
      </c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</row>
    <row r="696" spans="1:52" x14ac:dyDescent="0.25">
      <c r="A696" s="10">
        <v>25</v>
      </c>
      <c r="B696" s="30"/>
      <c r="C696" s="31"/>
      <c r="D696" s="32"/>
      <c r="E696" s="32"/>
      <c r="F696" s="32"/>
      <c r="G696" s="32">
        <f t="shared" si="201"/>
        <v>0</v>
      </c>
      <c r="H696" s="10"/>
      <c r="I696" s="10"/>
      <c r="J696" s="10"/>
      <c r="K696" s="12">
        <f t="shared" si="202"/>
        <v>0</v>
      </c>
      <c r="M696" s="10">
        <v>25</v>
      </c>
      <c r="N696" s="30"/>
      <c r="O696" s="31"/>
      <c r="P696" s="47"/>
      <c r="Q696" s="31"/>
      <c r="R696" s="31"/>
      <c r="S696" s="32">
        <f t="shared" si="210"/>
        <v>0</v>
      </c>
      <c r="T696" s="10"/>
      <c r="U696" s="10"/>
      <c r="V696" s="10"/>
      <c r="W696" s="12">
        <f t="shared" si="211"/>
        <v>0</v>
      </c>
      <c r="Y696" s="10">
        <v>25</v>
      </c>
      <c r="Z696" s="30"/>
      <c r="AA696" s="31"/>
      <c r="AB696" s="47"/>
      <c r="AC696" s="31"/>
      <c r="AD696" s="31"/>
      <c r="AE696" s="32">
        <f t="shared" si="205"/>
        <v>0</v>
      </c>
      <c r="AF696" s="10"/>
      <c r="AG696" s="10"/>
      <c r="AH696" s="10"/>
      <c r="AI696" s="12">
        <f t="shared" si="206"/>
        <v>0</v>
      </c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</row>
    <row r="697" spans="1:52" x14ac:dyDescent="0.25">
      <c r="A697" s="10">
        <v>26</v>
      </c>
      <c r="B697" s="30"/>
      <c r="C697" s="31"/>
      <c r="D697" s="32"/>
      <c r="E697" s="32"/>
      <c r="F697" s="32"/>
      <c r="G697" s="32">
        <f t="shared" si="201"/>
        <v>0</v>
      </c>
      <c r="H697" s="10"/>
      <c r="I697" s="10"/>
      <c r="J697" s="10"/>
      <c r="K697" s="12">
        <f t="shared" si="202"/>
        <v>0</v>
      </c>
      <c r="M697" s="10">
        <v>26</v>
      </c>
      <c r="N697" s="30"/>
      <c r="O697" s="31"/>
      <c r="P697" s="47"/>
      <c r="Q697" s="31"/>
      <c r="R697" s="31"/>
      <c r="S697" s="32">
        <f t="shared" si="210"/>
        <v>0</v>
      </c>
      <c r="T697" s="10"/>
      <c r="U697" s="10"/>
      <c r="V697" s="10"/>
      <c r="W697" s="12">
        <f t="shared" si="211"/>
        <v>0</v>
      </c>
      <c r="Y697" s="10">
        <v>26</v>
      </c>
      <c r="Z697" s="30"/>
      <c r="AA697" s="31"/>
      <c r="AB697" s="47"/>
      <c r="AC697" s="31"/>
      <c r="AD697" s="31"/>
      <c r="AE697" s="32">
        <f t="shared" si="205"/>
        <v>0</v>
      </c>
      <c r="AF697" s="10"/>
      <c r="AG697" s="10"/>
      <c r="AH697" s="10"/>
      <c r="AI697" s="12">
        <f t="shared" si="206"/>
        <v>0</v>
      </c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</row>
    <row r="698" spans="1:52" x14ac:dyDescent="0.25">
      <c r="A698" s="10">
        <v>27</v>
      </c>
      <c r="B698" s="30"/>
      <c r="D698" s="32"/>
      <c r="E698" s="32"/>
      <c r="F698" s="32"/>
      <c r="G698" s="32">
        <f t="shared" si="201"/>
        <v>0</v>
      </c>
      <c r="H698" s="10"/>
      <c r="I698" s="10"/>
      <c r="J698" s="10"/>
      <c r="K698" s="12">
        <f t="shared" si="202"/>
        <v>0</v>
      </c>
      <c r="M698" s="10">
        <v>27</v>
      </c>
      <c r="N698" s="30"/>
      <c r="O698" s="31"/>
      <c r="P698" s="47"/>
      <c r="Q698" s="31"/>
      <c r="R698" s="31"/>
      <c r="S698" s="32">
        <f t="shared" si="210"/>
        <v>0</v>
      </c>
      <c r="T698" s="10"/>
      <c r="U698" s="10"/>
      <c r="V698" s="10"/>
      <c r="W698" s="12">
        <f t="shared" si="211"/>
        <v>0</v>
      </c>
      <c r="Y698" s="10">
        <v>27</v>
      </c>
      <c r="Z698" s="30"/>
      <c r="AA698" s="31"/>
      <c r="AB698" s="47"/>
      <c r="AC698" s="31"/>
      <c r="AD698" s="31"/>
      <c r="AE698" s="32">
        <f t="shared" si="205"/>
        <v>0</v>
      </c>
      <c r="AF698" s="10"/>
      <c r="AG698" s="10"/>
      <c r="AH698" s="10"/>
      <c r="AI698" s="12">
        <f t="shared" si="206"/>
        <v>0</v>
      </c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</row>
    <row r="699" spans="1:52" x14ac:dyDescent="0.25">
      <c r="A699" s="10">
        <v>28</v>
      </c>
      <c r="B699" s="30"/>
      <c r="C699" s="31"/>
      <c r="D699" s="32"/>
      <c r="E699" s="32"/>
      <c r="F699" s="32"/>
      <c r="G699" s="32">
        <f t="shared" si="201"/>
        <v>0</v>
      </c>
      <c r="H699" s="10"/>
      <c r="I699" s="10"/>
      <c r="J699" s="10"/>
      <c r="K699" s="12">
        <f t="shared" si="202"/>
        <v>0</v>
      </c>
      <c r="M699" s="10">
        <v>28</v>
      </c>
      <c r="N699" s="30"/>
      <c r="O699" s="31"/>
      <c r="P699" s="47"/>
      <c r="Q699" s="31"/>
      <c r="R699" s="31"/>
      <c r="S699" s="32">
        <f t="shared" si="210"/>
        <v>0</v>
      </c>
      <c r="T699" s="10"/>
      <c r="U699" s="10"/>
      <c r="V699" s="10"/>
      <c r="W699" s="12">
        <f t="shared" si="211"/>
        <v>0</v>
      </c>
      <c r="Y699" s="10">
        <v>28</v>
      </c>
      <c r="Z699" s="30"/>
      <c r="AA699" s="31"/>
      <c r="AB699" s="47"/>
      <c r="AC699" s="31"/>
      <c r="AD699" s="31"/>
      <c r="AE699" s="32">
        <f t="shared" si="205"/>
        <v>0</v>
      </c>
      <c r="AF699" s="10"/>
      <c r="AG699" s="10"/>
      <c r="AH699" s="10"/>
      <c r="AI699" s="12">
        <f t="shared" si="206"/>
        <v>0</v>
      </c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</row>
    <row r="700" spans="1:52" x14ac:dyDescent="0.25">
      <c r="A700" s="10">
        <v>29</v>
      </c>
      <c r="B700" s="30"/>
      <c r="C700" s="57"/>
      <c r="D700" s="32"/>
      <c r="E700" s="32"/>
      <c r="F700" s="32"/>
      <c r="G700" s="32"/>
      <c r="H700" s="10"/>
      <c r="I700" s="10"/>
      <c r="J700" s="10"/>
      <c r="K700" s="12">
        <f t="shared" si="202"/>
        <v>0</v>
      </c>
      <c r="M700" s="10">
        <v>29</v>
      </c>
      <c r="N700" s="30"/>
      <c r="O700" s="31"/>
      <c r="P700" s="47"/>
      <c r="Q700" s="31"/>
      <c r="R700" s="31"/>
      <c r="S700" s="32">
        <f t="shared" si="210"/>
        <v>0</v>
      </c>
      <c r="T700" s="10"/>
      <c r="U700" s="10"/>
      <c r="V700" s="10"/>
      <c r="W700" s="12">
        <f t="shared" si="211"/>
        <v>0</v>
      </c>
      <c r="Y700" s="10">
        <v>29</v>
      </c>
      <c r="Z700" s="30"/>
      <c r="AA700" s="31"/>
      <c r="AB700" s="47"/>
      <c r="AC700" s="31"/>
      <c r="AD700" s="31"/>
      <c r="AE700" s="32">
        <f t="shared" si="205"/>
        <v>0</v>
      </c>
      <c r="AF700" s="10"/>
      <c r="AG700" s="10"/>
      <c r="AH700" s="10"/>
      <c r="AI700" s="12">
        <f t="shared" si="206"/>
        <v>0</v>
      </c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</row>
    <row r="701" spans="1:52" x14ac:dyDescent="0.25">
      <c r="A701" s="10">
        <v>30</v>
      </c>
      <c r="B701" s="30"/>
      <c r="C701" s="31"/>
      <c r="D701" s="32"/>
      <c r="E701" s="32"/>
      <c r="F701" s="32"/>
      <c r="G701" s="32"/>
      <c r="H701" s="10"/>
      <c r="I701" s="10"/>
      <c r="J701" s="10"/>
      <c r="K701" s="12">
        <f t="shared" si="202"/>
        <v>0</v>
      </c>
      <c r="M701" s="10">
        <v>30</v>
      </c>
      <c r="N701" s="30"/>
      <c r="O701" s="31"/>
      <c r="P701" s="47"/>
      <c r="Q701" s="31"/>
      <c r="R701" s="31"/>
      <c r="S701" s="32">
        <f t="shared" si="210"/>
        <v>0</v>
      </c>
      <c r="T701" s="10"/>
      <c r="U701" s="10"/>
      <c r="V701" s="10"/>
      <c r="W701" s="12">
        <f t="shared" si="211"/>
        <v>0</v>
      </c>
      <c r="Y701" s="10">
        <v>30</v>
      </c>
      <c r="Z701" s="30"/>
      <c r="AA701" s="31"/>
      <c r="AB701" s="47"/>
      <c r="AC701" s="31"/>
      <c r="AD701" s="31"/>
      <c r="AE701" s="32">
        <f t="shared" si="205"/>
        <v>0</v>
      </c>
      <c r="AF701" s="10"/>
      <c r="AG701" s="10"/>
      <c r="AH701" s="10"/>
      <c r="AI701" s="12">
        <f t="shared" si="206"/>
        <v>0</v>
      </c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</row>
    <row r="702" spans="1:52" x14ac:dyDescent="0.25">
      <c r="A702" s="10">
        <v>31</v>
      </c>
      <c r="B702" s="30"/>
      <c r="D702" s="32"/>
      <c r="E702" s="32"/>
      <c r="F702" s="32"/>
      <c r="G702" s="32"/>
      <c r="H702" s="10"/>
      <c r="I702" s="10"/>
      <c r="J702" s="10"/>
      <c r="K702" s="12">
        <f t="shared" si="202"/>
        <v>0</v>
      </c>
      <c r="M702" s="10">
        <v>31</v>
      </c>
      <c r="N702" s="30"/>
      <c r="P702" s="47"/>
      <c r="Q702" s="31"/>
      <c r="R702" s="31"/>
      <c r="S702" s="32">
        <f t="shared" si="210"/>
        <v>0</v>
      </c>
      <c r="T702" s="10"/>
      <c r="U702" s="10"/>
      <c r="V702" s="10"/>
      <c r="W702" s="12">
        <f t="shared" si="211"/>
        <v>0</v>
      </c>
      <c r="Y702" s="10">
        <v>31</v>
      </c>
      <c r="Z702" s="30"/>
      <c r="AB702" s="47"/>
      <c r="AC702" s="31"/>
      <c r="AD702" s="31"/>
      <c r="AE702" s="32">
        <f t="shared" si="205"/>
        <v>0</v>
      </c>
      <c r="AF702" s="10"/>
      <c r="AG702" s="10"/>
      <c r="AH702" s="10"/>
      <c r="AI702" s="12">
        <f t="shared" si="206"/>
        <v>0</v>
      </c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</row>
    <row r="703" spans="1:52" x14ac:dyDescent="0.25">
      <c r="A703" s="10">
        <v>32</v>
      </c>
      <c r="B703" s="30"/>
      <c r="C703" s="31"/>
      <c r="D703" s="32"/>
      <c r="E703" s="32"/>
      <c r="F703" s="32"/>
      <c r="G703" s="32"/>
      <c r="H703" s="10"/>
      <c r="I703" s="10"/>
      <c r="J703" s="10"/>
      <c r="K703" s="12">
        <f t="shared" si="202"/>
        <v>0</v>
      </c>
      <c r="M703" s="10">
        <v>32</v>
      </c>
      <c r="N703" s="30"/>
      <c r="O703" s="31"/>
      <c r="P703" s="47"/>
      <c r="Q703" s="31"/>
      <c r="R703" s="31"/>
      <c r="S703" s="32">
        <f t="shared" si="210"/>
        <v>0</v>
      </c>
      <c r="T703" s="10"/>
      <c r="U703" s="10"/>
      <c r="V703" s="10"/>
      <c r="W703" s="12">
        <f t="shared" si="211"/>
        <v>0</v>
      </c>
      <c r="Y703" s="10">
        <v>32</v>
      </c>
      <c r="Z703" s="30"/>
      <c r="AA703" s="31"/>
      <c r="AB703" s="47"/>
      <c r="AC703" s="31"/>
      <c r="AD703" s="31"/>
      <c r="AE703" s="32">
        <f t="shared" si="205"/>
        <v>0</v>
      </c>
      <c r="AF703" s="10"/>
      <c r="AG703" s="10"/>
      <c r="AH703" s="10"/>
      <c r="AI703" s="12">
        <f t="shared" si="206"/>
        <v>0</v>
      </c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</row>
    <row r="704" spans="1:52" x14ac:dyDescent="0.25">
      <c r="A704" s="10">
        <v>33</v>
      </c>
      <c r="B704" s="30"/>
      <c r="C704" s="31"/>
      <c r="D704" s="32"/>
      <c r="E704" s="32"/>
      <c r="F704" s="32"/>
      <c r="G704" s="32"/>
      <c r="H704" s="10"/>
      <c r="I704" s="10"/>
      <c r="J704" s="10"/>
      <c r="K704" s="12">
        <f t="shared" si="202"/>
        <v>0</v>
      </c>
      <c r="M704" s="10">
        <v>33</v>
      </c>
      <c r="N704" s="30"/>
      <c r="O704" s="31"/>
      <c r="P704" s="47"/>
      <c r="Q704" s="31"/>
      <c r="R704" s="31"/>
      <c r="S704" s="32">
        <f t="shared" si="210"/>
        <v>0</v>
      </c>
      <c r="T704" s="10"/>
      <c r="U704" s="10"/>
      <c r="V704" s="10"/>
      <c r="W704" s="12">
        <f t="shared" si="211"/>
        <v>0</v>
      </c>
      <c r="Y704" s="10">
        <v>33</v>
      </c>
      <c r="Z704" s="30"/>
      <c r="AA704" s="31"/>
      <c r="AB704" s="47"/>
      <c r="AC704" s="31"/>
      <c r="AD704" s="31"/>
      <c r="AE704" s="32">
        <f t="shared" si="205"/>
        <v>0</v>
      </c>
      <c r="AF704" s="10"/>
      <c r="AG704" s="10"/>
      <c r="AH704" s="10"/>
      <c r="AI704" s="12">
        <f t="shared" si="206"/>
        <v>0</v>
      </c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</row>
    <row r="705" spans="1:52" x14ac:dyDescent="0.25">
      <c r="A705" s="10"/>
      <c r="B705" s="30"/>
      <c r="C705" s="57"/>
      <c r="D705" s="32"/>
      <c r="E705" s="32"/>
      <c r="F705" s="32"/>
      <c r="G705" s="32">
        <f t="shared" ref="G705" si="212">SUM(D705:E705)</f>
        <v>0</v>
      </c>
      <c r="H705" s="10"/>
      <c r="I705" s="10"/>
      <c r="J705" s="10"/>
      <c r="K705" s="12">
        <f t="shared" si="202"/>
        <v>0</v>
      </c>
      <c r="M705" s="10">
        <v>34</v>
      </c>
      <c r="N705" s="30"/>
      <c r="O705" s="31"/>
      <c r="P705" s="47"/>
      <c r="Q705" s="31"/>
      <c r="R705" s="31"/>
      <c r="S705" s="32">
        <f t="shared" si="210"/>
        <v>0</v>
      </c>
      <c r="T705" s="10"/>
      <c r="U705" s="10"/>
      <c r="V705" s="10"/>
      <c r="W705" s="12">
        <f t="shared" si="211"/>
        <v>0</v>
      </c>
      <c r="Y705" s="10">
        <v>34</v>
      </c>
      <c r="Z705" s="30"/>
      <c r="AB705" s="47"/>
      <c r="AC705" s="31"/>
      <c r="AD705" s="31"/>
      <c r="AE705" s="32">
        <f t="shared" si="205"/>
        <v>0</v>
      </c>
      <c r="AF705" s="10"/>
      <c r="AG705" s="10"/>
      <c r="AH705" s="10"/>
      <c r="AI705" s="12">
        <f t="shared" si="206"/>
        <v>0</v>
      </c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</row>
    <row r="706" spans="1:52" x14ac:dyDescent="0.25">
      <c r="A706" s="10"/>
      <c r="B706" s="30"/>
      <c r="C706" s="31"/>
      <c r="D706" s="32"/>
      <c r="E706" s="32"/>
      <c r="F706" s="32"/>
      <c r="G706" s="32"/>
      <c r="H706" s="10"/>
      <c r="I706" s="10"/>
      <c r="J706" s="10"/>
      <c r="K706" s="12"/>
      <c r="M706" s="10">
        <v>35</v>
      </c>
      <c r="N706" s="30"/>
      <c r="O706" s="31"/>
      <c r="P706" s="47"/>
      <c r="Q706" s="31"/>
      <c r="R706" s="31"/>
      <c r="S706" s="32">
        <f t="shared" si="210"/>
        <v>0</v>
      </c>
      <c r="T706" s="10"/>
      <c r="U706" s="10"/>
      <c r="V706" s="10"/>
      <c r="W706" s="12">
        <f t="shared" si="211"/>
        <v>0</v>
      </c>
      <c r="Y706" s="10">
        <v>35</v>
      </c>
      <c r="Z706" s="30"/>
      <c r="AA706" s="31"/>
      <c r="AB706" s="47"/>
      <c r="AC706" s="31"/>
      <c r="AD706" s="31"/>
      <c r="AE706" s="32">
        <f t="shared" si="205"/>
        <v>0</v>
      </c>
      <c r="AF706" s="10"/>
      <c r="AG706" s="10"/>
      <c r="AH706" s="10"/>
      <c r="AI706" s="12">
        <f t="shared" si="206"/>
        <v>0</v>
      </c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</row>
    <row r="707" spans="1:52" x14ac:dyDescent="0.25">
      <c r="A707" s="10"/>
      <c r="B707" s="30"/>
      <c r="C707" s="31"/>
      <c r="D707" s="32"/>
      <c r="E707" s="32"/>
      <c r="F707" s="32"/>
      <c r="G707" s="32"/>
      <c r="H707" s="10"/>
      <c r="I707" s="10"/>
      <c r="J707" s="10"/>
      <c r="K707" s="12"/>
      <c r="M707" s="10">
        <v>36</v>
      </c>
      <c r="N707" s="30"/>
      <c r="O707" s="31"/>
      <c r="P707" s="47"/>
      <c r="Q707" s="31"/>
      <c r="R707" s="31"/>
      <c r="S707" s="32">
        <f t="shared" si="210"/>
        <v>0</v>
      </c>
      <c r="T707" s="10"/>
      <c r="U707" s="10"/>
      <c r="V707" s="10"/>
      <c r="W707" s="12">
        <f t="shared" si="211"/>
        <v>0</v>
      </c>
      <c r="Y707" s="10">
        <v>36</v>
      </c>
      <c r="Z707" s="30"/>
      <c r="AA707" s="31"/>
      <c r="AB707" s="47"/>
      <c r="AC707" s="31"/>
      <c r="AD707" s="31"/>
      <c r="AE707" s="32">
        <f t="shared" si="205"/>
        <v>0</v>
      </c>
      <c r="AF707" s="10"/>
      <c r="AG707" s="10"/>
      <c r="AH707" s="10"/>
      <c r="AI707" s="12">
        <f t="shared" si="206"/>
        <v>0</v>
      </c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</row>
    <row r="708" spans="1:52" x14ac:dyDescent="0.25">
      <c r="A708" s="10"/>
      <c r="B708" s="30"/>
      <c r="C708" s="31"/>
      <c r="D708" s="32"/>
      <c r="E708" s="32"/>
      <c r="F708" s="32"/>
      <c r="G708" s="32"/>
      <c r="H708" s="10"/>
      <c r="I708" s="10"/>
      <c r="J708" s="10"/>
      <c r="K708" s="12"/>
      <c r="M708" s="10">
        <v>37</v>
      </c>
      <c r="N708" s="30"/>
      <c r="P708" s="47"/>
      <c r="Q708" s="31"/>
      <c r="R708" s="31"/>
      <c r="S708" s="32">
        <f t="shared" si="210"/>
        <v>0</v>
      </c>
      <c r="T708" s="10"/>
      <c r="U708" s="10"/>
      <c r="V708" s="10"/>
      <c r="W708" s="12">
        <f t="shared" si="211"/>
        <v>0</v>
      </c>
      <c r="Y708" s="10">
        <v>37</v>
      </c>
      <c r="Z708" s="30"/>
      <c r="AA708" s="31"/>
      <c r="AB708" s="47"/>
      <c r="AC708" s="31"/>
      <c r="AD708" s="31"/>
      <c r="AE708" s="32">
        <f t="shared" si="205"/>
        <v>0</v>
      </c>
      <c r="AF708" s="10"/>
      <c r="AG708" s="10"/>
      <c r="AH708" s="10"/>
      <c r="AI708" s="12">
        <f t="shared" si="206"/>
        <v>0</v>
      </c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</row>
    <row r="709" spans="1:52" x14ac:dyDescent="0.25">
      <c r="A709" s="10"/>
      <c r="B709" s="30"/>
      <c r="C709" s="31"/>
      <c r="D709" s="32"/>
      <c r="E709" s="32"/>
      <c r="F709" s="32"/>
      <c r="G709" s="32"/>
      <c r="H709" s="10"/>
      <c r="I709" s="10"/>
      <c r="J709" s="10"/>
      <c r="K709" s="12"/>
      <c r="M709" s="10">
        <v>38</v>
      </c>
      <c r="N709" s="30"/>
      <c r="O709" s="31"/>
      <c r="P709" s="47"/>
      <c r="Q709" s="31"/>
      <c r="R709" s="31"/>
      <c r="S709" s="32">
        <f t="shared" si="210"/>
        <v>0</v>
      </c>
      <c r="T709" s="10"/>
      <c r="U709" s="10"/>
      <c r="V709" s="10"/>
      <c r="W709" s="12">
        <f t="shared" si="211"/>
        <v>0</v>
      </c>
      <c r="Y709" s="10">
        <v>38</v>
      </c>
      <c r="Z709" s="30"/>
      <c r="AA709" s="31"/>
      <c r="AB709" s="47"/>
      <c r="AC709" s="31"/>
      <c r="AD709" s="31"/>
      <c r="AE709" s="32">
        <f t="shared" si="205"/>
        <v>0</v>
      </c>
      <c r="AF709" s="10"/>
      <c r="AG709" s="10"/>
      <c r="AH709" s="10"/>
      <c r="AI709" s="12">
        <f t="shared" si="206"/>
        <v>0</v>
      </c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</row>
    <row r="710" spans="1:52" x14ac:dyDescent="0.25">
      <c r="A710" s="10"/>
      <c r="B710" s="30"/>
      <c r="C710" s="57"/>
      <c r="D710" s="32"/>
      <c r="E710" s="32"/>
      <c r="F710" s="32"/>
      <c r="G710" s="32"/>
      <c r="H710" s="10"/>
      <c r="I710" s="10"/>
      <c r="J710" s="10"/>
      <c r="K710" s="12"/>
      <c r="M710" s="10">
        <v>39</v>
      </c>
      <c r="N710" s="30"/>
      <c r="O710" s="31"/>
      <c r="P710" s="47"/>
      <c r="Q710" s="31"/>
      <c r="R710" s="31"/>
      <c r="S710" s="32">
        <f t="shared" si="210"/>
        <v>0</v>
      </c>
      <c r="T710" s="10"/>
      <c r="U710" s="10"/>
      <c r="V710" s="10"/>
      <c r="W710" s="12">
        <f t="shared" si="211"/>
        <v>0</v>
      </c>
      <c r="Y710" s="10">
        <v>39</v>
      </c>
      <c r="Z710" s="30"/>
      <c r="AA710" s="31"/>
      <c r="AB710" s="47"/>
      <c r="AC710" s="31"/>
      <c r="AD710" s="31"/>
      <c r="AE710" s="32">
        <f t="shared" si="205"/>
        <v>0</v>
      </c>
      <c r="AF710" s="10"/>
      <c r="AG710" s="10"/>
      <c r="AH710" s="10"/>
      <c r="AI710" s="12">
        <f t="shared" si="206"/>
        <v>0</v>
      </c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</row>
    <row r="711" spans="1:52" x14ac:dyDescent="0.25">
      <c r="A711" s="10"/>
      <c r="B711" s="30"/>
      <c r="C711" s="31"/>
      <c r="D711" s="32"/>
      <c r="E711" s="32"/>
      <c r="F711" s="32"/>
      <c r="G711" s="32"/>
      <c r="H711" s="10"/>
      <c r="I711" s="10"/>
      <c r="J711" s="10"/>
      <c r="K711" s="12"/>
      <c r="M711" s="10"/>
      <c r="N711" s="30"/>
      <c r="P711" s="47"/>
      <c r="Q711" s="31"/>
      <c r="R711" s="31"/>
      <c r="S711" s="32"/>
      <c r="T711" s="10"/>
      <c r="U711" s="10"/>
      <c r="V711" s="10"/>
      <c r="W711" s="12">
        <f t="shared" si="211"/>
        <v>0</v>
      </c>
      <c r="Y711" s="10"/>
      <c r="Z711" s="30"/>
      <c r="AB711" s="47"/>
      <c r="AC711" s="31"/>
      <c r="AD711" s="31"/>
      <c r="AE711" s="32"/>
      <c r="AF711" s="10"/>
      <c r="AG711" s="10"/>
      <c r="AH711" s="10"/>
      <c r="AI711" s="12">
        <f t="shared" si="206"/>
        <v>0</v>
      </c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</row>
    <row r="712" spans="1:52" x14ac:dyDescent="0.25">
      <c r="A712" s="10"/>
      <c r="B712" s="30"/>
      <c r="C712" s="31"/>
      <c r="D712" s="32"/>
      <c r="E712" s="32"/>
      <c r="F712" s="32"/>
      <c r="G712" s="32">
        <f t="shared" ref="G712" si="213">SUM(D712:E712)</f>
        <v>0</v>
      </c>
      <c r="H712" s="10"/>
      <c r="I712" s="10"/>
      <c r="J712" s="10"/>
      <c r="K712" s="12">
        <f t="shared" ref="K712" si="214">SUM(G712:J712)</f>
        <v>0</v>
      </c>
      <c r="M712" s="10"/>
      <c r="N712" s="30"/>
      <c r="O712" s="31"/>
      <c r="P712" s="47"/>
      <c r="Q712" s="31"/>
      <c r="R712" s="31"/>
      <c r="S712" s="32">
        <f t="shared" ref="S712" si="215">SUM(P712:Q712)</f>
        <v>0</v>
      </c>
      <c r="T712" s="10"/>
      <c r="U712" s="10"/>
      <c r="V712" s="10"/>
      <c r="W712" s="12">
        <f t="shared" si="211"/>
        <v>0</v>
      </c>
      <c r="Y712" s="10"/>
      <c r="Z712" s="30"/>
      <c r="AA712" s="31"/>
      <c r="AB712" s="47"/>
      <c r="AC712" s="31"/>
      <c r="AD712" s="31"/>
      <c r="AE712" s="32">
        <f t="shared" ref="AE712" si="216">SUM(AB712:AC712)</f>
        <v>0</v>
      </c>
      <c r="AF712" s="10"/>
      <c r="AG712" s="10"/>
      <c r="AH712" s="10"/>
      <c r="AI712" s="12">
        <f t="shared" si="206"/>
        <v>0</v>
      </c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</row>
    <row r="713" spans="1:52" x14ac:dyDescent="0.25">
      <c r="A713" s="10"/>
      <c r="B713" s="30"/>
      <c r="C713" s="30"/>
      <c r="D713" s="32"/>
      <c r="E713" s="32"/>
      <c r="F713" s="32"/>
      <c r="G713" s="32"/>
      <c r="H713" s="10"/>
      <c r="I713" s="10"/>
      <c r="J713" s="10"/>
      <c r="K713" s="12"/>
      <c r="M713" s="10"/>
      <c r="N713" s="31"/>
      <c r="O713" s="31"/>
      <c r="P713" s="31"/>
      <c r="Q713" s="31"/>
      <c r="R713" s="31"/>
      <c r="S713" s="31"/>
      <c r="T713" s="10"/>
      <c r="U713" s="10"/>
      <c r="V713" s="10"/>
      <c r="W713" s="12">
        <f t="shared" si="211"/>
        <v>0</v>
      </c>
      <c r="Y713" s="10"/>
      <c r="Z713" s="31"/>
      <c r="AA713" s="31"/>
      <c r="AB713" s="31"/>
      <c r="AC713" s="31"/>
      <c r="AD713" s="31"/>
      <c r="AE713" s="31"/>
      <c r="AF713" s="10"/>
      <c r="AG713" s="10"/>
      <c r="AH713" s="10"/>
      <c r="AI713" s="12">
        <f t="shared" si="206"/>
        <v>0</v>
      </c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</row>
    <row r="714" spans="1:52" x14ac:dyDescent="0.25">
      <c r="B714" s="57"/>
      <c r="C714" s="57"/>
      <c r="D714" s="36"/>
      <c r="E714" s="36"/>
      <c r="F714" s="36"/>
      <c r="G714" s="36"/>
      <c r="H714" s="37"/>
      <c r="I714" s="37"/>
      <c r="J714" s="37"/>
      <c r="K714" s="37"/>
      <c r="N714" s="57"/>
      <c r="O714" s="57"/>
      <c r="P714" s="36"/>
      <c r="Q714" s="36"/>
      <c r="R714" s="36"/>
      <c r="S714" s="36"/>
      <c r="T714" s="37"/>
      <c r="U714" s="37"/>
      <c r="V714" s="37"/>
      <c r="W714" s="37"/>
      <c r="Z714" s="57"/>
      <c r="AA714" s="57"/>
      <c r="AB714" s="36"/>
      <c r="AC714" s="36"/>
      <c r="AD714" s="36"/>
      <c r="AE714" s="36"/>
      <c r="AF714" s="37"/>
      <c r="AG714" s="37"/>
      <c r="AH714" s="37"/>
      <c r="AI714" s="37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</row>
    <row r="715" spans="1:52" x14ac:dyDescent="0.25">
      <c r="B715" s="57"/>
      <c r="C715" s="57"/>
      <c r="D715" s="38">
        <f>SUM(D672:D714)</f>
        <v>160985</v>
      </c>
      <c r="E715" s="38">
        <f t="shared" ref="E715:F715" si="217">SUM(E672:E712)</f>
        <v>-1120</v>
      </c>
      <c r="F715" s="38">
        <f t="shared" si="217"/>
        <v>0</v>
      </c>
      <c r="G715" s="38">
        <f>SUM(G672:G714)</f>
        <v>159865</v>
      </c>
      <c r="H715" s="4"/>
      <c r="I715" s="39">
        <f>SUM(I672:I714)</f>
        <v>224</v>
      </c>
      <c r="J715" s="39">
        <f>SUM(J672:J714)</f>
        <v>0</v>
      </c>
      <c r="K715" s="40">
        <f>SUM(K672:K714)</f>
        <v>160089</v>
      </c>
      <c r="N715" s="57"/>
      <c r="O715" s="57"/>
      <c r="P715" s="38">
        <f>SUM(P672:P714)</f>
        <v>206729.5</v>
      </c>
      <c r="Q715" s="38">
        <f>SUM(Q672:Q696)</f>
        <v>-2367</v>
      </c>
      <c r="R715" s="38">
        <f>SUM(R672:R696)</f>
        <v>0</v>
      </c>
      <c r="S715" s="38">
        <f>SUM(S672:S714)</f>
        <v>204362.5</v>
      </c>
      <c r="T715" s="4"/>
      <c r="U715" s="41">
        <f>SUM(U672:U714)</f>
        <v>38</v>
      </c>
      <c r="V715" s="41">
        <f>SUM(V672:V696)</f>
        <v>-35520</v>
      </c>
      <c r="W715" s="42">
        <f>SUM(W672:W714)</f>
        <v>168880.5</v>
      </c>
      <c r="Z715" s="57"/>
      <c r="AA715" s="57"/>
      <c r="AB715" s="38">
        <f>SUM(AB672:AB714)</f>
        <v>158868</v>
      </c>
      <c r="AC715" s="38">
        <f>SUM(AC672:AC696)</f>
        <v>-1338</v>
      </c>
      <c r="AD715" s="38">
        <f>SUM(AD672:AD696)</f>
        <v>0</v>
      </c>
      <c r="AE715" s="38">
        <f>SUM(AE672:AE714)</f>
        <v>157530</v>
      </c>
      <c r="AF715" s="4"/>
      <c r="AG715" s="41">
        <f>SUM(AG672:AG714)</f>
        <v>203</v>
      </c>
      <c r="AH715" s="41">
        <f>SUM(AH672:AH696)</f>
        <v>0</v>
      </c>
      <c r="AI715" s="42">
        <f>SUM(AI672:AI714)</f>
        <v>157733</v>
      </c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</row>
    <row r="716" spans="1:52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</row>
    <row r="717" spans="1:52" x14ac:dyDescent="0.25">
      <c r="A717" s="62"/>
      <c r="B717" s="86"/>
      <c r="C717" s="86"/>
      <c r="D717" s="86"/>
      <c r="E717" s="86"/>
      <c r="F717" s="86"/>
      <c r="G717" s="86"/>
      <c r="H717" s="62"/>
      <c r="I717" s="62"/>
      <c r="J717" s="62"/>
      <c r="K717" s="62"/>
      <c r="M717" t="s">
        <v>0</v>
      </c>
      <c r="N717" s="57"/>
      <c r="O717" s="57"/>
      <c r="P717" s="57"/>
      <c r="Q717" s="57"/>
      <c r="R717" s="57"/>
      <c r="S717" s="57"/>
      <c r="Y717" s="62"/>
      <c r="Z717" s="86"/>
      <c r="AA717" s="86"/>
      <c r="AB717" s="86"/>
      <c r="AC717" s="86"/>
      <c r="AD717" s="86"/>
      <c r="AE717" s="86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</row>
    <row r="718" spans="1:52" x14ac:dyDescent="0.25">
      <c r="A718" s="62"/>
      <c r="B718" s="86"/>
      <c r="C718" s="86"/>
      <c r="D718" s="86"/>
      <c r="E718" s="86"/>
      <c r="F718" s="86"/>
      <c r="G718" s="86"/>
      <c r="H718" s="62"/>
      <c r="I718" s="62"/>
      <c r="J718" s="62"/>
      <c r="K718" s="62"/>
      <c r="M718" t="s">
        <v>29</v>
      </c>
      <c r="N718" s="57"/>
      <c r="O718" s="57"/>
      <c r="P718" s="57"/>
      <c r="Q718" s="57"/>
      <c r="R718" s="57"/>
      <c r="S718" s="57"/>
      <c r="Y718" s="62"/>
      <c r="Z718" s="86"/>
      <c r="AA718" s="86"/>
      <c r="AB718" s="86"/>
      <c r="AC718" s="86"/>
      <c r="AD718" s="86"/>
      <c r="AE718" s="86"/>
      <c r="AF718" s="62"/>
      <c r="AG718" s="62"/>
      <c r="AH718" s="62"/>
      <c r="AI718" s="62"/>
      <c r="AJ718" s="62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</row>
    <row r="719" spans="1:52" x14ac:dyDescent="0.25">
      <c r="A719" s="62"/>
      <c r="B719" s="86"/>
      <c r="C719" s="86"/>
      <c r="D719" s="86"/>
      <c r="E719" s="86"/>
      <c r="F719" s="86"/>
      <c r="G719" s="86"/>
      <c r="H719" s="62"/>
      <c r="I719" s="62"/>
      <c r="J719" s="62"/>
      <c r="K719" s="62"/>
      <c r="N719" s="57"/>
      <c r="O719" s="57"/>
      <c r="P719" s="57"/>
      <c r="Q719" s="57"/>
      <c r="R719" s="57"/>
      <c r="S719" s="57"/>
      <c r="Y719" s="62"/>
      <c r="Z719" s="86"/>
      <c r="AA719" s="86"/>
      <c r="AB719" s="86"/>
      <c r="AC719" s="86"/>
      <c r="AD719" s="86"/>
      <c r="AE719" s="86"/>
      <c r="AF719" s="62"/>
      <c r="AG719" s="62"/>
      <c r="AH719" s="62"/>
      <c r="AI719" s="62"/>
      <c r="AJ719" s="62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</row>
    <row r="720" spans="1:52" x14ac:dyDescent="0.25">
      <c r="A720" s="64"/>
      <c r="B720" s="86"/>
      <c r="C720" s="86"/>
      <c r="D720" s="86"/>
      <c r="E720" s="86"/>
      <c r="F720" s="86"/>
      <c r="G720" s="86"/>
      <c r="H720" s="62"/>
      <c r="I720" s="62"/>
      <c r="J720" s="62"/>
      <c r="K720" s="62"/>
      <c r="M720" s="4" t="s">
        <v>15</v>
      </c>
      <c r="N720" s="57"/>
      <c r="O720" s="57"/>
      <c r="P720" s="57"/>
      <c r="Q720" s="57"/>
      <c r="R720" s="57"/>
      <c r="S720" s="57"/>
      <c r="Y720" s="64"/>
      <c r="Z720" s="86"/>
      <c r="AA720" s="86"/>
      <c r="AB720" s="86"/>
      <c r="AC720" s="86"/>
      <c r="AD720" s="86"/>
      <c r="AE720" s="86"/>
      <c r="AF720" s="62"/>
      <c r="AG720" s="62"/>
      <c r="AH720" s="62"/>
      <c r="AI720" s="62"/>
      <c r="AJ720" s="62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</row>
    <row r="721" spans="1:52" x14ac:dyDescent="0.25">
      <c r="A721" s="62"/>
      <c r="B721" s="86"/>
      <c r="C721" s="86"/>
      <c r="D721" s="86"/>
      <c r="E721" s="86"/>
      <c r="F721" s="86"/>
      <c r="G721" s="86"/>
      <c r="H721" s="62"/>
      <c r="I721" s="62"/>
      <c r="J721" s="62"/>
      <c r="K721" s="62"/>
      <c r="N721" s="57"/>
      <c r="O721" s="57"/>
      <c r="P721" s="57"/>
      <c r="Q721" s="57"/>
      <c r="R721" s="57"/>
      <c r="S721" s="57"/>
      <c r="Y721" s="62"/>
      <c r="Z721" s="86"/>
      <c r="AA721" s="86"/>
      <c r="AB721" s="86"/>
      <c r="AC721" s="86"/>
      <c r="AD721" s="86"/>
      <c r="AE721" s="86"/>
      <c r="AF721" s="62"/>
      <c r="AG721" s="62"/>
      <c r="AH721" s="62"/>
      <c r="AI721" s="62"/>
      <c r="AJ721" s="62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</row>
    <row r="722" spans="1:52" ht="15.75" x14ac:dyDescent="0.25">
      <c r="A722" s="62"/>
      <c r="B722" s="86"/>
      <c r="C722" s="86"/>
      <c r="D722" s="86"/>
      <c r="E722" s="86"/>
      <c r="F722" s="86"/>
      <c r="G722" s="86"/>
      <c r="H722" s="62"/>
      <c r="I722" s="86"/>
      <c r="J722" s="77"/>
      <c r="K722" s="62"/>
      <c r="M722" t="s">
        <v>47</v>
      </c>
      <c r="N722" s="57"/>
      <c r="O722" s="57"/>
      <c r="P722" s="57"/>
      <c r="Q722" s="57"/>
      <c r="R722" s="57"/>
      <c r="S722" s="57"/>
      <c r="U722" s="57" t="s">
        <v>16</v>
      </c>
      <c r="V722" s="19">
        <v>2</v>
      </c>
      <c r="Y722" s="62"/>
      <c r="Z722" s="86"/>
      <c r="AA722" s="86"/>
      <c r="AB722" s="86"/>
      <c r="AC722" s="86"/>
      <c r="AD722" s="86"/>
      <c r="AE722" s="86"/>
      <c r="AF722" s="62"/>
      <c r="AG722" s="86"/>
      <c r="AH722" s="86"/>
      <c r="AI722" s="62"/>
      <c r="AJ722" s="62"/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</row>
    <row r="723" spans="1:52" x14ac:dyDescent="0.25">
      <c r="A723" s="65"/>
      <c r="B723" s="86"/>
      <c r="C723" s="86"/>
      <c r="D723" s="86"/>
      <c r="E723" s="86"/>
      <c r="F723" s="86"/>
      <c r="G723" s="86"/>
      <c r="H723" s="62"/>
      <c r="I723" s="66"/>
      <c r="J723" s="66"/>
      <c r="K723" s="62"/>
      <c r="M723" s="21" t="s">
        <v>75</v>
      </c>
      <c r="N723" s="20"/>
      <c r="O723" s="57"/>
      <c r="P723" s="57"/>
      <c r="Q723" s="57"/>
      <c r="R723" s="57"/>
      <c r="S723" s="57"/>
      <c r="U723" s="22" t="s">
        <v>17</v>
      </c>
      <c r="V723" s="23" t="s">
        <v>34</v>
      </c>
      <c r="W723" s="24"/>
      <c r="Y723" s="65"/>
      <c r="Z723" s="86"/>
      <c r="AA723" s="86"/>
      <c r="AB723" s="86"/>
      <c r="AC723" s="86"/>
      <c r="AD723" s="86"/>
      <c r="AE723" s="86"/>
      <c r="AF723" s="62"/>
      <c r="AG723" s="66"/>
      <c r="AH723" s="66"/>
      <c r="AI723" s="62"/>
      <c r="AJ723" s="62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</row>
    <row r="724" spans="1:52" x14ac:dyDescent="0.25">
      <c r="A724" s="62"/>
      <c r="B724" s="86"/>
      <c r="C724" s="86"/>
      <c r="D724" s="86"/>
      <c r="E724" s="86"/>
      <c r="F724" s="86"/>
      <c r="G724" s="86"/>
      <c r="H724" s="62"/>
      <c r="I724" s="62"/>
      <c r="J724" s="62"/>
      <c r="K724" s="62"/>
      <c r="N724" s="57"/>
      <c r="O724" s="57"/>
      <c r="P724" s="57"/>
      <c r="Q724" s="57"/>
      <c r="R724" s="57"/>
      <c r="S724" s="57"/>
      <c r="Y724" s="62"/>
      <c r="Z724" s="86"/>
      <c r="AA724" s="86"/>
      <c r="AB724" s="86"/>
      <c r="AC724" s="86"/>
      <c r="AD724" s="86"/>
      <c r="AE724" s="86"/>
      <c r="AF724" s="62"/>
      <c r="AG724" s="62"/>
      <c r="AH724" s="62"/>
      <c r="AI724" s="62"/>
      <c r="AJ724" s="62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</row>
    <row r="725" spans="1:52" x14ac:dyDescent="0.25">
      <c r="A725" s="62"/>
      <c r="B725" s="66"/>
      <c r="C725" s="86"/>
      <c r="D725" s="116"/>
      <c r="E725" s="116"/>
      <c r="F725" s="86"/>
      <c r="G725" s="86"/>
      <c r="H725" s="62"/>
      <c r="I725" s="116"/>
      <c r="J725" s="116"/>
      <c r="K725" s="115"/>
      <c r="N725" s="25"/>
      <c r="O725" s="26"/>
      <c r="P725" s="121" t="s">
        <v>18</v>
      </c>
      <c r="Q725" s="121"/>
      <c r="R725" s="110"/>
      <c r="S725" s="27"/>
      <c r="U725" s="119" t="s">
        <v>19</v>
      </c>
      <c r="V725" s="120"/>
      <c r="W725" s="117" t="s">
        <v>20</v>
      </c>
      <c r="Y725" s="62"/>
      <c r="Z725" s="66"/>
      <c r="AA725" s="86"/>
      <c r="AB725" s="116"/>
      <c r="AC725" s="116"/>
      <c r="AD725" s="86"/>
      <c r="AE725" s="86"/>
      <c r="AF725" s="62"/>
      <c r="AG725" s="116"/>
      <c r="AH725" s="116"/>
      <c r="AI725" s="115"/>
      <c r="AJ725" s="62"/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</row>
    <row r="726" spans="1:52" ht="30" x14ac:dyDescent="0.25">
      <c r="A726" s="62"/>
      <c r="B726" s="86"/>
      <c r="C726" s="86"/>
      <c r="D726" s="87"/>
      <c r="E726" s="88"/>
      <c r="F726" s="89"/>
      <c r="G726" s="89"/>
      <c r="H726" s="62"/>
      <c r="I726" s="85"/>
      <c r="J726" s="85"/>
      <c r="K726" s="115"/>
      <c r="N726" s="28" t="s">
        <v>21</v>
      </c>
      <c r="O726" s="28" t="s">
        <v>22</v>
      </c>
      <c r="P726" s="83" t="s">
        <v>23</v>
      </c>
      <c r="Q726" s="84" t="s">
        <v>24</v>
      </c>
      <c r="R726" s="84" t="s">
        <v>36</v>
      </c>
      <c r="S726" s="84" t="s">
        <v>25</v>
      </c>
      <c r="U726" s="29" t="s">
        <v>26</v>
      </c>
      <c r="V726" s="29" t="s">
        <v>27</v>
      </c>
      <c r="W726" s="118"/>
      <c r="Y726" s="62"/>
      <c r="Z726" s="86"/>
      <c r="AA726" s="86"/>
      <c r="AB726" s="87"/>
      <c r="AC726" s="88"/>
      <c r="AD726" s="89"/>
      <c r="AE726" s="89"/>
      <c r="AF726" s="62"/>
      <c r="AG726" s="85"/>
      <c r="AH726" s="85"/>
      <c r="AI726" s="115"/>
      <c r="AJ726" s="6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</row>
    <row r="727" spans="1:52" x14ac:dyDescent="0.25">
      <c r="A727" s="62"/>
      <c r="B727" s="68"/>
      <c r="C727" s="86"/>
      <c r="D727" s="60"/>
      <c r="E727" s="60"/>
      <c r="F727" s="60"/>
      <c r="G727" s="60"/>
      <c r="H727" s="61"/>
      <c r="I727" s="61"/>
      <c r="J727" s="61"/>
      <c r="K727" s="61"/>
      <c r="M727" s="10">
        <v>1</v>
      </c>
      <c r="N727" s="30" t="s">
        <v>76</v>
      </c>
      <c r="O727" s="31">
        <v>5251</v>
      </c>
      <c r="P727" s="32">
        <f>1878+28.5</f>
        <v>1906.5</v>
      </c>
      <c r="Q727" s="32"/>
      <c r="R727" s="32"/>
      <c r="S727" s="32">
        <f>SUM(P727:Q727)</f>
        <v>1906.5</v>
      </c>
      <c r="T727" s="12"/>
      <c r="U727" s="12"/>
      <c r="V727" s="12"/>
      <c r="W727" s="12">
        <f>SUM(S727:V727)</f>
        <v>1906.5</v>
      </c>
      <c r="Y727" s="62"/>
      <c r="Z727" s="86"/>
      <c r="AA727" s="86"/>
      <c r="AB727" s="60"/>
      <c r="AC727" s="60"/>
      <c r="AD727" s="60"/>
      <c r="AE727" s="60"/>
      <c r="AF727" s="61"/>
      <c r="AG727" s="61"/>
      <c r="AH727" s="61"/>
      <c r="AI727" s="61"/>
      <c r="AJ727" s="62"/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</row>
    <row r="728" spans="1:52" x14ac:dyDescent="0.25">
      <c r="A728" s="62"/>
      <c r="B728" s="68"/>
      <c r="C728" s="86"/>
      <c r="D728" s="60"/>
      <c r="E728" s="60"/>
      <c r="F728" s="60"/>
      <c r="G728" s="60"/>
      <c r="H728" s="61"/>
      <c r="I728" s="61"/>
      <c r="J728" s="61"/>
      <c r="K728" s="61"/>
      <c r="M728" s="10">
        <v>2</v>
      </c>
      <c r="N728" s="30" t="s">
        <v>76</v>
      </c>
      <c r="O728" s="31">
        <f>O727+1</f>
        <v>5252</v>
      </c>
      <c r="P728" s="32">
        <f>626*6+1228+1192+76</f>
        <v>6252</v>
      </c>
      <c r="Q728" s="32"/>
      <c r="R728" s="32"/>
      <c r="S728" s="32">
        <f t="shared" ref="S728:S754" si="218">SUM(P728:Q728)</f>
        <v>6252</v>
      </c>
      <c r="T728" s="12"/>
      <c r="U728" s="12"/>
      <c r="V728" s="12"/>
      <c r="W728" s="12">
        <f t="shared" ref="W728:W754" si="219">SUM(S728:V728)</f>
        <v>6252</v>
      </c>
      <c r="Y728" s="62"/>
      <c r="Z728" s="86"/>
      <c r="AA728" s="86"/>
      <c r="AB728" s="60"/>
      <c r="AC728" s="60"/>
      <c r="AD728" s="60"/>
      <c r="AE728" s="60"/>
      <c r="AF728" s="61"/>
      <c r="AG728" s="61"/>
      <c r="AH728" s="61"/>
      <c r="AI728" s="61"/>
      <c r="AJ728" s="62"/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</row>
    <row r="729" spans="1:52" x14ac:dyDescent="0.25">
      <c r="A729" s="62"/>
      <c r="B729" s="68"/>
      <c r="C729" s="86"/>
      <c r="D729" s="60"/>
      <c r="E729" s="60"/>
      <c r="F729" s="60"/>
      <c r="G729" s="60"/>
      <c r="H729" s="61"/>
      <c r="I729" s="61"/>
      <c r="J729" s="61"/>
      <c r="K729" s="61"/>
      <c r="M729" s="10">
        <v>3</v>
      </c>
      <c r="N729" s="30" t="s">
        <v>76</v>
      </c>
      <c r="O729" s="31">
        <f t="shared" ref="O729:O756" si="220">O728+1</f>
        <v>5253</v>
      </c>
      <c r="P729" s="32">
        <f>6260+2384+133</f>
        <v>8777</v>
      </c>
      <c r="Q729" s="32"/>
      <c r="R729" s="32"/>
      <c r="S729" s="32">
        <f t="shared" si="218"/>
        <v>8777</v>
      </c>
      <c r="T729" s="12"/>
      <c r="U729" s="12"/>
      <c r="V729" s="12"/>
      <c r="W729" s="12">
        <f t="shared" si="219"/>
        <v>8777</v>
      </c>
      <c r="Y729" s="62"/>
      <c r="Z729" s="86"/>
      <c r="AA729" s="86"/>
      <c r="AB729" s="60"/>
      <c r="AC729" s="60"/>
      <c r="AD729" s="60"/>
      <c r="AE729" s="60"/>
      <c r="AF729" s="61"/>
      <c r="AG729" s="61"/>
      <c r="AH729" s="61"/>
      <c r="AI729" s="61"/>
      <c r="AJ729" s="62"/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</row>
    <row r="730" spans="1:52" x14ac:dyDescent="0.25">
      <c r="A730" s="62"/>
      <c r="B730" s="68"/>
      <c r="C730" s="86"/>
      <c r="D730" s="60"/>
      <c r="E730" s="60"/>
      <c r="F730" s="60"/>
      <c r="G730" s="60"/>
      <c r="H730" s="61"/>
      <c r="I730" s="61"/>
      <c r="J730" s="61"/>
      <c r="K730" s="61"/>
      <c r="M730" s="10">
        <v>4</v>
      </c>
      <c r="N730" s="30" t="s">
        <v>76</v>
      </c>
      <c r="O730" s="31">
        <f t="shared" si="220"/>
        <v>5254</v>
      </c>
      <c r="P730" s="32">
        <f>3130+596+57</f>
        <v>3783</v>
      </c>
      <c r="Q730" s="32"/>
      <c r="R730" s="32"/>
      <c r="S730" s="32">
        <f t="shared" si="218"/>
        <v>3783</v>
      </c>
      <c r="T730" s="12"/>
      <c r="U730" s="12"/>
      <c r="V730" s="12"/>
      <c r="W730" s="12">
        <f t="shared" si="219"/>
        <v>3783</v>
      </c>
      <c r="Y730" s="62"/>
      <c r="Z730" s="86"/>
      <c r="AA730" s="86"/>
      <c r="AB730" s="60"/>
      <c r="AC730" s="60"/>
      <c r="AD730" s="60"/>
      <c r="AE730" s="60"/>
      <c r="AF730" s="61"/>
      <c r="AG730" s="61"/>
      <c r="AH730" s="61"/>
      <c r="AI730" s="61"/>
      <c r="AJ730" s="62"/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</row>
    <row r="731" spans="1:52" x14ac:dyDescent="0.25">
      <c r="A731" s="62"/>
      <c r="B731" s="68"/>
      <c r="C731" s="86"/>
      <c r="D731" s="60"/>
      <c r="E731" s="60"/>
      <c r="F731" s="60"/>
      <c r="G731" s="60"/>
      <c r="H731" s="61"/>
      <c r="I731" s="61"/>
      <c r="J731" s="61"/>
      <c r="K731" s="61"/>
      <c r="M731" s="10">
        <v>5</v>
      </c>
      <c r="N731" s="30" t="s">
        <v>76</v>
      </c>
      <c r="O731" s="31">
        <f t="shared" si="220"/>
        <v>5255</v>
      </c>
      <c r="P731" s="32">
        <f>8138+1192+123.5</f>
        <v>9453.5</v>
      </c>
      <c r="Q731" s="32"/>
      <c r="R731" s="32"/>
      <c r="S731" s="32">
        <f t="shared" si="218"/>
        <v>9453.5</v>
      </c>
      <c r="T731" s="12"/>
      <c r="U731" s="12">
        <f>111*10+9+23</f>
        <v>1142</v>
      </c>
      <c r="V731" s="12"/>
      <c r="W731" s="12">
        <f t="shared" si="219"/>
        <v>10595.5</v>
      </c>
      <c r="Y731" s="62"/>
      <c r="Z731" s="86"/>
      <c r="AA731" s="86"/>
      <c r="AB731" s="60"/>
      <c r="AC731" s="60"/>
      <c r="AD731" s="60"/>
      <c r="AE731" s="60"/>
      <c r="AF731" s="61"/>
      <c r="AG731" s="61"/>
      <c r="AH731" s="61"/>
      <c r="AI731" s="61"/>
      <c r="AJ731" s="62"/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</row>
    <row r="732" spans="1:52" x14ac:dyDescent="0.25">
      <c r="A732" s="62"/>
      <c r="B732" s="68"/>
      <c r="C732" s="86"/>
      <c r="D732" s="60"/>
      <c r="E732" s="60"/>
      <c r="F732" s="60"/>
      <c r="G732" s="60"/>
      <c r="H732" s="61"/>
      <c r="I732" s="61"/>
      <c r="J732" s="61"/>
      <c r="K732" s="61"/>
      <c r="M732" s="10">
        <v>6</v>
      </c>
      <c r="N732" s="30" t="s">
        <v>76</v>
      </c>
      <c r="O732" s="31">
        <f t="shared" si="220"/>
        <v>5256</v>
      </c>
      <c r="P732" s="32">
        <f>3756+57</f>
        <v>3813</v>
      </c>
      <c r="Q732" s="32"/>
      <c r="R732" s="32"/>
      <c r="S732" s="32">
        <f t="shared" si="218"/>
        <v>3813</v>
      </c>
      <c r="T732" s="12"/>
      <c r="U732" s="12"/>
      <c r="V732" s="10"/>
      <c r="W732" s="12">
        <f t="shared" si="219"/>
        <v>3813</v>
      </c>
      <c r="Y732" s="62"/>
      <c r="Z732" s="86"/>
      <c r="AA732" s="86"/>
      <c r="AB732" s="60"/>
      <c r="AC732" s="60"/>
      <c r="AD732" s="60"/>
      <c r="AE732" s="60"/>
      <c r="AF732" s="61"/>
      <c r="AG732" s="61"/>
      <c r="AH732" s="61"/>
      <c r="AI732" s="61"/>
      <c r="AJ732" s="62"/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</row>
    <row r="733" spans="1:52" x14ac:dyDescent="0.25">
      <c r="A733" s="62"/>
      <c r="B733" s="68"/>
      <c r="C733" s="86"/>
      <c r="D733" s="60"/>
      <c r="E733" s="60"/>
      <c r="F733" s="60"/>
      <c r="G733" s="60"/>
      <c r="H733" s="61"/>
      <c r="I733" s="61"/>
      <c r="J733" s="61"/>
      <c r="K733" s="61"/>
      <c r="M733" s="10">
        <v>7</v>
      </c>
      <c r="N733" s="30" t="s">
        <v>76</v>
      </c>
      <c r="O733" s="31">
        <f t="shared" si="220"/>
        <v>5257</v>
      </c>
      <c r="P733" s="32">
        <f>3130+614+47.5</f>
        <v>3791.5</v>
      </c>
      <c r="Q733" s="32"/>
      <c r="R733" s="32"/>
      <c r="S733" s="32">
        <f t="shared" si="218"/>
        <v>3791.5</v>
      </c>
      <c r="T733" s="12"/>
      <c r="U733" s="12"/>
      <c r="V733" s="12"/>
      <c r="W733" s="12">
        <f t="shared" si="219"/>
        <v>3791.5</v>
      </c>
      <c r="Y733" s="62"/>
      <c r="Z733" s="86"/>
      <c r="AA733" s="86"/>
      <c r="AB733" s="60"/>
      <c r="AC733" s="60"/>
      <c r="AD733" s="60"/>
      <c r="AE733" s="60"/>
      <c r="AF733" s="61"/>
      <c r="AG733" s="61"/>
      <c r="AH733" s="61"/>
      <c r="AI733" s="61"/>
      <c r="AJ733" s="62"/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</row>
    <row r="734" spans="1:52" x14ac:dyDescent="0.25">
      <c r="A734" s="62"/>
      <c r="B734" s="68"/>
      <c r="C734" s="86"/>
      <c r="D734" s="60"/>
      <c r="E734" s="60"/>
      <c r="F734" s="60"/>
      <c r="G734" s="60"/>
      <c r="H734" s="61"/>
      <c r="I734" s="61"/>
      <c r="J734" s="61"/>
      <c r="K734" s="61"/>
      <c r="M734" s="10">
        <v>8</v>
      </c>
      <c r="N734" s="30" t="s">
        <v>76</v>
      </c>
      <c r="O734" s="31">
        <f t="shared" si="220"/>
        <v>5258</v>
      </c>
      <c r="P734" s="32">
        <f>3130+614+2384+85.5</f>
        <v>6213.5</v>
      </c>
      <c r="Q734" s="32"/>
      <c r="R734" s="32"/>
      <c r="S734" s="32">
        <f t="shared" si="218"/>
        <v>6213.5</v>
      </c>
      <c r="T734" s="12"/>
      <c r="U734" s="12"/>
      <c r="V734" s="12"/>
      <c r="W734" s="12">
        <f t="shared" si="219"/>
        <v>6213.5</v>
      </c>
      <c r="Y734" s="62"/>
      <c r="Z734" s="86"/>
      <c r="AA734" s="86"/>
      <c r="AB734" s="60"/>
      <c r="AC734" s="60"/>
      <c r="AD734" s="60"/>
      <c r="AE734" s="60"/>
      <c r="AF734" s="61"/>
      <c r="AG734" s="61"/>
      <c r="AH734" s="61"/>
      <c r="AI734" s="61"/>
      <c r="AJ734" s="62"/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</row>
    <row r="735" spans="1:52" x14ac:dyDescent="0.25">
      <c r="A735" s="62"/>
      <c r="B735" s="68"/>
      <c r="C735" s="86"/>
      <c r="D735" s="60"/>
      <c r="E735" s="60"/>
      <c r="F735" s="60"/>
      <c r="G735" s="60"/>
      <c r="H735" s="61"/>
      <c r="I735" s="61"/>
      <c r="J735" s="61"/>
      <c r="K735" s="61"/>
      <c r="M735" s="10">
        <v>9</v>
      </c>
      <c r="N735" s="30" t="s">
        <v>76</v>
      </c>
      <c r="O735" s="31">
        <f t="shared" si="220"/>
        <v>5259</v>
      </c>
      <c r="P735" s="32">
        <f>1252+1228+596+28.5</f>
        <v>3104.5</v>
      </c>
      <c r="Q735" s="32"/>
      <c r="R735" s="32"/>
      <c r="S735" s="32">
        <f t="shared" si="218"/>
        <v>3104.5</v>
      </c>
      <c r="T735" s="12"/>
      <c r="U735" s="12">
        <v>41</v>
      </c>
      <c r="V735" s="12"/>
      <c r="W735" s="12">
        <f t="shared" si="219"/>
        <v>3145.5</v>
      </c>
      <c r="Y735" s="62"/>
      <c r="Z735" s="86"/>
      <c r="AA735" s="86"/>
      <c r="AB735" s="60"/>
      <c r="AC735" s="60"/>
      <c r="AD735" s="60"/>
      <c r="AE735" s="60"/>
      <c r="AF735" s="61"/>
      <c r="AG735" s="61"/>
      <c r="AH735" s="61"/>
      <c r="AI735" s="61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</row>
    <row r="736" spans="1:52" x14ac:dyDescent="0.25">
      <c r="A736" s="62"/>
      <c r="B736" s="68"/>
      <c r="C736" s="66"/>
      <c r="D736" s="60"/>
      <c r="E736" s="60"/>
      <c r="F736" s="60"/>
      <c r="G736" s="60"/>
      <c r="H736" s="61"/>
      <c r="I736" s="61"/>
      <c r="J736" s="61"/>
      <c r="K736" s="61"/>
      <c r="M736" s="10">
        <v>10</v>
      </c>
      <c r="N736" s="30" t="s">
        <v>76</v>
      </c>
      <c r="O736" s="31">
        <f t="shared" si="220"/>
        <v>5260</v>
      </c>
      <c r="P736" s="32">
        <f>2504+38</f>
        <v>2542</v>
      </c>
      <c r="Q736" s="32"/>
      <c r="R736" s="32"/>
      <c r="S736" s="32">
        <f t="shared" si="218"/>
        <v>2542</v>
      </c>
      <c r="T736" s="12"/>
      <c r="U736" s="12">
        <v>9</v>
      </c>
      <c r="V736" s="12"/>
      <c r="W736" s="12">
        <f t="shared" si="219"/>
        <v>2551</v>
      </c>
      <c r="Y736" s="62"/>
      <c r="Z736" s="86"/>
      <c r="AA736" s="66"/>
      <c r="AB736" s="60"/>
      <c r="AC736" s="60"/>
      <c r="AD736" s="60"/>
      <c r="AE736" s="60"/>
      <c r="AF736" s="61"/>
      <c r="AG736" s="61"/>
      <c r="AH736" s="61"/>
      <c r="AI736" s="61"/>
      <c r="AJ736" s="62"/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</row>
    <row r="737" spans="1:52" x14ac:dyDescent="0.25">
      <c r="A737" s="62"/>
      <c r="B737" s="68"/>
      <c r="C737" s="86"/>
      <c r="D737" s="60"/>
      <c r="E737" s="60"/>
      <c r="F737" s="60"/>
      <c r="G737" s="60"/>
      <c r="H737" s="61"/>
      <c r="I737" s="61"/>
      <c r="J737" s="61"/>
      <c r="K737" s="61"/>
      <c r="M737" s="10">
        <v>11</v>
      </c>
      <c r="N737" s="30" t="s">
        <v>76</v>
      </c>
      <c r="O737" s="31">
        <f t="shared" si="220"/>
        <v>5261</v>
      </c>
      <c r="P737" s="32">
        <f>626*11</f>
        <v>6886</v>
      </c>
      <c r="Q737" s="32"/>
      <c r="R737" s="32"/>
      <c r="S737" s="32">
        <f t="shared" si="218"/>
        <v>6886</v>
      </c>
      <c r="T737" s="12"/>
      <c r="U737" s="12"/>
      <c r="V737" s="12"/>
      <c r="W737" s="12">
        <f t="shared" si="219"/>
        <v>6886</v>
      </c>
      <c r="Y737" s="62"/>
      <c r="Z737" s="86"/>
      <c r="AA737" s="86"/>
      <c r="AB737" s="60"/>
      <c r="AC737" s="60"/>
      <c r="AD737" s="60"/>
      <c r="AE737" s="60"/>
      <c r="AF737" s="61"/>
      <c r="AG737" s="61"/>
      <c r="AH737" s="61"/>
      <c r="AI737" s="61"/>
      <c r="AJ737" s="62"/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</row>
    <row r="738" spans="1:52" x14ac:dyDescent="0.25">
      <c r="A738" s="62"/>
      <c r="B738" s="68"/>
      <c r="C738" s="86"/>
      <c r="D738" s="60"/>
      <c r="E738" s="60"/>
      <c r="F738" s="60"/>
      <c r="G738" s="60"/>
      <c r="H738" s="61"/>
      <c r="I738" s="61"/>
      <c r="J738" s="62"/>
      <c r="K738" s="61"/>
      <c r="M738" s="10">
        <v>12</v>
      </c>
      <c r="N738" s="30" t="s">
        <v>76</v>
      </c>
      <c r="O738" s="31">
        <f t="shared" si="220"/>
        <v>5262</v>
      </c>
      <c r="P738" s="32">
        <f>5008+596</f>
        <v>5604</v>
      </c>
      <c r="Q738" s="32"/>
      <c r="R738" s="32"/>
      <c r="S738" s="32">
        <f t="shared" si="218"/>
        <v>5604</v>
      </c>
      <c r="T738" s="12"/>
      <c r="U738" s="12"/>
      <c r="V738" s="12"/>
      <c r="W738" s="12">
        <f t="shared" si="219"/>
        <v>5604</v>
      </c>
      <c r="Y738" s="62"/>
      <c r="Z738" s="86"/>
      <c r="AA738" s="86"/>
      <c r="AB738" s="60"/>
      <c r="AC738" s="60"/>
      <c r="AD738" s="60"/>
      <c r="AE738" s="60"/>
      <c r="AF738" s="61"/>
      <c r="AG738" s="61"/>
      <c r="AH738" s="62"/>
      <c r="AI738" s="61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</row>
    <row r="739" spans="1:52" x14ac:dyDescent="0.25">
      <c r="A739" s="62"/>
      <c r="B739" s="68"/>
      <c r="C739" s="86"/>
      <c r="D739" s="60"/>
      <c r="E739" s="60"/>
      <c r="F739" s="60"/>
      <c r="G739" s="60"/>
      <c r="H739" s="61"/>
      <c r="I739" s="61"/>
      <c r="J739" s="61"/>
      <c r="K739" s="61"/>
      <c r="M739" s="10">
        <v>13</v>
      </c>
      <c r="N739" s="30" t="s">
        <v>76</v>
      </c>
      <c r="O739" s="31">
        <f t="shared" si="220"/>
        <v>5263</v>
      </c>
      <c r="P739" s="32">
        <f>1192+19</f>
        <v>1211</v>
      </c>
      <c r="Q739" s="32"/>
      <c r="R739" s="32"/>
      <c r="S739" s="32">
        <f t="shared" si="218"/>
        <v>1211</v>
      </c>
      <c r="T739" s="12"/>
      <c r="U739" s="12"/>
      <c r="V739" s="12"/>
      <c r="W739" s="12">
        <f t="shared" si="219"/>
        <v>1211</v>
      </c>
      <c r="Y739" s="62"/>
      <c r="Z739" s="86"/>
      <c r="AA739" s="86"/>
      <c r="AB739" s="60"/>
      <c r="AC739" s="60"/>
      <c r="AD739" s="60"/>
      <c r="AE739" s="60"/>
      <c r="AF739" s="61"/>
      <c r="AG739" s="61"/>
      <c r="AH739" s="61"/>
      <c r="AI739" s="61"/>
      <c r="AJ739" s="62"/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</row>
    <row r="740" spans="1:52" x14ac:dyDescent="0.25">
      <c r="A740" s="62"/>
      <c r="B740" s="68"/>
      <c r="C740" s="86"/>
      <c r="D740" s="60"/>
      <c r="E740" s="60"/>
      <c r="F740" s="60"/>
      <c r="G740" s="60"/>
      <c r="H740" s="61"/>
      <c r="I740" s="61"/>
      <c r="J740" s="61"/>
      <c r="K740" s="61"/>
      <c r="M740" s="10">
        <v>14</v>
      </c>
      <c r="N740" s="30" t="s">
        <v>76</v>
      </c>
      <c r="O740" s="31">
        <f t="shared" si="220"/>
        <v>5264</v>
      </c>
      <c r="P740" s="32">
        <f>2504+38</f>
        <v>2542</v>
      </c>
      <c r="Q740" s="32"/>
      <c r="R740" s="32"/>
      <c r="S740" s="32">
        <f t="shared" si="218"/>
        <v>2542</v>
      </c>
      <c r="T740" s="12"/>
      <c r="U740" s="12"/>
      <c r="V740" s="12"/>
      <c r="W740" s="12">
        <f t="shared" si="219"/>
        <v>2542</v>
      </c>
      <c r="Y740" s="62"/>
      <c r="Z740" s="86"/>
      <c r="AA740" s="86"/>
      <c r="AB740" s="60"/>
      <c r="AC740" s="60"/>
      <c r="AD740" s="60"/>
      <c r="AE740" s="60"/>
      <c r="AF740" s="61"/>
      <c r="AG740" s="61"/>
      <c r="AH740" s="61"/>
      <c r="AI740" s="61"/>
      <c r="AJ740" s="62"/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</row>
    <row r="741" spans="1:52" x14ac:dyDescent="0.25">
      <c r="A741" s="62"/>
      <c r="B741" s="68"/>
      <c r="C741" s="86"/>
      <c r="D741" s="60"/>
      <c r="E741" s="60"/>
      <c r="F741" s="60"/>
      <c r="G741" s="60"/>
      <c r="H741" s="61"/>
      <c r="I741" s="61"/>
      <c r="J741" s="61"/>
      <c r="K741" s="61"/>
      <c r="M741" s="10">
        <v>15</v>
      </c>
      <c r="N741" s="30" t="s">
        <v>76</v>
      </c>
      <c r="O741" s="31">
        <f t="shared" si="220"/>
        <v>5265</v>
      </c>
      <c r="P741" s="32">
        <f>3756+57</f>
        <v>3813</v>
      </c>
      <c r="R741" s="32"/>
      <c r="S741" s="32">
        <f t="shared" si="218"/>
        <v>3813</v>
      </c>
      <c r="T741" s="12"/>
      <c r="U741" s="12"/>
      <c r="W741" s="12">
        <f t="shared" si="219"/>
        <v>3813</v>
      </c>
      <c r="Y741" s="62"/>
      <c r="Z741" s="86"/>
      <c r="AA741" s="86"/>
      <c r="AB741" s="60"/>
      <c r="AC741" s="60"/>
      <c r="AD741" s="60"/>
      <c r="AE741" s="60"/>
      <c r="AF741" s="61"/>
      <c r="AG741" s="61"/>
      <c r="AH741" s="61"/>
      <c r="AI741" s="61"/>
      <c r="AJ741" s="62"/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</row>
    <row r="742" spans="1:52" x14ac:dyDescent="0.25">
      <c r="A742" s="62"/>
      <c r="B742" s="68"/>
      <c r="C742" s="86"/>
      <c r="D742" s="60"/>
      <c r="E742" s="60"/>
      <c r="F742" s="60"/>
      <c r="G742" s="60"/>
      <c r="H742" s="61"/>
      <c r="I742" s="61"/>
      <c r="J742" s="61"/>
      <c r="K742" s="61"/>
      <c r="M742" s="10">
        <v>16</v>
      </c>
      <c r="N742" s="30" t="s">
        <v>76</v>
      </c>
      <c r="O742" s="31">
        <f t="shared" si="220"/>
        <v>5266</v>
      </c>
      <c r="P742" s="32">
        <f>3130+47.5</f>
        <v>3177.5</v>
      </c>
      <c r="Q742" s="32"/>
      <c r="R742" s="32"/>
      <c r="S742" s="32">
        <f>SUM(P742:Q742)</f>
        <v>3177.5</v>
      </c>
      <c r="T742" s="12"/>
      <c r="U742" s="12"/>
      <c r="V742" s="12"/>
      <c r="W742" s="12">
        <f>SUM(S742:V742)</f>
        <v>3177.5</v>
      </c>
      <c r="Y742" s="62"/>
      <c r="Z742" s="86"/>
      <c r="AA742" s="86"/>
      <c r="AB742" s="60"/>
      <c r="AC742" s="60"/>
      <c r="AD742" s="60"/>
      <c r="AE742" s="60"/>
      <c r="AF742" s="61"/>
      <c r="AG742" s="61"/>
      <c r="AH742" s="61"/>
      <c r="AI742" s="61"/>
      <c r="AJ742" s="62"/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</row>
    <row r="743" spans="1:52" x14ac:dyDescent="0.25">
      <c r="A743" s="62"/>
      <c r="B743" s="68"/>
      <c r="C743" s="86"/>
      <c r="D743" s="60"/>
      <c r="E743" s="60"/>
      <c r="F743" s="60"/>
      <c r="G743" s="60"/>
      <c r="H743" s="61"/>
      <c r="I743" s="61"/>
      <c r="J743" s="61"/>
      <c r="K743" s="61"/>
      <c r="M743" s="10">
        <v>17</v>
      </c>
      <c r="N743" s="30" t="s">
        <v>76</v>
      </c>
      <c r="O743" s="31">
        <f t="shared" si="220"/>
        <v>5267</v>
      </c>
      <c r="P743" s="35">
        <f>106420+16092+1832+1950</f>
        <v>126294</v>
      </c>
      <c r="Q743" s="32">
        <v>-1872</v>
      </c>
      <c r="R743" s="32"/>
      <c r="S743" s="32">
        <f t="shared" ref="S743:S771" si="221">SUM(P743:Q743)</f>
        <v>124422</v>
      </c>
      <c r="T743" s="12"/>
      <c r="U743" s="12">
        <f>288</f>
        <v>288</v>
      </c>
      <c r="V743" s="12">
        <f>-4773</f>
        <v>-4773</v>
      </c>
      <c r="W743" s="12">
        <f t="shared" ref="W743:W771" si="222">SUM(S743:V743)</f>
        <v>119937</v>
      </c>
      <c r="Y743" s="62"/>
      <c r="Z743" s="86"/>
      <c r="AA743" s="86"/>
      <c r="AB743" s="60"/>
      <c r="AC743" s="60"/>
      <c r="AD743" s="60"/>
      <c r="AE743" s="60"/>
      <c r="AF743" s="61"/>
      <c r="AG743" s="61"/>
      <c r="AH743" s="61"/>
      <c r="AI743" s="61"/>
      <c r="AJ743" s="62"/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</row>
    <row r="744" spans="1:52" x14ac:dyDescent="0.25">
      <c r="A744" s="62"/>
      <c r="B744" s="68"/>
      <c r="C744" s="86"/>
      <c r="D744" s="60"/>
      <c r="E744" s="60"/>
      <c r="F744" s="60"/>
      <c r="G744" s="60"/>
      <c r="H744" s="61"/>
      <c r="I744" s="61"/>
      <c r="J744" s="61"/>
      <c r="K744" s="61"/>
      <c r="M744" s="10">
        <v>18</v>
      </c>
      <c r="N744" s="30"/>
      <c r="O744" s="11" t="s">
        <v>28</v>
      </c>
      <c r="P744" s="32"/>
      <c r="Q744" s="32"/>
      <c r="R744" s="32"/>
      <c r="S744" s="32">
        <f t="shared" si="221"/>
        <v>0</v>
      </c>
      <c r="T744" s="12"/>
      <c r="U744" s="12"/>
      <c r="V744" s="12"/>
      <c r="W744" s="12">
        <f t="shared" si="222"/>
        <v>0</v>
      </c>
      <c r="Y744" s="62"/>
      <c r="Z744" s="86"/>
      <c r="AA744" s="86"/>
      <c r="AB744" s="60"/>
      <c r="AC744" s="60"/>
      <c r="AD744" s="60"/>
      <c r="AE744" s="60"/>
      <c r="AF744" s="61"/>
      <c r="AG744" s="61"/>
      <c r="AH744" s="61"/>
      <c r="AI744" s="61"/>
      <c r="AJ744" s="62"/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</row>
    <row r="745" spans="1:52" x14ac:dyDescent="0.25">
      <c r="A745" s="62"/>
      <c r="B745" s="68"/>
      <c r="C745" s="86"/>
      <c r="D745" s="60"/>
      <c r="E745" s="60"/>
      <c r="F745" s="60"/>
      <c r="G745" s="60"/>
      <c r="H745" s="61"/>
      <c r="I745" s="61"/>
      <c r="J745" s="61"/>
      <c r="K745" s="61"/>
      <c r="M745" s="10">
        <v>19</v>
      </c>
      <c r="N745" s="30"/>
      <c r="O745" s="31"/>
      <c r="P745" s="32"/>
      <c r="Q745" s="32"/>
      <c r="R745" s="32"/>
      <c r="S745" s="32">
        <f t="shared" si="221"/>
        <v>0</v>
      </c>
      <c r="T745" s="12"/>
      <c r="U745" s="12"/>
      <c r="V745" s="12"/>
      <c r="W745" s="12">
        <f t="shared" si="222"/>
        <v>0</v>
      </c>
      <c r="Y745" s="62"/>
      <c r="Z745" s="86"/>
      <c r="AA745" s="86"/>
      <c r="AB745" s="60"/>
      <c r="AC745" s="60"/>
      <c r="AD745" s="60"/>
      <c r="AE745" s="60"/>
      <c r="AF745" s="61"/>
      <c r="AG745" s="61"/>
      <c r="AH745" s="61"/>
      <c r="AI745" s="61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</row>
    <row r="746" spans="1:52" x14ac:dyDescent="0.25">
      <c r="A746" s="62"/>
      <c r="B746" s="68"/>
      <c r="C746" s="86"/>
      <c r="D746" s="60"/>
      <c r="E746" s="60"/>
      <c r="F746" s="60"/>
      <c r="G746" s="60"/>
      <c r="H746" s="61"/>
      <c r="I746" s="61"/>
      <c r="J746" s="61"/>
      <c r="K746" s="61"/>
      <c r="M746" s="10">
        <v>20</v>
      </c>
      <c r="N746" s="30"/>
      <c r="O746" s="31"/>
      <c r="P746" s="32"/>
      <c r="Q746" s="32"/>
      <c r="R746" s="32"/>
      <c r="S746" s="32">
        <f t="shared" si="221"/>
        <v>0</v>
      </c>
      <c r="T746" s="12"/>
      <c r="U746" s="12"/>
      <c r="V746" s="12"/>
      <c r="W746" s="12">
        <f t="shared" si="222"/>
        <v>0</v>
      </c>
      <c r="Y746" s="62"/>
      <c r="Z746" s="86"/>
      <c r="AA746" s="86"/>
      <c r="AB746" s="60"/>
      <c r="AC746" s="60"/>
      <c r="AD746" s="60"/>
      <c r="AE746" s="60"/>
      <c r="AF746" s="61"/>
      <c r="AG746" s="61"/>
      <c r="AH746" s="61"/>
      <c r="AI746" s="61"/>
      <c r="AJ746" s="62"/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</row>
    <row r="747" spans="1:52" x14ac:dyDescent="0.25">
      <c r="A747" s="62"/>
      <c r="B747" s="68"/>
      <c r="C747" s="86"/>
      <c r="D747" s="60"/>
      <c r="E747" s="60"/>
      <c r="F747" s="60"/>
      <c r="G747" s="60"/>
      <c r="H747" s="62"/>
      <c r="I747" s="62"/>
      <c r="J747" s="62"/>
      <c r="K747" s="61"/>
      <c r="M747" s="10">
        <v>21</v>
      </c>
      <c r="N747" s="30"/>
      <c r="O747" s="31"/>
      <c r="P747" s="46"/>
      <c r="Q747" s="31"/>
      <c r="R747" s="31"/>
      <c r="S747" s="32">
        <f t="shared" si="221"/>
        <v>0</v>
      </c>
      <c r="T747" s="10"/>
      <c r="U747" s="10"/>
      <c r="V747" s="10"/>
      <c r="W747" s="12">
        <f t="shared" si="222"/>
        <v>0</v>
      </c>
      <c r="Y747" s="62"/>
      <c r="Z747" s="68"/>
      <c r="AA747" s="62"/>
      <c r="AB747" s="60"/>
      <c r="AC747" s="60"/>
      <c r="AD747" s="60"/>
      <c r="AE747" s="60"/>
      <c r="AF747" s="62"/>
      <c r="AG747" s="62"/>
      <c r="AH747" s="62"/>
      <c r="AI747" s="61"/>
      <c r="AJ747" s="62"/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</row>
    <row r="748" spans="1:52" x14ac:dyDescent="0.25">
      <c r="A748" s="62"/>
      <c r="B748" s="68"/>
      <c r="C748" s="86"/>
      <c r="D748" s="60"/>
      <c r="E748" s="60"/>
      <c r="F748" s="60"/>
      <c r="G748" s="60"/>
      <c r="H748" s="62"/>
      <c r="I748" s="62"/>
      <c r="J748" s="62"/>
      <c r="K748" s="61"/>
      <c r="M748" s="10">
        <v>22</v>
      </c>
      <c r="N748" s="30"/>
      <c r="O748" s="31"/>
      <c r="P748" s="45"/>
      <c r="Q748" s="31"/>
      <c r="R748" s="31"/>
      <c r="S748" s="32">
        <f t="shared" si="221"/>
        <v>0</v>
      </c>
      <c r="T748" s="10"/>
      <c r="U748" s="10"/>
      <c r="V748" s="10"/>
      <c r="W748" s="12">
        <f t="shared" si="222"/>
        <v>0</v>
      </c>
      <c r="Y748" s="62"/>
      <c r="Z748" s="68"/>
      <c r="AA748" s="86"/>
      <c r="AB748" s="60"/>
      <c r="AC748" s="60"/>
      <c r="AD748" s="60"/>
      <c r="AE748" s="60"/>
      <c r="AF748" s="62"/>
      <c r="AG748" s="62"/>
      <c r="AH748" s="62"/>
      <c r="AI748" s="61"/>
      <c r="AJ748" s="62"/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</row>
    <row r="749" spans="1:52" x14ac:dyDescent="0.25">
      <c r="A749" s="62"/>
      <c r="B749" s="68"/>
      <c r="C749" s="86"/>
      <c r="D749" s="60"/>
      <c r="E749" s="60"/>
      <c r="F749" s="60"/>
      <c r="G749" s="60"/>
      <c r="H749" s="62"/>
      <c r="I749" s="62"/>
      <c r="J749" s="61"/>
      <c r="K749" s="61"/>
      <c r="M749" s="10">
        <v>23</v>
      </c>
      <c r="N749" s="30"/>
      <c r="O749" s="31"/>
      <c r="P749" s="47"/>
      <c r="Q749" s="31"/>
      <c r="R749" s="31"/>
      <c r="S749" s="32">
        <f t="shared" si="221"/>
        <v>0</v>
      </c>
      <c r="T749" s="10"/>
      <c r="U749" s="10"/>
      <c r="V749" s="10"/>
      <c r="W749" s="12">
        <f t="shared" si="222"/>
        <v>0</v>
      </c>
      <c r="Y749" s="62"/>
      <c r="Z749" s="68"/>
      <c r="AA749" s="86"/>
      <c r="AB749" s="60"/>
      <c r="AC749" s="60"/>
      <c r="AD749" s="60"/>
      <c r="AE749" s="60"/>
      <c r="AF749" s="62"/>
      <c r="AG749" s="62"/>
      <c r="AH749" s="61"/>
      <c r="AI749" s="61"/>
      <c r="AJ749" s="62"/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</row>
    <row r="750" spans="1:52" x14ac:dyDescent="0.25">
      <c r="A750" s="62"/>
      <c r="B750" s="68"/>
      <c r="C750" s="86"/>
      <c r="D750" s="60"/>
      <c r="E750" s="60"/>
      <c r="F750" s="60"/>
      <c r="G750" s="60"/>
      <c r="H750" s="62"/>
      <c r="I750" s="62"/>
      <c r="J750" s="62"/>
      <c r="K750" s="61"/>
      <c r="M750" s="10">
        <v>24</v>
      </c>
      <c r="N750" s="30"/>
      <c r="O750" s="31"/>
      <c r="P750" s="47"/>
      <c r="Q750" s="31"/>
      <c r="R750" s="31"/>
      <c r="S750" s="32">
        <f t="shared" si="221"/>
        <v>0</v>
      </c>
      <c r="T750" s="10"/>
      <c r="U750" s="10"/>
      <c r="V750" s="10"/>
      <c r="W750" s="12">
        <f t="shared" si="222"/>
        <v>0</v>
      </c>
      <c r="Y750" s="62"/>
      <c r="Z750" s="68"/>
      <c r="AA750" s="86"/>
      <c r="AB750" s="60"/>
      <c r="AC750" s="60"/>
      <c r="AD750" s="60"/>
      <c r="AE750" s="60"/>
      <c r="AF750" s="62"/>
      <c r="AG750" s="62"/>
      <c r="AH750" s="62"/>
      <c r="AI750" s="61"/>
      <c r="AJ750" s="62"/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</row>
    <row r="751" spans="1:52" x14ac:dyDescent="0.25">
      <c r="A751" s="62"/>
      <c r="B751" s="68"/>
      <c r="C751" s="86"/>
      <c r="D751" s="60"/>
      <c r="E751" s="60"/>
      <c r="F751" s="60"/>
      <c r="G751" s="60"/>
      <c r="H751" s="62"/>
      <c r="I751" s="62"/>
      <c r="J751" s="62"/>
      <c r="K751" s="61"/>
      <c r="M751" s="10">
        <v>25</v>
      </c>
      <c r="N751" s="30"/>
      <c r="O751" s="31"/>
      <c r="P751" s="47"/>
      <c r="Q751" s="31"/>
      <c r="R751" s="31"/>
      <c r="S751" s="32">
        <f t="shared" si="221"/>
        <v>0</v>
      </c>
      <c r="T751" s="10"/>
      <c r="U751" s="10"/>
      <c r="V751" s="10"/>
      <c r="W751" s="12">
        <f t="shared" si="222"/>
        <v>0</v>
      </c>
      <c r="Y751" s="62"/>
      <c r="Z751" s="68"/>
      <c r="AA751" s="86"/>
      <c r="AB751" s="60"/>
      <c r="AC751" s="60"/>
      <c r="AD751" s="60"/>
      <c r="AE751" s="60"/>
      <c r="AF751" s="62"/>
      <c r="AG751" s="62"/>
      <c r="AH751" s="62"/>
      <c r="AI751" s="61"/>
      <c r="AJ751" s="62"/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</row>
    <row r="752" spans="1:52" x14ac:dyDescent="0.25">
      <c r="A752" s="62"/>
      <c r="B752" s="68"/>
      <c r="C752" s="86"/>
      <c r="D752" s="60"/>
      <c r="E752" s="60"/>
      <c r="F752" s="60"/>
      <c r="G752" s="60"/>
      <c r="H752" s="62"/>
      <c r="I752" s="62"/>
      <c r="J752" s="62"/>
      <c r="K752" s="61"/>
      <c r="M752" s="10">
        <v>26</v>
      </c>
      <c r="N752" s="30"/>
      <c r="O752" s="31"/>
      <c r="P752" s="47"/>
      <c r="Q752" s="31"/>
      <c r="R752" s="31"/>
      <c r="S752" s="32">
        <f t="shared" si="221"/>
        <v>0</v>
      </c>
      <c r="T752" s="10"/>
      <c r="U752" s="10"/>
      <c r="V752" s="10"/>
      <c r="W752" s="12">
        <f t="shared" si="222"/>
        <v>0</v>
      </c>
      <c r="Y752" s="62"/>
      <c r="Z752" s="68"/>
      <c r="AA752" s="86"/>
      <c r="AB752" s="60"/>
      <c r="AC752" s="60"/>
      <c r="AD752" s="60"/>
      <c r="AE752" s="60"/>
      <c r="AF752" s="62"/>
      <c r="AG752" s="62"/>
      <c r="AH752" s="62"/>
      <c r="AI752" s="61"/>
      <c r="AJ752" s="62"/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</row>
    <row r="753" spans="1:52" x14ac:dyDescent="0.25">
      <c r="A753" s="62"/>
      <c r="B753" s="68"/>
      <c r="C753" s="86"/>
      <c r="D753" s="60"/>
      <c r="E753" s="60"/>
      <c r="F753" s="60"/>
      <c r="G753" s="60"/>
      <c r="H753" s="62"/>
      <c r="I753" s="62"/>
      <c r="J753" s="62"/>
      <c r="K753" s="61"/>
      <c r="M753" s="10">
        <v>27</v>
      </c>
      <c r="N753" s="30"/>
      <c r="O753" s="31"/>
      <c r="P753" s="47"/>
      <c r="Q753" s="31"/>
      <c r="R753" s="31"/>
      <c r="S753" s="32">
        <f t="shared" si="221"/>
        <v>0</v>
      </c>
      <c r="T753" s="10"/>
      <c r="U753" s="10"/>
      <c r="V753" s="10"/>
      <c r="W753" s="12">
        <f t="shared" si="222"/>
        <v>0</v>
      </c>
      <c r="Y753" s="62"/>
      <c r="Z753" s="68"/>
      <c r="AA753" s="86"/>
      <c r="AB753" s="60"/>
      <c r="AC753" s="60"/>
      <c r="AD753" s="60"/>
      <c r="AE753" s="60"/>
      <c r="AF753" s="62"/>
      <c r="AG753" s="62"/>
      <c r="AH753" s="62"/>
      <c r="AI753" s="61"/>
      <c r="AJ753" s="62"/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</row>
    <row r="754" spans="1:52" x14ac:dyDescent="0.25">
      <c r="A754" s="62"/>
      <c r="B754" s="68"/>
      <c r="C754" s="86"/>
      <c r="D754" s="60"/>
      <c r="E754" s="60"/>
      <c r="F754" s="60"/>
      <c r="G754" s="60"/>
      <c r="H754" s="62"/>
      <c r="I754" s="62"/>
      <c r="J754" s="62"/>
      <c r="K754" s="61"/>
      <c r="M754" s="10">
        <v>28</v>
      </c>
      <c r="N754" s="30"/>
      <c r="O754" s="31"/>
      <c r="P754" s="47"/>
      <c r="Q754" s="31"/>
      <c r="R754" s="31"/>
      <c r="S754" s="32">
        <f t="shared" si="221"/>
        <v>0</v>
      </c>
      <c r="T754" s="10"/>
      <c r="U754" s="10"/>
      <c r="V754" s="10"/>
      <c r="W754" s="12">
        <f t="shared" si="222"/>
        <v>0</v>
      </c>
      <c r="Y754" s="62"/>
      <c r="Z754" s="68"/>
      <c r="AA754" s="86"/>
      <c r="AB754" s="60"/>
      <c r="AC754" s="60"/>
      <c r="AD754" s="60"/>
      <c r="AE754" s="60"/>
      <c r="AF754" s="62"/>
      <c r="AG754" s="62"/>
      <c r="AH754" s="62"/>
      <c r="AI754" s="61"/>
      <c r="AJ754" s="62"/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</row>
    <row r="755" spans="1:52" x14ac:dyDescent="0.25">
      <c r="A755" s="62"/>
      <c r="B755" s="68"/>
      <c r="C755" s="86"/>
      <c r="D755" s="60"/>
      <c r="E755" s="60"/>
      <c r="F755" s="60"/>
      <c r="G755" s="60"/>
      <c r="H755" s="62"/>
      <c r="I755" s="62"/>
      <c r="J755" s="62"/>
      <c r="K755" s="61"/>
      <c r="M755" s="10">
        <v>29</v>
      </c>
      <c r="N755" s="30"/>
      <c r="O755" s="31"/>
      <c r="P755" s="47"/>
      <c r="Q755" s="31"/>
      <c r="R755" s="31"/>
      <c r="S755" s="32">
        <f t="shared" si="221"/>
        <v>0</v>
      </c>
      <c r="T755" s="10"/>
      <c r="U755" s="10"/>
      <c r="V755" s="10"/>
      <c r="W755" s="12">
        <f t="shared" si="222"/>
        <v>0</v>
      </c>
      <c r="Y755" s="62"/>
      <c r="Z755" s="68"/>
      <c r="AA755" s="86"/>
      <c r="AB755" s="60"/>
      <c r="AC755" s="60"/>
      <c r="AD755" s="60"/>
      <c r="AE755" s="60"/>
      <c r="AF755" s="62"/>
      <c r="AG755" s="62"/>
      <c r="AH755" s="62"/>
      <c r="AI755" s="61"/>
      <c r="AJ755" s="62"/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</row>
    <row r="756" spans="1:52" x14ac:dyDescent="0.25">
      <c r="A756" s="62"/>
      <c r="B756" s="68"/>
      <c r="C756" s="86"/>
      <c r="D756" s="60"/>
      <c r="E756" s="60"/>
      <c r="F756" s="60"/>
      <c r="G756" s="60"/>
      <c r="H756" s="62"/>
      <c r="I756" s="62"/>
      <c r="J756" s="62"/>
      <c r="K756" s="61"/>
      <c r="M756" s="10">
        <v>30</v>
      </c>
      <c r="N756" s="30"/>
      <c r="O756" s="31"/>
      <c r="P756" s="47"/>
      <c r="Q756" s="31"/>
      <c r="R756" s="31"/>
      <c r="S756" s="32">
        <f t="shared" si="221"/>
        <v>0</v>
      </c>
      <c r="T756" s="10"/>
      <c r="U756" s="10"/>
      <c r="V756" s="10"/>
      <c r="W756" s="12">
        <f t="shared" si="222"/>
        <v>0</v>
      </c>
      <c r="Y756" s="62"/>
      <c r="Z756" s="68"/>
      <c r="AA756" s="62"/>
      <c r="AB756" s="60"/>
      <c r="AC756" s="60"/>
      <c r="AD756" s="60"/>
      <c r="AE756" s="60"/>
      <c r="AF756" s="62"/>
      <c r="AG756" s="62"/>
      <c r="AH756" s="62"/>
      <c r="AI756" s="61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</row>
    <row r="757" spans="1:52" x14ac:dyDescent="0.25">
      <c r="A757" s="62"/>
      <c r="B757" s="68"/>
      <c r="C757" s="86"/>
      <c r="D757" s="60"/>
      <c r="E757" s="60"/>
      <c r="F757" s="60"/>
      <c r="G757" s="60"/>
      <c r="H757" s="62"/>
      <c r="I757" s="62"/>
      <c r="J757" s="62"/>
      <c r="K757" s="61"/>
      <c r="M757" s="10">
        <v>31</v>
      </c>
      <c r="N757" s="30"/>
      <c r="P757" s="47"/>
      <c r="Q757" s="31"/>
      <c r="R757" s="31"/>
      <c r="S757" s="32">
        <f t="shared" si="221"/>
        <v>0</v>
      </c>
      <c r="T757" s="10"/>
      <c r="U757" s="10"/>
      <c r="V757" s="10"/>
      <c r="W757" s="12">
        <f t="shared" si="222"/>
        <v>0</v>
      </c>
      <c r="Y757" s="62"/>
      <c r="Z757" s="68"/>
      <c r="AA757" s="62"/>
      <c r="AB757" s="60"/>
      <c r="AC757" s="60"/>
      <c r="AD757" s="60"/>
      <c r="AE757" s="60"/>
      <c r="AF757" s="62"/>
      <c r="AG757" s="62"/>
      <c r="AH757" s="62"/>
      <c r="AI757" s="61"/>
      <c r="AJ757" s="62"/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</row>
    <row r="758" spans="1:52" x14ac:dyDescent="0.25">
      <c r="A758" s="62"/>
      <c r="B758" s="68"/>
      <c r="C758" s="86"/>
      <c r="D758" s="60"/>
      <c r="E758" s="60"/>
      <c r="F758" s="60"/>
      <c r="G758" s="60"/>
      <c r="H758" s="62"/>
      <c r="I758" s="62"/>
      <c r="J758" s="62"/>
      <c r="K758" s="61"/>
      <c r="M758" s="10">
        <v>32</v>
      </c>
      <c r="N758" s="30"/>
      <c r="O758" s="31"/>
      <c r="P758" s="47"/>
      <c r="Q758" s="31"/>
      <c r="R758" s="31"/>
      <c r="S758" s="32">
        <f t="shared" si="221"/>
        <v>0</v>
      </c>
      <c r="T758" s="10"/>
      <c r="U758" s="10"/>
      <c r="V758" s="10"/>
      <c r="W758" s="12">
        <f t="shared" si="222"/>
        <v>0</v>
      </c>
      <c r="Y758" s="62"/>
      <c r="Z758" s="68"/>
      <c r="AA758" s="86"/>
      <c r="AB758" s="60"/>
      <c r="AC758" s="60"/>
      <c r="AD758" s="60"/>
      <c r="AE758" s="60"/>
      <c r="AF758" s="62"/>
      <c r="AG758" s="62"/>
      <c r="AH758" s="62"/>
      <c r="AI758" s="61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</row>
    <row r="759" spans="1:52" x14ac:dyDescent="0.25">
      <c r="A759" s="62"/>
      <c r="B759" s="68"/>
      <c r="C759" s="86"/>
      <c r="D759" s="60"/>
      <c r="E759" s="60"/>
      <c r="F759" s="60"/>
      <c r="G759" s="60"/>
      <c r="H759" s="62"/>
      <c r="I759" s="62"/>
      <c r="J759" s="62"/>
      <c r="K759" s="61"/>
      <c r="M759" s="10">
        <v>33</v>
      </c>
      <c r="N759" s="30"/>
      <c r="O759" s="31"/>
      <c r="P759" s="47"/>
      <c r="Q759" s="31"/>
      <c r="R759" s="31"/>
      <c r="S759" s="32">
        <f t="shared" si="221"/>
        <v>0</v>
      </c>
      <c r="T759" s="10"/>
      <c r="U759" s="10"/>
      <c r="V759" s="10"/>
      <c r="W759" s="12">
        <f t="shared" si="222"/>
        <v>0</v>
      </c>
      <c r="Y759" s="62"/>
      <c r="Z759" s="68"/>
      <c r="AA759" s="86"/>
      <c r="AB759" s="60"/>
      <c r="AC759" s="60"/>
      <c r="AD759" s="60"/>
      <c r="AE759" s="60"/>
      <c r="AF759" s="62"/>
      <c r="AG759" s="62"/>
      <c r="AH759" s="62"/>
      <c r="AI759" s="61"/>
      <c r="AJ759" s="62"/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</row>
    <row r="760" spans="1:52" x14ac:dyDescent="0.25">
      <c r="A760" s="62"/>
      <c r="B760" s="68"/>
      <c r="C760" s="86"/>
      <c r="D760" s="60"/>
      <c r="E760" s="60"/>
      <c r="F760" s="60"/>
      <c r="G760" s="60"/>
      <c r="H760" s="62"/>
      <c r="I760" s="62"/>
      <c r="J760" s="62"/>
      <c r="K760" s="61"/>
      <c r="M760" s="10">
        <v>34</v>
      </c>
      <c r="N760" s="30"/>
      <c r="O760" s="31"/>
      <c r="P760" s="47"/>
      <c r="Q760" s="31"/>
      <c r="R760" s="31"/>
      <c r="S760" s="32">
        <f t="shared" si="221"/>
        <v>0</v>
      </c>
      <c r="T760" s="10"/>
      <c r="U760" s="10"/>
      <c r="V760" s="10"/>
      <c r="W760" s="12">
        <f t="shared" si="222"/>
        <v>0</v>
      </c>
      <c r="Y760" s="62"/>
      <c r="Z760" s="68"/>
      <c r="AA760" s="86"/>
      <c r="AB760" s="60"/>
      <c r="AC760" s="60"/>
      <c r="AD760" s="60"/>
      <c r="AE760" s="60"/>
      <c r="AF760" s="62"/>
      <c r="AG760" s="62"/>
      <c r="AH760" s="62"/>
      <c r="AI760" s="61"/>
      <c r="AJ760" s="62"/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</row>
    <row r="761" spans="1:52" x14ac:dyDescent="0.25">
      <c r="A761" s="62"/>
      <c r="B761" s="68"/>
      <c r="C761" s="86"/>
      <c r="D761" s="60"/>
      <c r="E761" s="60"/>
      <c r="F761" s="60"/>
      <c r="G761" s="60"/>
      <c r="H761" s="62"/>
      <c r="I761" s="62"/>
      <c r="J761" s="62"/>
      <c r="K761" s="61"/>
      <c r="M761" s="10">
        <v>35</v>
      </c>
      <c r="N761" s="30"/>
      <c r="O761" s="31"/>
      <c r="P761" s="47"/>
      <c r="Q761" s="31"/>
      <c r="R761" s="31"/>
      <c r="S761" s="32">
        <f t="shared" si="221"/>
        <v>0</v>
      </c>
      <c r="T761" s="10"/>
      <c r="U761" s="10"/>
      <c r="V761" s="10"/>
      <c r="W761" s="12">
        <f t="shared" si="222"/>
        <v>0</v>
      </c>
      <c r="Y761" s="62"/>
      <c r="Z761" s="68"/>
      <c r="AA761" s="86"/>
      <c r="AB761" s="60"/>
      <c r="AC761" s="60"/>
      <c r="AD761" s="60"/>
      <c r="AE761" s="60"/>
      <c r="AF761" s="62"/>
      <c r="AG761" s="62"/>
      <c r="AH761" s="62"/>
      <c r="AI761" s="61"/>
      <c r="AJ761" s="62"/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</row>
    <row r="762" spans="1:52" x14ac:dyDescent="0.25">
      <c r="A762" s="62"/>
      <c r="B762" s="68"/>
      <c r="C762" s="86"/>
      <c r="D762" s="60"/>
      <c r="E762" s="60"/>
      <c r="F762" s="60"/>
      <c r="G762" s="60"/>
      <c r="H762" s="62"/>
      <c r="I762" s="62"/>
      <c r="J762" s="62"/>
      <c r="K762" s="61"/>
      <c r="M762" s="10">
        <v>36</v>
      </c>
      <c r="N762" s="30"/>
      <c r="O762" s="31"/>
      <c r="P762" s="47"/>
      <c r="Q762" s="31"/>
      <c r="R762" s="31"/>
      <c r="S762" s="32">
        <f t="shared" si="221"/>
        <v>0</v>
      </c>
      <c r="T762" s="10"/>
      <c r="U762" s="10"/>
      <c r="V762" s="10"/>
      <c r="W762" s="12">
        <f t="shared" si="222"/>
        <v>0</v>
      </c>
      <c r="Y762" s="62"/>
      <c r="Z762" s="68"/>
      <c r="AA762" s="86"/>
      <c r="AB762" s="60"/>
      <c r="AC762" s="60"/>
      <c r="AD762" s="60"/>
      <c r="AE762" s="60"/>
      <c r="AF762" s="62"/>
      <c r="AG762" s="62"/>
      <c r="AH762" s="62"/>
      <c r="AI762" s="61"/>
      <c r="AJ762" s="62"/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</row>
    <row r="763" spans="1:52" x14ac:dyDescent="0.25">
      <c r="A763" s="62"/>
      <c r="B763" s="68"/>
      <c r="C763" s="86"/>
      <c r="D763" s="60"/>
      <c r="E763" s="60"/>
      <c r="F763" s="60"/>
      <c r="G763" s="60"/>
      <c r="H763" s="62"/>
      <c r="I763" s="62"/>
      <c r="J763" s="62"/>
      <c r="K763" s="61"/>
      <c r="M763" s="10">
        <v>37</v>
      </c>
      <c r="N763" s="30"/>
      <c r="P763" s="47"/>
      <c r="Q763" s="31"/>
      <c r="R763" s="31"/>
      <c r="S763" s="32">
        <f t="shared" si="221"/>
        <v>0</v>
      </c>
      <c r="T763" s="10"/>
      <c r="U763" s="10"/>
      <c r="V763" s="10"/>
      <c r="W763" s="12">
        <f t="shared" si="222"/>
        <v>0</v>
      </c>
      <c r="Y763" s="62"/>
      <c r="Z763" s="68"/>
      <c r="AA763" s="86"/>
      <c r="AB763" s="60"/>
      <c r="AC763" s="60"/>
      <c r="AD763" s="60"/>
      <c r="AE763" s="60"/>
      <c r="AF763" s="62"/>
      <c r="AG763" s="62"/>
      <c r="AH763" s="62"/>
      <c r="AI763" s="61"/>
      <c r="AJ763" s="62"/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</row>
    <row r="764" spans="1:52" x14ac:dyDescent="0.25">
      <c r="A764" s="62"/>
      <c r="B764" s="68"/>
      <c r="C764" s="86"/>
      <c r="D764" s="60"/>
      <c r="E764" s="60"/>
      <c r="F764" s="60"/>
      <c r="G764" s="60"/>
      <c r="H764" s="62"/>
      <c r="I764" s="62"/>
      <c r="J764" s="62"/>
      <c r="K764" s="61"/>
      <c r="M764" s="10">
        <v>38</v>
      </c>
      <c r="N764" s="30"/>
      <c r="O764" s="31"/>
      <c r="P764" s="47"/>
      <c r="Q764" s="31"/>
      <c r="R764" s="31"/>
      <c r="S764" s="32">
        <f t="shared" si="221"/>
        <v>0</v>
      </c>
      <c r="T764" s="10"/>
      <c r="U764" s="10"/>
      <c r="V764" s="10"/>
      <c r="W764" s="12">
        <f t="shared" si="222"/>
        <v>0</v>
      </c>
      <c r="Y764" s="62"/>
      <c r="Z764" s="68"/>
      <c r="AA764" s="86"/>
      <c r="AB764" s="60"/>
      <c r="AC764" s="60"/>
      <c r="AD764" s="60"/>
      <c r="AE764" s="60"/>
      <c r="AF764" s="62"/>
      <c r="AG764" s="62"/>
      <c r="AH764" s="62"/>
      <c r="AI764" s="61"/>
      <c r="AJ764" s="62"/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</row>
    <row r="765" spans="1:52" x14ac:dyDescent="0.25">
      <c r="A765" s="62"/>
      <c r="B765" s="68"/>
      <c r="C765" s="86"/>
      <c r="D765" s="60"/>
      <c r="E765" s="60"/>
      <c r="F765" s="60"/>
      <c r="G765" s="60"/>
      <c r="H765" s="62"/>
      <c r="I765" s="62"/>
      <c r="J765" s="62"/>
      <c r="K765" s="61"/>
      <c r="M765" s="10">
        <v>39</v>
      </c>
      <c r="N765" s="30"/>
      <c r="O765" s="31"/>
      <c r="P765" s="47"/>
      <c r="Q765" s="31"/>
      <c r="R765" s="31"/>
      <c r="S765" s="32">
        <f t="shared" si="221"/>
        <v>0</v>
      </c>
      <c r="T765" s="10"/>
      <c r="U765" s="10"/>
      <c r="V765" s="10"/>
      <c r="W765" s="12">
        <f t="shared" si="222"/>
        <v>0</v>
      </c>
      <c r="Y765" s="62"/>
      <c r="Z765" s="68"/>
      <c r="AA765" s="86"/>
      <c r="AB765" s="60"/>
      <c r="AC765" s="60"/>
      <c r="AD765" s="60"/>
      <c r="AE765" s="60"/>
      <c r="AF765" s="62"/>
      <c r="AG765" s="62"/>
      <c r="AH765" s="62"/>
      <c r="AI765" s="61"/>
      <c r="AJ765" s="62"/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</row>
    <row r="766" spans="1:52" x14ac:dyDescent="0.25">
      <c r="A766" s="62"/>
      <c r="B766" s="68"/>
      <c r="C766" s="86"/>
      <c r="D766" s="60"/>
      <c r="E766" s="60"/>
      <c r="F766" s="60"/>
      <c r="G766" s="60"/>
      <c r="H766" s="62"/>
      <c r="I766" s="62"/>
      <c r="J766" s="62"/>
      <c r="K766" s="61"/>
      <c r="M766" s="10"/>
      <c r="N766" s="30"/>
      <c r="P766" s="47"/>
      <c r="Q766" s="31"/>
      <c r="R766" s="31"/>
      <c r="S766" s="32"/>
      <c r="T766" s="10"/>
      <c r="U766" s="10"/>
      <c r="V766" s="10"/>
      <c r="W766" s="12">
        <f t="shared" si="222"/>
        <v>0</v>
      </c>
      <c r="Y766" s="62"/>
      <c r="Z766" s="68"/>
      <c r="AA766" s="86"/>
      <c r="AB766" s="60"/>
      <c r="AC766" s="60"/>
      <c r="AD766" s="60"/>
      <c r="AE766" s="60"/>
      <c r="AF766" s="62"/>
      <c r="AG766" s="62"/>
      <c r="AH766" s="62"/>
      <c r="AI766" s="61"/>
      <c r="AJ766" s="62"/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</row>
    <row r="767" spans="1:52" x14ac:dyDescent="0.25">
      <c r="A767" s="62"/>
      <c r="B767" s="68"/>
      <c r="C767" s="86"/>
      <c r="D767" s="60"/>
      <c r="E767" s="60"/>
      <c r="F767" s="60"/>
      <c r="G767" s="60"/>
      <c r="H767" s="62"/>
      <c r="I767" s="62"/>
      <c r="J767" s="62"/>
      <c r="K767" s="61"/>
      <c r="M767" s="10"/>
      <c r="N767" s="30"/>
      <c r="O767" s="31"/>
      <c r="P767" s="47"/>
      <c r="Q767" s="31"/>
      <c r="R767" s="31"/>
      <c r="S767" s="32">
        <f t="shared" ref="S767" si="223">SUM(P767:Q767)</f>
        <v>0</v>
      </c>
      <c r="T767" s="10"/>
      <c r="U767" s="10"/>
      <c r="V767" s="10"/>
      <c r="W767" s="12">
        <f t="shared" si="222"/>
        <v>0</v>
      </c>
      <c r="Y767" s="62"/>
      <c r="Z767" s="68"/>
      <c r="AA767" s="86"/>
      <c r="AB767" s="60"/>
      <c r="AC767" s="60"/>
      <c r="AD767" s="60"/>
      <c r="AE767" s="60"/>
      <c r="AF767" s="62"/>
      <c r="AG767" s="62"/>
      <c r="AH767" s="62"/>
      <c r="AI767" s="61"/>
      <c r="AJ767" s="62"/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</row>
    <row r="768" spans="1:52" x14ac:dyDescent="0.25">
      <c r="A768" s="62"/>
      <c r="B768" s="68"/>
      <c r="C768" s="68"/>
      <c r="D768" s="60"/>
      <c r="E768" s="60"/>
      <c r="F768" s="60"/>
      <c r="G768" s="60"/>
      <c r="H768" s="62"/>
      <c r="I768" s="62"/>
      <c r="J768" s="62"/>
      <c r="K768" s="61"/>
      <c r="M768" s="10"/>
      <c r="N768" s="31"/>
      <c r="O768" s="31"/>
      <c r="P768" s="31"/>
      <c r="Q768" s="31"/>
      <c r="R768" s="31"/>
      <c r="S768" s="31"/>
      <c r="T768" s="10"/>
      <c r="U768" s="10"/>
      <c r="V768" s="10"/>
      <c r="W768" s="12">
        <f t="shared" si="222"/>
        <v>0</v>
      </c>
      <c r="Y768" s="62"/>
      <c r="Z768" s="68"/>
      <c r="AA768" s="68"/>
      <c r="AB768" s="60"/>
      <c r="AC768" s="60"/>
      <c r="AD768" s="60"/>
      <c r="AE768" s="60"/>
      <c r="AF768" s="62"/>
      <c r="AG768" s="62"/>
      <c r="AH768" s="62"/>
      <c r="AI768" s="61"/>
      <c r="AJ768" s="62"/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</row>
    <row r="769" spans="1:52" x14ac:dyDescent="0.25">
      <c r="A769" s="62"/>
      <c r="B769" s="86"/>
      <c r="C769" s="86"/>
      <c r="D769" s="86"/>
      <c r="E769" s="86"/>
      <c r="F769" s="86"/>
      <c r="G769" s="86"/>
      <c r="H769" s="62"/>
      <c r="I769" s="62"/>
      <c r="J769" s="62"/>
      <c r="K769" s="62"/>
      <c r="N769" s="57"/>
      <c r="O769" s="57"/>
      <c r="P769" s="36"/>
      <c r="Q769" s="36"/>
      <c r="R769" s="36"/>
      <c r="S769" s="36"/>
      <c r="T769" s="37"/>
      <c r="U769" s="37"/>
      <c r="V769" s="37"/>
      <c r="W769" s="37"/>
      <c r="Y769" s="62"/>
      <c r="Z769" s="86"/>
      <c r="AA769" s="86"/>
      <c r="AB769" s="86"/>
      <c r="AC769" s="86"/>
      <c r="AD769" s="86"/>
      <c r="AE769" s="86"/>
      <c r="AF769" s="62"/>
      <c r="AG769" s="62"/>
      <c r="AH769" s="62"/>
      <c r="AI769" s="62"/>
      <c r="AJ769" s="62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</row>
    <row r="770" spans="1:52" x14ac:dyDescent="0.25">
      <c r="A770" s="62"/>
      <c r="B770" s="86"/>
      <c r="C770" s="86"/>
      <c r="D770" s="72"/>
      <c r="E770" s="72"/>
      <c r="F770" s="72"/>
      <c r="G770" s="72"/>
      <c r="H770" s="64"/>
      <c r="I770" s="72"/>
      <c r="J770" s="72"/>
      <c r="K770" s="72"/>
      <c r="N770" s="57"/>
      <c r="O770" s="57"/>
      <c r="P770" s="38">
        <f>SUM(P727:P769)</f>
        <v>199164</v>
      </c>
      <c r="Q770" s="38">
        <f>SUM(Q727:Q751)</f>
        <v>-1872</v>
      </c>
      <c r="R770" s="38">
        <f>SUM(R727:R751)</f>
        <v>0</v>
      </c>
      <c r="S770" s="38">
        <f>SUM(S727:S769)</f>
        <v>197292</v>
      </c>
      <c r="T770" s="4"/>
      <c r="U770" s="41">
        <f>SUM(U727:U769)</f>
        <v>1480</v>
      </c>
      <c r="V770" s="41">
        <f>SUM(V727:V751)</f>
        <v>-4773</v>
      </c>
      <c r="W770" s="42">
        <f>SUM(W727:W769)</f>
        <v>193999</v>
      </c>
      <c r="Y770" s="62"/>
      <c r="Z770" s="86"/>
      <c r="AA770" s="86"/>
      <c r="AB770" s="72"/>
      <c r="AC770" s="72"/>
      <c r="AD770" s="72"/>
      <c r="AE770" s="72"/>
      <c r="AF770" s="64"/>
      <c r="AG770" s="72"/>
      <c r="AH770" s="72"/>
      <c r="AI770" s="72"/>
      <c r="AJ770" s="62"/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</row>
    <row r="771" spans="1:52" x14ac:dyDescent="0.2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  <c r="AJ771" s="62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</row>
    <row r="772" spans="1:52" x14ac:dyDescent="0.25">
      <c r="A772" s="62"/>
      <c r="B772" s="86"/>
      <c r="C772" s="86"/>
      <c r="D772" s="86"/>
      <c r="E772" s="86"/>
      <c r="F772" s="86"/>
      <c r="G772" s="86"/>
      <c r="H772" s="62"/>
      <c r="I772" s="62"/>
      <c r="J772" s="62"/>
      <c r="K772" s="62"/>
      <c r="L772" s="62"/>
      <c r="M772" s="62"/>
      <c r="N772" s="86"/>
      <c r="O772" s="86"/>
      <c r="P772" s="86"/>
      <c r="Q772" s="86"/>
      <c r="R772" s="86"/>
      <c r="S772" s="86"/>
      <c r="T772" s="62"/>
      <c r="U772" s="62"/>
      <c r="V772" s="62"/>
      <c r="W772" s="62"/>
      <c r="X772" s="62"/>
      <c r="Y772" s="62"/>
      <c r="Z772" s="86"/>
      <c r="AA772" s="86"/>
      <c r="AB772" s="86"/>
      <c r="AC772" s="86"/>
      <c r="AD772" s="86"/>
      <c r="AE772" s="86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</row>
    <row r="773" spans="1:52" x14ac:dyDescent="0.25">
      <c r="A773" s="62"/>
      <c r="B773" s="86"/>
      <c r="C773" s="86"/>
      <c r="D773" s="86"/>
      <c r="E773" s="86"/>
      <c r="F773" s="86"/>
      <c r="G773" s="86"/>
      <c r="H773" s="62"/>
      <c r="I773" s="62"/>
      <c r="J773" s="62"/>
      <c r="K773" s="62"/>
      <c r="L773" s="62"/>
      <c r="M773" s="62"/>
      <c r="N773" s="86"/>
      <c r="O773" s="86"/>
      <c r="P773" s="86"/>
      <c r="Q773" s="86"/>
      <c r="R773" s="86"/>
      <c r="S773" s="86"/>
      <c r="T773" s="62"/>
      <c r="U773" s="62"/>
      <c r="V773" s="62"/>
      <c r="W773" s="62"/>
      <c r="X773" s="62"/>
      <c r="Y773" s="62"/>
      <c r="Z773" s="86"/>
      <c r="AA773" s="86"/>
      <c r="AB773" s="86"/>
      <c r="AC773" s="86"/>
      <c r="AD773" s="86"/>
      <c r="AE773" s="86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</row>
    <row r="774" spans="1:52" x14ac:dyDescent="0.25">
      <c r="A774" s="62"/>
      <c r="B774" s="86"/>
      <c r="C774" s="86"/>
      <c r="D774" s="86"/>
      <c r="E774" s="86"/>
      <c r="F774" s="86"/>
      <c r="G774" s="86"/>
      <c r="H774" s="62"/>
      <c r="I774" s="62"/>
      <c r="J774" s="62"/>
      <c r="K774" s="62"/>
      <c r="L774" s="62"/>
      <c r="M774" s="62"/>
      <c r="N774" s="86"/>
      <c r="O774" s="86"/>
      <c r="P774" s="86"/>
      <c r="Q774" s="86"/>
      <c r="R774" s="86"/>
      <c r="S774" s="86"/>
      <c r="T774" s="62"/>
      <c r="U774" s="62"/>
      <c r="V774" s="62"/>
      <c r="W774" s="62"/>
      <c r="X774" s="62"/>
      <c r="Y774" s="62"/>
      <c r="Z774" s="86"/>
      <c r="AA774" s="86"/>
      <c r="AB774" s="86"/>
      <c r="AC774" s="86"/>
      <c r="AD774" s="86"/>
      <c r="AE774" s="86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</row>
    <row r="775" spans="1:52" x14ac:dyDescent="0.25">
      <c r="A775" s="64"/>
      <c r="B775" s="86"/>
      <c r="C775" s="86"/>
      <c r="D775" s="86"/>
      <c r="E775" s="86"/>
      <c r="F775" s="86"/>
      <c r="G775" s="86"/>
      <c r="H775" s="62"/>
      <c r="I775" s="62"/>
      <c r="J775" s="62"/>
      <c r="K775" s="62"/>
      <c r="L775" s="62"/>
      <c r="M775" s="64"/>
      <c r="N775" s="86"/>
      <c r="O775" s="86"/>
      <c r="P775" s="86"/>
      <c r="Q775" s="86"/>
      <c r="R775" s="86"/>
      <c r="S775" s="86"/>
      <c r="T775" s="62"/>
      <c r="U775" s="62"/>
      <c r="V775" s="62"/>
      <c r="W775" s="62"/>
      <c r="X775" s="62"/>
      <c r="Y775" s="64"/>
      <c r="Z775" s="86"/>
      <c r="AA775" s="86"/>
      <c r="AB775" s="86"/>
      <c r="AC775" s="86"/>
      <c r="AD775" s="86"/>
      <c r="AE775" s="86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</row>
    <row r="776" spans="1:52" x14ac:dyDescent="0.25">
      <c r="A776" s="62"/>
      <c r="B776" s="86"/>
      <c r="C776" s="86"/>
      <c r="D776" s="86"/>
      <c r="E776" s="86"/>
      <c r="F776" s="86"/>
      <c r="G776" s="86"/>
      <c r="H776" s="62"/>
      <c r="I776" s="62"/>
      <c r="J776" s="62"/>
      <c r="K776" s="62"/>
      <c r="L776" s="62"/>
      <c r="M776" s="62"/>
      <c r="N776" s="86"/>
      <c r="O776" s="86"/>
      <c r="P776" s="86"/>
      <c r="Q776" s="86"/>
      <c r="R776" s="86"/>
      <c r="S776" s="86"/>
      <c r="T776" s="62"/>
      <c r="U776" s="62"/>
      <c r="V776" s="62"/>
      <c r="W776" s="62"/>
      <c r="X776" s="62"/>
      <c r="Y776" s="62"/>
      <c r="Z776" s="86"/>
      <c r="AA776" s="86"/>
      <c r="AB776" s="86"/>
      <c r="AC776" s="86"/>
      <c r="AD776" s="86"/>
      <c r="AE776" s="86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</row>
    <row r="777" spans="1:52" ht="15.75" x14ac:dyDescent="0.25">
      <c r="A777" s="62"/>
      <c r="B777" s="86"/>
      <c r="C777" s="86"/>
      <c r="D777" s="86"/>
      <c r="E777" s="86"/>
      <c r="F777" s="86"/>
      <c r="G777" s="86"/>
      <c r="H777" s="62"/>
      <c r="I777" s="86"/>
      <c r="J777" s="77"/>
      <c r="K777" s="62"/>
      <c r="L777" s="62"/>
      <c r="M777" s="62"/>
      <c r="N777" s="86"/>
      <c r="O777" s="86"/>
      <c r="P777" s="86"/>
      <c r="Q777" s="86"/>
      <c r="R777" s="86"/>
      <c r="S777" s="86"/>
      <c r="T777" s="62"/>
      <c r="U777" s="86"/>
      <c r="V777" s="77"/>
      <c r="W777" s="62"/>
      <c r="X777" s="62"/>
      <c r="Y777" s="62"/>
      <c r="Z777" s="86"/>
      <c r="AA777" s="86"/>
      <c r="AB777" s="86"/>
      <c r="AC777" s="86"/>
      <c r="AD777" s="86"/>
      <c r="AE777" s="86"/>
      <c r="AF777" s="62"/>
      <c r="AG777" s="86"/>
      <c r="AH777" s="86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</row>
    <row r="778" spans="1:52" x14ac:dyDescent="0.25">
      <c r="A778" s="65"/>
      <c r="B778" s="86"/>
      <c r="C778" s="86"/>
      <c r="D778" s="86"/>
      <c r="E778" s="86"/>
      <c r="F778" s="86"/>
      <c r="G778" s="86"/>
      <c r="H778" s="62"/>
      <c r="I778" s="66"/>
      <c r="J778" s="66"/>
      <c r="K778" s="62"/>
      <c r="L778" s="62"/>
      <c r="M778" s="65"/>
      <c r="N778" s="86"/>
      <c r="O778" s="86"/>
      <c r="P778" s="86"/>
      <c r="Q778" s="86"/>
      <c r="R778" s="86"/>
      <c r="S778" s="86"/>
      <c r="T778" s="62"/>
      <c r="U778" s="66"/>
      <c r="V778" s="66"/>
      <c r="W778" s="62"/>
      <c r="X778" s="62"/>
      <c r="Y778" s="65"/>
      <c r="Z778" s="86"/>
      <c r="AA778" s="86"/>
      <c r="AB778" s="86"/>
      <c r="AC778" s="86"/>
      <c r="AD778" s="86"/>
      <c r="AE778" s="86"/>
      <c r="AF778" s="62"/>
      <c r="AG778" s="66"/>
      <c r="AH778" s="66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</row>
    <row r="779" spans="1:52" x14ac:dyDescent="0.25">
      <c r="A779" s="62"/>
      <c r="B779" s="86"/>
      <c r="C779" s="86"/>
      <c r="D779" s="86"/>
      <c r="E779" s="86"/>
      <c r="F779" s="86"/>
      <c r="G779" s="86"/>
      <c r="H779" s="62"/>
      <c r="I779" s="62"/>
      <c r="J779" s="62"/>
      <c r="K779" s="62"/>
      <c r="L779" s="62"/>
      <c r="M779" s="62"/>
      <c r="N779" s="86"/>
      <c r="O779" s="86"/>
      <c r="P779" s="86"/>
      <c r="Q779" s="86"/>
      <c r="R779" s="86"/>
      <c r="S779" s="86"/>
      <c r="T779" s="62"/>
      <c r="U779" s="62"/>
      <c r="V779" s="62"/>
      <c r="W779" s="62"/>
      <c r="X779" s="62"/>
      <c r="Y779" s="62"/>
      <c r="Z779" s="86"/>
      <c r="AA779" s="86"/>
      <c r="AB779" s="86"/>
      <c r="AC779" s="86"/>
      <c r="AD779" s="86"/>
      <c r="AE779" s="86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</row>
    <row r="780" spans="1:52" x14ac:dyDescent="0.25">
      <c r="A780" s="62"/>
      <c r="B780" s="66"/>
      <c r="C780" s="86"/>
      <c r="D780" s="116"/>
      <c r="E780" s="116"/>
      <c r="F780" s="86"/>
      <c r="G780" s="86"/>
      <c r="H780" s="62"/>
      <c r="I780" s="116"/>
      <c r="J780" s="116"/>
      <c r="K780" s="115"/>
      <c r="L780" s="62"/>
      <c r="M780" s="62"/>
      <c r="N780" s="66"/>
      <c r="O780" s="86"/>
      <c r="P780" s="116"/>
      <c r="Q780" s="116"/>
      <c r="R780" s="86"/>
      <c r="S780" s="86"/>
      <c r="T780" s="62"/>
      <c r="U780" s="116"/>
      <c r="V780" s="116"/>
      <c r="W780" s="115"/>
      <c r="X780" s="62"/>
      <c r="Y780" s="62"/>
      <c r="Z780" s="66"/>
      <c r="AA780" s="86"/>
      <c r="AB780" s="116"/>
      <c r="AC780" s="116"/>
      <c r="AD780" s="86"/>
      <c r="AE780" s="86"/>
      <c r="AF780" s="62"/>
      <c r="AG780" s="116"/>
      <c r="AH780" s="116"/>
      <c r="AI780" s="115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</row>
    <row r="781" spans="1:52" x14ac:dyDescent="0.25">
      <c r="A781" s="62"/>
      <c r="B781" s="86"/>
      <c r="C781" s="86"/>
      <c r="D781" s="87"/>
      <c r="E781" s="88"/>
      <c r="F781" s="89"/>
      <c r="G781" s="89"/>
      <c r="H781" s="62"/>
      <c r="I781" s="85"/>
      <c r="J781" s="85"/>
      <c r="K781" s="115"/>
      <c r="L781" s="62"/>
      <c r="M781" s="62"/>
      <c r="N781" s="86"/>
      <c r="O781" s="86"/>
      <c r="P781" s="87"/>
      <c r="Q781" s="89"/>
      <c r="R781" s="89"/>
      <c r="S781" s="89"/>
      <c r="T781" s="62"/>
      <c r="U781" s="85"/>
      <c r="V781" s="85"/>
      <c r="W781" s="115"/>
      <c r="X781" s="62"/>
      <c r="Y781" s="62"/>
      <c r="Z781" s="86"/>
      <c r="AA781" s="86"/>
      <c r="AB781" s="87"/>
      <c r="AC781" s="88"/>
      <c r="AD781" s="89"/>
      <c r="AE781" s="89"/>
      <c r="AF781" s="62"/>
      <c r="AG781" s="85"/>
      <c r="AH781" s="85"/>
      <c r="AI781" s="115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</row>
    <row r="782" spans="1:52" x14ac:dyDescent="0.25">
      <c r="A782" s="62"/>
      <c r="B782" s="68"/>
      <c r="C782" s="86"/>
      <c r="D782" s="60"/>
      <c r="E782" s="60"/>
      <c r="F782" s="60"/>
      <c r="G782" s="60"/>
      <c r="H782" s="61"/>
      <c r="I782" s="61"/>
      <c r="J782" s="61"/>
      <c r="K782" s="61"/>
      <c r="L782" s="62"/>
      <c r="M782" s="62"/>
      <c r="N782" s="68"/>
      <c r="O782" s="86"/>
      <c r="P782" s="60"/>
      <c r="Q782" s="60"/>
      <c r="R782" s="60"/>
      <c r="S782" s="60"/>
      <c r="T782" s="61"/>
      <c r="U782" s="61"/>
      <c r="V782" s="61"/>
      <c r="W782" s="61"/>
      <c r="X782" s="62"/>
      <c r="Y782" s="62"/>
      <c r="Z782" s="68"/>
      <c r="AA782" s="86"/>
      <c r="AB782" s="60"/>
      <c r="AC782" s="60"/>
      <c r="AD782" s="60"/>
      <c r="AE782" s="60"/>
      <c r="AF782" s="61"/>
      <c r="AG782" s="61"/>
      <c r="AH782" s="61"/>
      <c r="AI782" s="61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</row>
    <row r="783" spans="1:52" x14ac:dyDescent="0.25">
      <c r="A783" s="62"/>
      <c r="B783" s="68"/>
      <c r="C783" s="86"/>
      <c r="D783" s="60"/>
      <c r="E783" s="60"/>
      <c r="F783" s="60"/>
      <c r="G783" s="60"/>
      <c r="H783" s="61"/>
      <c r="I783" s="61"/>
      <c r="J783" s="61"/>
      <c r="K783" s="61"/>
      <c r="L783" s="62"/>
      <c r="M783" s="62"/>
      <c r="N783" s="68"/>
      <c r="O783" s="86"/>
      <c r="P783" s="60"/>
      <c r="Q783" s="60"/>
      <c r="R783" s="60"/>
      <c r="S783" s="60"/>
      <c r="T783" s="61"/>
      <c r="U783" s="61"/>
      <c r="V783" s="61"/>
      <c r="W783" s="61"/>
      <c r="X783" s="62"/>
      <c r="Y783" s="62"/>
      <c r="Z783" s="68"/>
      <c r="AA783" s="86"/>
      <c r="AB783" s="60"/>
      <c r="AC783" s="60"/>
      <c r="AD783" s="60"/>
      <c r="AE783" s="60"/>
      <c r="AF783" s="61"/>
      <c r="AG783" s="61"/>
      <c r="AH783" s="61"/>
      <c r="AI783" s="61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</row>
    <row r="784" spans="1:52" x14ac:dyDescent="0.25">
      <c r="A784" s="62"/>
      <c r="B784" s="68"/>
      <c r="C784" s="86"/>
      <c r="D784" s="60"/>
      <c r="E784" s="60"/>
      <c r="F784" s="60"/>
      <c r="G784" s="60"/>
      <c r="H784" s="61"/>
      <c r="I784" s="61"/>
      <c r="J784" s="61"/>
      <c r="K784" s="61"/>
      <c r="L784" s="62"/>
      <c r="M784" s="62"/>
      <c r="N784" s="68"/>
      <c r="O784" s="86"/>
      <c r="P784" s="60"/>
      <c r="Q784" s="60"/>
      <c r="R784" s="60"/>
      <c r="S784" s="60"/>
      <c r="T784" s="61"/>
      <c r="U784" s="61"/>
      <c r="V784" s="61"/>
      <c r="W784" s="61"/>
      <c r="X784" s="62"/>
      <c r="Y784" s="62"/>
      <c r="Z784" s="68"/>
      <c r="AA784" s="86"/>
      <c r="AB784" s="60"/>
      <c r="AC784" s="60"/>
      <c r="AD784" s="60"/>
      <c r="AE784" s="60"/>
      <c r="AF784" s="61"/>
      <c r="AG784" s="61"/>
      <c r="AH784" s="61"/>
      <c r="AI784" s="61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</row>
    <row r="785" spans="1:52" x14ac:dyDescent="0.25">
      <c r="A785" s="62"/>
      <c r="B785" s="68"/>
      <c r="C785" s="86"/>
      <c r="D785" s="60"/>
      <c r="E785" s="60"/>
      <c r="F785" s="60"/>
      <c r="G785" s="60"/>
      <c r="H785" s="61"/>
      <c r="I785" s="61"/>
      <c r="J785" s="61"/>
      <c r="K785" s="61"/>
      <c r="L785" s="62"/>
      <c r="M785" s="62"/>
      <c r="N785" s="68"/>
      <c r="O785" s="86"/>
      <c r="P785" s="60"/>
      <c r="Q785" s="60"/>
      <c r="R785" s="60"/>
      <c r="S785" s="60"/>
      <c r="T785" s="61"/>
      <c r="U785" s="61"/>
      <c r="V785" s="61"/>
      <c r="W785" s="61"/>
      <c r="X785" s="62"/>
      <c r="Y785" s="62"/>
      <c r="Z785" s="68"/>
      <c r="AA785" s="86"/>
      <c r="AB785" s="60"/>
      <c r="AC785" s="60"/>
      <c r="AD785" s="60"/>
      <c r="AE785" s="60"/>
      <c r="AF785" s="61"/>
      <c r="AG785" s="61"/>
      <c r="AH785" s="61"/>
      <c r="AI785" s="61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</row>
    <row r="786" spans="1:52" x14ac:dyDescent="0.25">
      <c r="A786" s="62"/>
      <c r="B786" s="68"/>
      <c r="C786" s="86"/>
      <c r="D786" s="60"/>
      <c r="E786" s="60"/>
      <c r="F786" s="60"/>
      <c r="G786" s="60"/>
      <c r="H786" s="61"/>
      <c r="I786" s="61"/>
      <c r="J786" s="61"/>
      <c r="K786" s="61"/>
      <c r="L786" s="62"/>
      <c r="M786" s="62"/>
      <c r="N786" s="68"/>
      <c r="O786" s="86"/>
      <c r="P786" s="60"/>
      <c r="Q786" s="60"/>
      <c r="R786" s="60"/>
      <c r="S786" s="60"/>
      <c r="T786" s="61"/>
      <c r="U786" s="61"/>
      <c r="V786" s="61"/>
      <c r="W786" s="61"/>
      <c r="X786" s="62"/>
      <c r="Y786" s="62"/>
      <c r="Z786" s="68"/>
      <c r="AA786" s="86"/>
      <c r="AB786" s="60"/>
      <c r="AC786" s="60"/>
      <c r="AD786" s="60"/>
      <c r="AE786" s="60"/>
      <c r="AF786" s="61"/>
      <c r="AG786" s="61"/>
      <c r="AH786" s="61"/>
      <c r="AI786" s="61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</row>
    <row r="787" spans="1:52" x14ac:dyDescent="0.25">
      <c r="A787" s="62"/>
      <c r="B787" s="68"/>
      <c r="C787" s="86"/>
      <c r="D787" s="60"/>
      <c r="E787" s="60"/>
      <c r="F787" s="60"/>
      <c r="G787" s="60"/>
      <c r="H787" s="61"/>
      <c r="I787" s="61"/>
      <c r="J787" s="61"/>
      <c r="K787" s="61"/>
      <c r="L787" s="62"/>
      <c r="M787" s="62"/>
      <c r="N787" s="68"/>
      <c r="O787" s="86"/>
      <c r="P787" s="60"/>
      <c r="Q787" s="60"/>
      <c r="R787" s="60"/>
      <c r="S787" s="60"/>
      <c r="T787" s="61"/>
      <c r="U787" s="61"/>
      <c r="V787" s="62"/>
      <c r="W787" s="61"/>
      <c r="X787" s="62"/>
      <c r="Y787" s="62"/>
      <c r="Z787" s="68"/>
      <c r="AA787" s="86"/>
      <c r="AB787" s="60"/>
      <c r="AC787" s="60"/>
      <c r="AD787" s="60"/>
      <c r="AE787" s="60"/>
      <c r="AF787" s="61"/>
      <c r="AG787" s="61"/>
      <c r="AH787" s="61"/>
      <c r="AI787" s="61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</row>
    <row r="788" spans="1:52" x14ac:dyDescent="0.25">
      <c r="A788" s="62"/>
      <c r="B788" s="68"/>
      <c r="C788" s="86"/>
      <c r="D788" s="60"/>
      <c r="E788" s="60"/>
      <c r="F788" s="60"/>
      <c r="G788" s="60"/>
      <c r="H788" s="61"/>
      <c r="I788" s="61"/>
      <c r="J788" s="61"/>
      <c r="K788" s="61"/>
      <c r="L788" s="62"/>
      <c r="M788" s="62"/>
      <c r="N788" s="68"/>
      <c r="O788" s="86"/>
      <c r="P788" s="60"/>
      <c r="Q788" s="60"/>
      <c r="R788" s="60"/>
      <c r="S788" s="60"/>
      <c r="T788" s="61"/>
      <c r="U788" s="61"/>
      <c r="V788" s="61"/>
      <c r="W788" s="61"/>
      <c r="X788" s="62"/>
      <c r="Y788" s="62"/>
      <c r="Z788" s="68"/>
      <c r="AA788" s="86"/>
      <c r="AB788" s="60"/>
      <c r="AC788" s="60"/>
      <c r="AD788" s="60"/>
      <c r="AE788" s="60"/>
      <c r="AF788" s="61"/>
      <c r="AG788" s="61"/>
      <c r="AH788" s="61"/>
      <c r="AI788" s="61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</row>
    <row r="789" spans="1:52" x14ac:dyDescent="0.25">
      <c r="A789" s="62"/>
      <c r="B789" s="68"/>
      <c r="C789" s="86"/>
      <c r="D789" s="60"/>
      <c r="E789" s="60"/>
      <c r="F789" s="60"/>
      <c r="G789" s="60"/>
      <c r="H789" s="61"/>
      <c r="I789" s="61"/>
      <c r="J789" s="61"/>
      <c r="K789" s="61"/>
      <c r="L789" s="62"/>
      <c r="M789" s="62"/>
      <c r="N789" s="68"/>
      <c r="O789" s="86"/>
      <c r="P789" s="60"/>
      <c r="Q789" s="60"/>
      <c r="R789" s="60"/>
      <c r="S789" s="60"/>
      <c r="T789" s="61"/>
      <c r="U789" s="61"/>
      <c r="V789" s="61"/>
      <c r="W789" s="61"/>
      <c r="X789" s="62"/>
      <c r="Y789" s="62"/>
      <c r="Z789" s="68"/>
      <c r="AA789" s="86"/>
      <c r="AB789" s="60"/>
      <c r="AC789" s="60"/>
      <c r="AD789" s="60"/>
      <c r="AE789" s="60"/>
      <c r="AF789" s="61"/>
      <c r="AG789" s="61"/>
      <c r="AH789" s="61"/>
      <c r="AI789" s="61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</row>
    <row r="790" spans="1:52" x14ac:dyDescent="0.25">
      <c r="A790" s="62"/>
      <c r="B790" s="68"/>
      <c r="C790" s="86"/>
      <c r="D790" s="60"/>
      <c r="E790" s="60"/>
      <c r="F790" s="60"/>
      <c r="G790" s="60"/>
      <c r="H790" s="61"/>
      <c r="I790" s="61"/>
      <c r="J790" s="61"/>
      <c r="K790" s="61"/>
      <c r="L790" s="62"/>
      <c r="M790" s="62"/>
      <c r="N790" s="68"/>
      <c r="O790" s="86"/>
      <c r="P790" s="60"/>
      <c r="Q790" s="60"/>
      <c r="R790" s="60"/>
      <c r="S790" s="60"/>
      <c r="T790" s="61"/>
      <c r="U790" s="61"/>
      <c r="V790" s="61"/>
      <c r="W790" s="61"/>
      <c r="X790" s="62"/>
      <c r="Y790" s="62"/>
      <c r="Z790" s="68"/>
      <c r="AA790" s="86"/>
      <c r="AB790" s="60"/>
      <c r="AC790" s="60"/>
      <c r="AD790" s="60"/>
      <c r="AE790" s="60"/>
      <c r="AF790" s="61"/>
      <c r="AG790" s="61"/>
      <c r="AH790" s="61"/>
      <c r="AI790" s="61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</row>
    <row r="791" spans="1:52" x14ac:dyDescent="0.25">
      <c r="A791" s="62"/>
      <c r="B791" s="68"/>
      <c r="C791" s="86"/>
      <c r="D791" s="60"/>
      <c r="E791" s="60"/>
      <c r="F791" s="60"/>
      <c r="G791" s="60"/>
      <c r="H791" s="61"/>
      <c r="I791" s="61"/>
      <c r="J791" s="61"/>
      <c r="K791" s="61"/>
      <c r="L791" s="62"/>
      <c r="M791" s="62"/>
      <c r="N791" s="68"/>
      <c r="O791" s="86"/>
      <c r="P791" s="60"/>
      <c r="Q791" s="60"/>
      <c r="R791" s="60"/>
      <c r="S791" s="60"/>
      <c r="T791" s="61"/>
      <c r="U791" s="61"/>
      <c r="V791" s="61"/>
      <c r="W791" s="61"/>
      <c r="X791" s="62"/>
      <c r="Y791" s="62"/>
      <c r="Z791" s="68"/>
      <c r="AA791" s="86"/>
      <c r="AB791" s="60"/>
      <c r="AC791" s="60"/>
      <c r="AD791" s="60"/>
      <c r="AE791" s="60"/>
      <c r="AF791" s="61"/>
      <c r="AG791" s="61"/>
      <c r="AH791" s="61"/>
      <c r="AI791" s="61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</row>
    <row r="792" spans="1:52" x14ac:dyDescent="0.25">
      <c r="A792" s="62"/>
      <c r="B792" s="68"/>
      <c r="C792" s="86"/>
      <c r="D792" s="60"/>
      <c r="E792" s="60"/>
      <c r="F792" s="60"/>
      <c r="G792" s="60"/>
      <c r="H792" s="61"/>
      <c r="I792" s="61"/>
      <c r="J792" s="61"/>
      <c r="K792" s="61"/>
      <c r="L792" s="62"/>
      <c r="M792" s="62"/>
      <c r="N792" s="68"/>
      <c r="O792" s="86"/>
      <c r="P792" s="60"/>
      <c r="Q792" s="60"/>
      <c r="R792" s="60"/>
      <c r="S792" s="60"/>
      <c r="T792" s="61"/>
      <c r="U792" s="61"/>
      <c r="V792" s="61"/>
      <c r="W792" s="61"/>
      <c r="X792" s="62"/>
      <c r="Y792" s="62"/>
      <c r="Z792" s="68"/>
      <c r="AA792" s="86"/>
      <c r="AB792" s="60"/>
      <c r="AC792" s="60"/>
      <c r="AD792" s="60"/>
      <c r="AE792" s="60"/>
      <c r="AF792" s="61"/>
      <c r="AG792" s="61"/>
      <c r="AH792" s="61"/>
      <c r="AI792" s="61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</row>
    <row r="793" spans="1:52" x14ac:dyDescent="0.25">
      <c r="A793" s="62"/>
      <c r="B793" s="68"/>
      <c r="C793" s="86"/>
      <c r="D793" s="60"/>
      <c r="E793" s="60"/>
      <c r="F793" s="60"/>
      <c r="G793" s="60"/>
      <c r="H793" s="61"/>
      <c r="I793" s="61"/>
      <c r="J793" s="62"/>
      <c r="K793" s="61"/>
      <c r="L793" s="62"/>
      <c r="M793" s="62"/>
      <c r="N793" s="68"/>
      <c r="O793" s="86"/>
      <c r="P793" s="60"/>
      <c r="Q793" s="60"/>
      <c r="R793" s="60"/>
      <c r="S793" s="60"/>
      <c r="T793" s="61"/>
      <c r="U793" s="61"/>
      <c r="V793" s="61"/>
      <c r="W793" s="61"/>
      <c r="X793" s="62"/>
      <c r="Y793" s="62"/>
      <c r="Z793" s="68"/>
      <c r="AA793" s="86"/>
      <c r="AB793" s="60"/>
      <c r="AC793" s="60"/>
      <c r="AD793" s="60"/>
      <c r="AE793" s="60"/>
      <c r="AF793" s="61"/>
      <c r="AG793" s="61"/>
      <c r="AH793" s="62"/>
      <c r="AI793" s="61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</row>
    <row r="794" spans="1:52" x14ac:dyDescent="0.25">
      <c r="A794" s="62"/>
      <c r="B794" s="68"/>
      <c r="C794" s="86"/>
      <c r="D794" s="60"/>
      <c r="E794" s="60"/>
      <c r="F794" s="60"/>
      <c r="G794" s="60"/>
      <c r="H794" s="61"/>
      <c r="I794" s="61"/>
      <c r="J794" s="61"/>
      <c r="K794" s="61"/>
      <c r="L794" s="62"/>
      <c r="M794" s="62"/>
      <c r="N794" s="68"/>
      <c r="O794" s="86"/>
      <c r="P794" s="60"/>
      <c r="Q794" s="60"/>
      <c r="R794" s="60"/>
      <c r="S794" s="60"/>
      <c r="T794" s="61"/>
      <c r="U794" s="61"/>
      <c r="V794" s="61"/>
      <c r="W794" s="61"/>
      <c r="X794" s="62"/>
      <c r="Y794" s="62"/>
      <c r="Z794" s="68"/>
      <c r="AA794" s="86"/>
      <c r="AB794" s="60"/>
      <c r="AC794" s="60"/>
      <c r="AD794" s="60"/>
      <c r="AE794" s="60"/>
      <c r="AF794" s="61"/>
      <c r="AG794" s="61"/>
      <c r="AH794" s="61"/>
      <c r="AI794" s="61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</row>
    <row r="795" spans="1:52" x14ac:dyDescent="0.25">
      <c r="A795" s="62"/>
      <c r="B795" s="68"/>
      <c r="C795" s="86"/>
      <c r="D795" s="60"/>
      <c r="E795" s="60"/>
      <c r="F795" s="60"/>
      <c r="G795" s="60"/>
      <c r="H795" s="61"/>
      <c r="I795" s="61"/>
      <c r="J795" s="61"/>
      <c r="K795" s="61"/>
      <c r="L795" s="62"/>
      <c r="M795" s="62"/>
      <c r="N795" s="68"/>
      <c r="O795" s="86"/>
      <c r="P795" s="60"/>
      <c r="Q795" s="60"/>
      <c r="R795" s="60"/>
      <c r="S795" s="60"/>
      <c r="T795" s="61"/>
      <c r="U795" s="61"/>
      <c r="V795" s="61"/>
      <c r="W795" s="61"/>
      <c r="X795" s="62"/>
      <c r="Y795" s="62"/>
      <c r="Z795" s="68"/>
      <c r="AA795" s="86"/>
      <c r="AB795" s="60"/>
      <c r="AC795" s="60"/>
      <c r="AD795" s="60"/>
      <c r="AE795" s="60"/>
      <c r="AF795" s="61"/>
      <c r="AG795" s="61"/>
      <c r="AH795" s="61"/>
      <c r="AI795" s="61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</row>
    <row r="796" spans="1:52" x14ac:dyDescent="0.25">
      <c r="A796" s="62"/>
      <c r="B796" s="68"/>
      <c r="C796" s="86"/>
      <c r="D796" s="60"/>
      <c r="E796" s="60"/>
      <c r="F796" s="60"/>
      <c r="G796" s="60"/>
      <c r="H796" s="61"/>
      <c r="I796" s="61"/>
      <c r="J796" s="61"/>
      <c r="K796" s="61"/>
      <c r="L796" s="62"/>
      <c r="M796" s="62"/>
      <c r="N796" s="68"/>
      <c r="O796" s="86"/>
      <c r="P796" s="60"/>
      <c r="Q796" s="60"/>
      <c r="R796" s="60"/>
      <c r="S796" s="60"/>
      <c r="T796" s="61"/>
      <c r="U796" s="61"/>
      <c r="V796" s="61"/>
      <c r="W796" s="61"/>
      <c r="X796" s="62"/>
      <c r="Y796" s="62"/>
      <c r="Z796" s="68"/>
      <c r="AA796" s="86"/>
      <c r="AB796" s="60"/>
      <c r="AC796" s="60"/>
      <c r="AD796" s="60"/>
      <c r="AE796" s="60"/>
      <c r="AF796" s="61"/>
      <c r="AG796" s="61"/>
      <c r="AH796" s="61"/>
      <c r="AI796" s="61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</row>
    <row r="797" spans="1:52" x14ac:dyDescent="0.25">
      <c r="A797" s="62"/>
      <c r="B797" s="68"/>
      <c r="C797" s="86"/>
      <c r="D797" s="60"/>
      <c r="E797" s="60"/>
      <c r="F797" s="60"/>
      <c r="G797" s="60"/>
      <c r="H797" s="61"/>
      <c r="I797" s="61"/>
      <c r="J797" s="61"/>
      <c r="K797" s="61"/>
      <c r="L797" s="62"/>
      <c r="M797" s="62"/>
      <c r="N797" s="68"/>
      <c r="O797" s="86"/>
      <c r="P797" s="60"/>
      <c r="Q797" s="60"/>
      <c r="R797" s="60"/>
      <c r="S797" s="60"/>
      <c r="T797" s="61"/>
      <c r="U797" s="61"/>
      <c r="V797" s="61"/>
      <c r="W797" s="61"/>
      <c r="X797" s="62"/>
      <c r="Y797" s="62"/>
      <c r="Z797" s="68"/>
      <c r="AA797" s="66"/>
      <c r="AB797" s="60"/>
      <c r="AC797" s="60"/>
      <c r="AD797" s="60"/>
      <c r="AE797" s="60"/>
      <c r="AF797" s="61"/>
      <c r="AG797" s="61"/>
      <c r="AH797" s="61"/>
      <c r="AI797" s="61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</row>
    <row r="798" spans="1:52" x14ac:dyDescent="0.25">
      <c r="A798" s="62"/>
      <c r="B798" s="68"/>
      <c r="C798" s="86"/>
      <c r="D798" s="60"/>
      <c r="E798" s="60"/>
      <c r="F798" s="60"/>
      <c r="G798" s="60"/>
      <c r="H798" s="61"/>
      <c r="I798" s="61"/>
      <c r="J798" s="61"/>
      <c r="K798" s="61"/>
      <c r="L798" s="62"/>
      <c r="M798" s="62"/>
      <c r="N798" s="68"/>
      <c r="O798" s="86"/>
      <c r="P798" s="60"/>
      <c r="Q798" s="60"/>
      <c r="R798" s="60"/>
      <c r="S798" s="60"/>
      <c r="T798" s="61"/>
      <c r="U798" s="61"/>
      <c r="V798" s="61"/>
      <c r="W798" s="61"/>
      <c r="X798" s="62"/>
      <c r="Y798" s="62"/>
      <c r="Z798" s="68"/>
      <c r="AA798" s="86"/>
      <c r="AB798" s="60"/>
      <c r="AC798" s="60"/>
      <c r="AD798" s="60"/>
      <c r="AE798" s="60"/>
      <c r="AF798" s="61"/>
      <c r="AG798" s="61"/>
      <c r="AH798" s="61"/>
      <c r="AI798" s="61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</row>
    <row r="799" spans="1:52" x14ac:dyDescent="0.25">
      <c r="A799" s="62"/>
      <c r="B799" s="68"/>
      <c r="C799" s="86"/>
      <c r="D799" s="60"/>
      <c r="E799" s="60"/>
      <c r="F799" s="60"/>
      <c r="G799" s="60"/>
      <c r="H799" s="61"/>
      <c r="I799" s="61"/>
      <c r="J799" s="61"/>
      <c r="K799" s="61"/>
      <c r="L799" s="62"/>
      <c r="M799" s="62"/>
      <c r="N799" s="68"/>
      <c r="O799" s="86"/>
      <c r="P799" s="60"/>
      <c r="Q799" s="60"/>
      <c r="R799" s="60"/>
      <c r="S799" s="60"/>
      <c r="T799" s="61"/>
      <c r="U799" s="61"/>
      <c r="V799" s="61"/>
      <c r="W799" s="61"/>
      <c r="X799" s="62"/>
      <c r="Y799" s="62"/>
      <c r="Z799" s="68"/>
      <c r="AA799" s="86"/>
      <c r="AB799" s="60"/>
      <c r="AC799" s="60"/>
      <c r="AD799" s="60"/>
      <c r="AE799" s="60"/>
      <c r="AF799" s="61"/>
      <c r="AG799" s="61"/>
      <c r="AH799" s="61"/>
      <c r="AI799" s="61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</row>
    <row r="800" spans="1:52" x14ac:dyDescent="0.25">
      <c r="A800" s="62"/>
      <c r="B800" s="68"/>
      <c r="C800" s="86"/>
      <c r="D800" s="60"/>
      <c r="E800" s="60"/>
      <c r="F800" s="60"/>
      <c r="G800" s="60"/>
      <c r="H800" s="61"/>
      <c r="I800" s="61"/>
      <c r="J800" s="61"/>
      <c r="K800" s="61"/>
      <c r="L800" s="62"/>
      <c r="M800" s="62"/>
      <c r="N800" s="68"/>
      <c r="O800" s="86"/>
      <c r="P800" s="60"/>
      <c r="Q800" s="60"/>
      <c r="R800" s="60"/>
      <c r="S800" s="60"/>
      <c r="T800" s="61"/>
      <c r="U800" s="61"/>
      <c r="V800" s="61"/>
      <c r="W800" s="61"/>
      <c r="X800" s="62"/>
      <c r="Y800" s="62"/>
      <c r="Z800" s="68"/>
      <c r="AA800" s="86"/>
      <c r="AB800" s="60"/>
      <c r="AC800" s="60"/>
      <c r="AD800" s="60"/>
      <c r="AE800" s="60"/>
      <c r="AF800" s="61"/>
      <c r="AG800" s="61"/>
      <c r="AH800" s="61"/>
      <c r="AI800" s="61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</row>
    <row r="801" spans="1:52" x14ac:dyDescent="0.25">
      <c r="A801" s="62"/>
      <c r="B801" s="68"/>
      <c r="C801" s="86"/>
      <c r="D801" s="60"/>
      <c r="E801" s="60"/>
      <c r="F801" s="60"/>
      <c r="G801" s="60"/>
      <c r="H801" s="61"/>
      <c r="I801" s="61"/>
      <c r="J801" s="61"/>
      <c r="K801" s="61"/>
      <c r="L801" s="62"/>
      <c r="M801" s="62"/>
      <c r="N801" s="68"/>
      <c r="O801" s="86"/>
      <c r="P801" s="60"/>
      <c r="Q801" s="60"/>
      <c r="R801" s="60"/>
      <c r="S801" s="60"/>
      <c r="T801" s="61"/>
      <c r="U801" s="61"/>
      <c r="V801" s="61"/>
      <c r="W801" s="61"/>
      <c r="X801" s="62"/>
      <c r="Y801" s="62"/>
      <c r="Z801" s="68"/>
      <c r="AA801" s="86"/>
      <c r="AB801" s="60"/>
      <c r="AC801" s="60"/>
      <c r="AD801" s="60"/>
      <c r="AE801" s="60"/>
      <c r="AF801" s="61"/>
      <c r="AG801" s="61"/>
      <c r="AH801" s="61"/>
      <c r="AI801" s="61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</row>
    <row r="802" spans="1:52" x14ac:dyDescent="0.25">
      <c r="A802" s="62"/>
      <c r="B802" s="68"/>
      <c r="C802" s="86"/>
      <c r="D802" s="60"/>
      <c r="E802" s="60"/>
      <c r="F802" s="60"/>
      <c r="G802" s="60"/>
      <c r="H802" s="62"/>
      <c r="I802" s="62"/>
      <c r="J802" s="62"/>
      <c r="K802" s="61"/>
      <c r="L802" s="62"/>
      <c r="M802" s="62"/>
      <c r="N802" s="68"/>
      <c r="O802" s="86"/>
      <c r="P802" s="69"/>
      <c r="Q802" s="86"/>
      <c r="R802" s="86"/>
      <c r="S802" s="60"/>
      <c r="T802" s="62"/>
      <c r="U802" s="62"/>
      <c r="V802" s="62"/>
      <c r="W802" s="61"/>
      <c r="X802" s="62"/>
      <c r="Y802" s="62"/>
      <c r="Z802" s="68"/>
      <c r="AA802" s="62"/>
      <c r="AB802" s="60"/>
      <c r="AC802" s="60"/>
      <c r="AD802" s="60"/>
      <c r="AE802" s="60"/>
      <c r="AF802" s="62"/>
      <c r="AG802" s="62"/>
      <c r="AH802" s="62"/>
      <c r="AI802" s="61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</row>
    <row r="803" spans="1:52" x14ac:dyDescent="0.25">
      <c r="A803" s="62"/>
      <c r="B803" s="68"/>
      <c r="C803" s="86"/>
      <c r="D803" s="60"/>
      <c r="E803" s="60"/>
      <c r="F803" s="60"/>
      <c r="G803" s="60"/>
      <c r="H803" s="62"/>
      <c r="I803" s="62"/>
      <c r="J803" s="62"/>
      <c r="K803" s="61"/>
      <c r="L803" s="62"/>
      <c r="M803" s="62"/>
      <c r="N803" s="68"/>
      <c r="O803" s="86"/>
      <c r="P803" s="70"/>
      <c r="Q803" s="86"/>
      <c r="R803" s="86"/>
      <c r="S803" s="60"/>
      <c r="T803" s="62"/>
      <c r="U803" s="62"/>
      <c r="V803" s="62"/>
      <c r="W803" s="61"/>
      <c r="X803" s="62"/>
      <c r="Y803" s="62"/>
      <c r="Z803" s="68"/>
      <c r="AA803" s="86"/>
      <c r="AB803" s="60"/>
      <c r="AC803" s="60"/>
      <c r="AD803" s="60"/>
      <c r="AE803" s="60"/>
      <c r="AF803" s="62"/>
      <c r="AG803" s="62"/>
      <c r="AH803" s="62"/>
      <c r="AI803" s="61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</row>
    <row r="804" spans="1:52" x14ac:dyDescent="0.25">
      <c r="A804" s="62"/>
      <c r="B804" s="68"/>
      <c r="C804" s="86"/>
      <c r="D804" s="60"/>
      <c r="E804" s="60"/>
      <c r="F804" s="60"/>
      <c r="G804" s="60"/>
      <c r="H804" s="62"/>
      <c r="I804" s="62"/>
      <c r="J804" s="61"/>
      <c r="K804" s="61"/>
      <c r="L804" s="62"/>
      <c r="M804" s="62"/>
      <c r="N804" s="68"/>
      <c r="O804" s="86"/>
      <c r="P804" s="71"/>
      <c r="Q804" s="62"/>
      <c r="R804" s="62"/>
      <c r="S804" s="60"/>
      <c r="T804" s="62"/>
      <c r="U804" s="62"/>
      <c r="V804" s="62"/>
      <c r="W804" s="61"/>
      <c r="X804" s="62"/>
      <c r="Y804" s="62"/>
      <c r="Z804" s="68"/>
      <c r="AA804" s="86"/>
      <c r="AB804" s="60"/>
      <c r="AC804" s="60"/>
      <c r="AD804" s="60"/>
      <c r="AE804" s="60"/>
      <c r="AF804" s="62"/>
      <c r="AG804" s="62"/>
      <c r="AH804" s="61"/>
      <c r="AI804" s="61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</row>
    <row r="805" spans="1:52" x14ac:dyDescent="0.25">
      <c r="A805" s="62"/>
      <c r="B805" s="68"/>
      <c r="C805" s="86"/>
      <c r="D805" s="60"/>
      <c r="E805" s="60"/>
      <c r="F805" s="60"/>
      <c r="G805" s="60"/>
      <c r="H805" s="62"/>
      <c r="I805" s="62"/>
      <c r="J805" s="62"/>
      <c r="K805" s="61"/>
      <c r="L805" s="62"/>
      <c r="M805" s="62"/>
      <c r="N805" s="68"/>
      <c r="O805" s="86"/>
      <c r="P805" s="71"/>
      <c r="Q805" s="86"/>
      <c r="R805" s="86"/>
      <c r="S805" s="60"/>
      <c r="T805" s="62"/>
      <c r="U805" s="62"/>
      <c r="V805" s="62"/>
      <c r="W805" s="61"/>
      <c r="X805" s="62"/>
      <c r="Y805" s="62"/>
      <c r="Z805" s="68"/>
      <c r="AA805" s="86"/>
      <c r="AB805" s="60"/>
      <c r="AC805" s="60"/>
      <c r="AD805" s="60"/>
      <c r="AE805" s="60"/>
      <c r="AF805" s="62"/>
      <c r="AG805" s="62"/>
      <c r="AH805" s="62"/>
      <c r="AI805" s="61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</row>
    <row r="806" spans="1:52" x14ac:dyDescent="0.25">
      <c r="A806" s="62"/>
      <c r="B806" s="68"/>
      <c r="C806" s="86"/>
      <c r="D806" s="60"/>
      <c r="E806" s="60"/>
      <c r="F806" s="60"/>
      <c r="G806" s="60"/>
      <c r="H806" s="62"/>
      <c r="I806" s="62"/>
      <c r="J806" s="62"/>
      <c r="K806" s="61"/>
      <c r="L806" s="62"/>
      <c r="M806" s="62"/>
      <c r="N806" s="68"/>
      <c r="O806" s="86"/>
      <c r="P806" s="71"/>
      <c r="Q806" s="86"/>
      <c r="R806" s="86"/>
      <c r="S806" s="60"/>
      <c r="T806" s="62"/>
      <c r="U806" s="62"/>
      <c r="V806" s="62"/>
      <c r="W806" s="61"/>
      <c r="X806" s="62"/>
      <c r="Y806" s="62"/>
      <c r="Z806" s="68"/>
      <c r="AA806" s="86"/>
      <c r="AB806" s="60"/>
      <c r="AC806" s="60"/>
      <c r="AD806" s="60"/>
      <c r="AE806" s="60"/>
      <c r="AF806" s="62"/>
      <c r="AG806" s="62"/>
      <c r="AH806" s="62"/>
      <c r="AI806" s="61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</row>
    <row r="807" spans="1:52" x14ac:dyDescent="0.25">
      <c r="A807" s="62"/>
      <c r="B807" s="68"/>
      <c r="C807" s="86"/>
      <c r="D807" s="60"/>
      <c r="E807" s="60"/>
      <c r="F807" s="60"/>
      <c r="G807" s="60"/>
      <c r="H807" s="62"/>
      <c r="I807" s="62"/>
      <c r="J807" s="62"/>
      <c r="K807" s="61"/>
      <c r="L807" s="62"/>
      <c r="M807" s="62"/>
      <c r="N807" s="68"/>
      <c r="O807" s="86"/>
      <c r="P807" s="71"/>
      <c r="Q807" s="86"/>
      <c r="R807" s="86"/>
      <c r="S807" s="60"/>
      <c r="T807" s="62"/>
      <c r="U807" s="62"/>
      <c r="V807" s="62"/>
      <c r="W807" s="61"/>
      <c r="X807" s="62"/>
      <c r="Y807" s="62"/>
      <c r="Z807" s="68"/>
      <c r="AA807" s="86"/>
      <c r="AB807" s="60"/>
      <c r="AC807" s="60"/>
      <c r="AD807" s="60"/>
      <c r="AE807" s="60"/>
      <c r="AF807" s="62"/>
      <c r="AG807" s="62"/>
      <c r="AH807" s="62"/>
      <c r="AI807" s="61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</row>
    <row r="808" spans="1:52" x14ac:dyDescent="0.25">
      <c r="A808" s="62"/>
      <c r="B808" s="68"/>
      <c r="C808" s="86"/>
      <c r="D808" s="60"/>
      <c r="E808" s="60"/>
      <c r="F808" s="60"/>
      <c r="G808" s="60"/>
      <c r="H808" s="62"/>
      <c r="I808" s="62"/>
      <c r="J808" s="62"/>
      <c r="K808" s="61"/>
      <c r="L808" s="62"/>
      <c r="M808" s="62"/>
      <c r="N808" s="68"/>
      <c r="O808" s="86"/>
      <c r="P808" s="71"/>
      <c r="Q808" s="86"/>
      <c r="R808" s="86"/>
      <c r="S808" s="60"/>
      <c r="T808" s="62"/>
      <c r="U808" s="62"/>
      <c r="V808" s="62"/>
      <c r="W808" s="61"/>
      <c r="X808" s="62"/>
      <c r="Y808" s="62"/>
      <c r="Z808" s="68"/>
      <c r="AA808" s="86"/>
      <c r="AB808" s="60"/>
      <c r="AC808" s="60"/>
      <c r="AD808" s="60"/>
      <c r="AE808" s="60"/>
      <c r="AF808" s="62"/>
      <c r="AG808" s="62"/>
      <c r="AH808" s="62"/>
      <c r="AI808" s="61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</row>
    <row r="809" spans="1:52" x14ac:dyDescent="0.25">
      <c r="A809" s="62"/>
      <c r="B809" s="68"/>
      <c r="C809" s="86"/>
      <c r="D809" s="60"/>
      <c r="E809" s="60"/>
      <c r="F809" s="60"/>
      <c r="G809" s="60"/>
      <c r="H809" s="62"/>
      <c r="I809" s="62"/>
      <c r="J809" s="62"/>
      <c r="K809" s="61"/>
      <c r="L809" s="62"/>
      <c r="M809" s="62"/>
      <c r="N809" s="68"/>
      <c r="O809" s="86"/>
      <c r="P809" s="71"/>
      <c r="Q809" s="86"/>
      <c r="R809" s="86"/>
      <c r="S809" s="60"/>
      <c r="T809" s="62"/>
      <c r="U809" s="62"/>
      <c r="V809" s="62"/>
      <c r="W809" s="61"/>
      <c r="X809" s="62"/>
      <c r="Y809" s="62"/>
      <c r="Z809" s="68"/>
      <c r="AA809" s="86"/>
      <c r="AB809" s="60"/>
      <c r="AC809" s="60"/>
      <c r="AD809" s="60"/>
      <c r="AE809" s="60"/>
      <c r="AF809" s="62"/>
      <c r="AG809" s="62"/>
      <c r="AH809" s="62"/>
      <c r="AI809" s="61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</row>
    <row r="810" spans="1:52" x14ac:dyDescent="0.25">
      <c r="A810" s="62"/>
      <c r="B810" s="68"/>
      <c r="C810" s="86"/>
      <c r="D810" s="60"/>
      <c r="E810" s="60"/>
      <c r="F810" s="60"/>
      <c r="G810" s="60"/>
      <c r="H810" s="62"/>
      <c r="I810" s="62"/>
      <c r="J810" s="62"/>
      <c r="K810" s="61"/>
      <c r="L810" s="62"/>
      <c r="M810" s="62"/>
      <c r="N810" s="68"/>
      <c r="O810" s="86"/>
      <c r="P810" s="71"/>
      <c r="Q810" s="86"/>
      <c r="R810" s="86"/>
      <c r="S810" s="60"/>
      <c r="T810" s="62"/>
      <c r="U810" s="62"/>
      <c r="V810" s="62"/>
      <c r="W810" s="61"/>
      <c r="X810" s="62"/>
      <c r="Y810" s="62"/>
      <c r="Z810" s="68"/>
      <c r="AA810" s="86"/>
      <c r="AB810" s="60"/>
      <c r="AC810" s="60"/>
      <c r="AD810" s="60"/>
      <c r="AE810" s="60"/>
      <c r="AF810" s="62"/>
      <c r="AG810" s="62"/>
      <c r="AH810" s="62"/>
      <c r="AI810" s="61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</row>
    <row r="811" spans="1:52" x14ac:dyDescent="0.25">
      <c r="A811" s="62"/>
      <c r="B811" s="68"/>
      <c r="C811" s="86"/>
      <c r="D811" s="60"/>
      <c r="E811" s="60"/>
      <c r="F811" s="60"/>
      <c r="G811" s="60"/>
      <c r="H811" s="62"/>
      <c r="I811" s="62"/>
      <c r="J811" s="62"/>
      <c r="K811" s="61"/>
      <c r="L811" s="62"/>
      <c r="M811" s="62"/>
      <c r="N811" s="68"/>
      <c r="O811" s="86"/>
      <c r="P811" s="71"/>
      <c r="Q811" s="86"/>
      <c r="R811" s="86"/>
      <c r="S811" s="60"/>
      <c r="T811" s="62"/>
      <c r="U811" s="62"/>
      <c r="V811" s="62"/>
      <c r="W811" s="61"/>
      <c r="X811" s="62"/>
      <c r="Y811" s="62"/>
      <c r="Z811" s="68"/>
      <c r="AA811" s="62"/>
      <c r="AB811" s="60"/>
      <c r="AC811" s="60"/>
      <c r="AD811" s="60"/>
      <c r="AE811" s="60"/>
      <c r="AF811" s="62"/>
      <c r="AG811" s="62"/>
      <c r="AH811" s="62"/>
      <c r="AI811" s="61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</row>
    <row r="812" spans="1:52" x14ac:dyDescent="0.25">
      <c r="A812" s="62"/>
      <c r="B812" s="68"/>
      <c r="C812" s="86"/>
      <c r="D812" s="60"/>
      <c r="E812" s="60"/>
      <c r="F812" s="60"/>
      <c r="G812" s="60"/>
      <c r="H812" s="62"/>
      <c r="I812" s="62"/>
      <c r="J812" s="62"/>
      <c r="K812" s="61"/>
      <c r="L812" s="62"/>
      <c r="M812" s="62"/>
      <c r="N812" s="68"/>
      <c r="O812" s="86"/>
      <c r="P812" s="71"/>
      <c r="Q812" s="86"/>
      <c r="R812" s="86"/>
      <c r="S812" s="60"/>
      <c r="T812" s="62"/>
      <c r="U812" s="62"/>
      <c r="V812" s="62"/>
      <c r="W812" s="61"/>
      <c r="X812" s="62"/>
      <c r="Y812" s="62"/>
      <c r="Z812" s="68"/>
      <c r="AA812" s="62"/>
      <c r="AB812" s="60"/>
      <c r="AC812" s="60"/>
      <c r="AD812" s="60"/>
      <c r="AE812" s="60"/>
      <c r="AF812" s="62"/>
      <c r="AG812" s="62"/>
      <c r="AH812" s="62"/>
      <c r="AI812" s="61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</row>
    <row r="813" spans="1:52" x14ac:dyDescent="0.25">
      <c r="A813" s="62"/>
      <c r="B813" s="68"/>
      <c r="C813" s="86"/>
      <c r="D813" s="60"/>
      <c r="E813" s="60"/>
      <c r="F813" s="60"/>
      <c r="G813" s="60"/>
      <c r="H813" s="62"/>
      <c r="I813" s="62"/>
      <c r="J813" s="62"/>
      <c r="K813" s="61"/>
      <c r="L813" s="62"/>
      <c r="M813" s="62"/>
      <c r="N813" s="68"/>
      <c r="O813" s="86"/>
      <c r="P813" s="71"/>
      <c r="Q813" s="86"/>
      <c r="R813" s="86"/>
      <c r="S813" s="60"/>
      <c r="T813" s="62"/>
      <c r="U813" s="62"/>
      <c r="V813" s="62"/>
      <c r="W813" s="61"/>
      <c r="X813" s="62"/>
      <c r="Y813" s="62"/>
      <c r="Z813" s="68"/>
      <c r="AA813" s="86"/>
      <c r="AB813" s="60"/>
      <c r="AC813" s="60"/>
      <c r="AD813" s="60"/>
      <c r="AE813" s="60"/>
      <c r="AF813" s="62"/>
      <c r="AG813" s="62"/>
      <c r="AH813" s="62"/>
      <c r="AI813" s="61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</row>
    <row r="814" spans="1:52" x14ac:dyDescent="0.25">
      <c r="A814" s="62"/>
      <c r="B814" s="68"/>
      <c r="C814" s="86"/>
      <c r="D814" s="60"/>
      <c r="E814" s="60"/>
      <c r="F814" s="60"/>
      <c r="G814" s="60"/>
      <c r="H814" s="62"/>
      <c r="I814" s="62"/>
      <c r="J814" s="62"/>
      <c r="K814" s="61"/>
      <c r="L814" s="62"/>
      <c r="M814" s="62"/>
      <c r="N814" s="68"/>
      <c r="O814" s="86"/>
      <c r="P814" s="71"/>
      <c r="Q814" s="86"/>
      <c r="R814" s="86"/>
      <c r="S814" s="60"/>
      <c r="T814" s="62"/>
      <c r="U814" s="62"/>
      <c r="V814" s="62"/>
      <c r="W814" s="61"/>
      <c r="X814" s="62"/>
      <c r="Y814" s="62"/>
      <c r="Z814" s="68"/>
      <c r="AA814" s="86"/>
      <c r="AB814" s="60"/>
      <c r="AC814" s="60"/>
      <c r="AD814" s="60"/>
      <c r="AE814" s="60"/>
      <c r="AF814" s="62"/>
      <c r="AG814" s="62"/>
      <c r="AH814" s="62"/>
      <c r="AI814" s="61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</row>
    <row r="815" spans="1:52" x14ac:dyDescent="0.25">
      <c r="A815" s="62"/>
      <c r="B815" s="68"/>
      <c r="C815" s="66"/>
      <c r="D815" s="60"/>
      <c r="E815" s="60"/>
      <c r="F815" s="60"/>
      <c r="G815" s="60"/>
      <c r="H815" s="62"/>
      <c r="I815" s="62"/>
      <c r="J815" s="62"/>
      <c r="K815" s="61"/>
      <c r="L815" s="62"/>
      <c r="M815" s="62"/>
      <c r="N815" s="68"/>
      <c r="O815" s="86"/>
      <c r="P815" s="71"/>
      <c r="Q815" s="86"/>
      <c r="R815" s="86"/>
      <c r="S815" s="60"/>
      <c r="T815" s="62"/>
      <c r="U815" s="62"/>
      <c r="V815" s="62"/>
      <c r="W815" s="61"/>
      <c r="X815" s="62"/>
      <c r="Y815" s="62"/>
      <c r="Z815" s="68"/>
      <c r="AA815" s="86"/>
      <c r="AB815" s="60"/>
      <c r="AC815" s="60"/>
      <c r="AD815" s="60"/>
      <c r="AE815" s="60"/>
      <c r="AF815" s="62"/>
      <c r="AG815" s="62"/>
      <c r="AH815" s="62"/>
      <c r="AI815" s="61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</row>
    <row r="816" spans="1:52" x14ac:dyDescent="0.25">
      <c r="A816" s="62"/>
      <c r="B816" s="68"/>
      <c r="C816" s="86"/>
      <c r="D816" s="60"/>
      <c r="E816" s="60"/>
      <c r="F816" s="60"/>
      <c r="G816" s="60"/>
      <c r="H816" s="62"/>
      <c r="I816" s="62"/>
      <c r="J816" s="62"/>
      <c r="K816" s="61"/>
      <c r="L816" s="62"/>
      <c r="M816" s="62"/>
      <c r="N816" s="68"/>
      <c r="O816" s="86"/>
      <c r="P816" s="71"/>
      <c r="Q816" s="86"/>
      <c r="R816" s="86"/>
      <c r="S816" s="60"/>
      <c r="T816" s="62"/>
      <c r="U816" s="62"/>
      <c r="V816" s="62"/>
      <c r="W816" s="61"/>
      <c r="X816" s="62"/>
      <c r="Y816" s="62"/>
      <c r="Z816" s="68"/>
      <c r="AA816" s="86"/>
      <c r="AB816" s="60"/>
      <c r="AC816" s="60"/>
      <c r="AD816" s="60"/>
      <c r="AE816" s="60"/>
      <c r="AF816" s="62"/>
      <c r="AG816" s="62"/>
      <c r="AH816" s="62"/>
      <c r="AI816" s="61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</row>
    <row r="817" spans="1:52" x14ac:dyDescent="0.25">
      <c r="A817" s="62"/>
      <c r="B817" s="68"/>
      <c r="C817" s="86"/>
      <c r="D817" s="60"/>
      <c r="E817" s="60"/>
      <c r="F817" s="60"/>
      <c r="G817" s="60"/>
      <c r="H817" s="62"/>
      <c r="I817" s="62"/>
      <c r="J817" s="62"/>
      <c r="K817" s="61"/>
      <c r="L817" s="62"/>
      <c r="M817" s="62"/>
      <c r="N817" s="68"/>
      <c r="O817" s="86"/>
      <c r="P817" s="71"/>
      <c r="Q817" s="86"/>
      <c r="R817" s="86"/>
      <c r="S817" s="60"/>
      <c r="T817" s="62"/>
      <c r="U817" s="62"/>
      <c r="V817" s="62"/>
      <c r="W817" s="61"/>
      <c r="X817" s="62"/>
      <c r="Y817" s="62"/>
      <c r="Z817" s="68"/>
      <c r="AA817" s="86"/>
      <c r="AB817" s="60"/>
      <c r="AC817" s="60"/>
      <c r="AD817" s="60"/>
      <c r="AE817" s="60"/>
      <c r="AF817" s="62"/>
      <c r="AG817" s="62"/>
      <c r="AH817" s="62"/>
      <c r="AI817" s="61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</row>
    <row r="818" spans="1:52" x14ac:dyDescent="0.25">
      <c r="A818" s="62"/>
      <c r="B818" s="68"/>
      <c r="C818" s="86"/>
      <c r="D818" s="60"/>
      <c r="E818" s="60"/>
      <c r="F818" s="60"/>
      <c r="G818" s="60"/>
      <c r="H818" s="62"/>
      <c r="I818" s="62"/>
      <c r="J818" s="62"/>
      <c r="K818" s="61"/>
      <c r="L818" s="62"/>
      <c r="M818" s="62"/>
      <c r="N818" s="68"/>
      <c r="O818" s="86"/>
      <c r="P818" s="71"/>
      <c r="Q818" s="86"/>
      <c r="R818" s="86"/>
      <c r="S818" s="60"/>
      <c r="T818" s="62"/>
      <c r="U818" s="62"/>
      <c r="V818" s="62"/>
      <c r="W818" s="61"/>
      <c r="X818" s="62"/>
      <c r="Y818" s="62"/>
      <c r="Z818" s="68"/>
      <c r="AA818" s="86"/>
      <c r="AB818" s="60"/>
      <c r="AC818" s="60"/>
      <c r="AD818" s="60"/>
      <c r="AE818" s="60"/>
      <c r="AF818" s="62"/>
      <c r="AG818" s="62"/>
      <c r="AH818" s="62"/>
      <c r="AI818" s="61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</row>
    <row r="819" spans="1:52" x14ac:dyDescent="0.25">
      <c r="A819" s="62"/>
      <c r="B819" s="68"/>
      <c r="C819" s="86"/>
      <c r="D819" s="60"/>
      <c r="E819" s="60"/>
      <c r="F819" s="60"/>
      <c r="G819" s="60"/>
      <c r="H819" s="62"/>
      <c r="I819" s="62"/>
      <c r="J819" s="62"/>
      <c r="K819" s="61"/>
      <c r="L819" s="62"/>
      <c r="M819" s="62"/>
      <c r="N819" s="68"/>
      <c r="O819" s="86"/>
      <c r="P819" s="71"/>
      <c r="Q819" s="86"/>
      <c r="R819" s="86"/>
      <c r="S819" s="60"/>
      <c r="T819" s="62"/>
      <c r="U819" s="62"/>
      <c r="V819" s="62"/>
      <c r="W819" s="61"/>
      <c r="X819" s="62"/>
      <c r="Y819" s="62"/>
      <c r="Z819" s="68"/>
      <c r="AA819" s="86"/>
      <c r="AB819" s="60"/>
      <c r="AC819" s="60"/>
      <c r="AD819" s="60"/>
      <c r="AE819" s="60"/>
      <c r="AF819" s="62"/>
      <c r="AG819" s="62"/>
      <c r="AH819" s="62"/>
      <c r="AI819" s="61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</row>
    <row r="820" spans="1:52" x14ac:dyDescent="0.25">
      <c r="A820" s="62"/>
      <c r="B820" s="68"/>
      <c r="C820" s="86"/>
      <c r="D820" s="60"/>
      <c r="E820" s="60"/>
      <c r="F820" s="60"/>
      <c r="G820" s="60"/>
      <c r="H820" s="62"/>
      <c r="I820" s="62"/>
      <c r="J820" s="62"/>
      <c r="K820" s="61"/>
      <c r="L820" s="62"/>
      <c r="M820" s="62"/>
      <c r="N820" s="68"/>
      <c r="O820" s="86"/>
      <c r="P820" s="71"/>
      <c r="Q820" s="86"/>
      <c r="R820" s="86"/>
      <c r="S820" s="60"/>
      <c r="T820" s="62"/>
      <c r="U820" s="62"/>
      <c r="V820" s="62"/>
      <c r="W820" s="61"/>
      <c r="X820" s="62"/>
      <c r="Y820" s="62"/>
      <c r="Z820" s="68"/>
      <c r="AA820" s="86"/>
      <c r="AB820" s="60"/>
      <c r="AC820" s="60"/>
      <c r="AD820" s="60"/>
      <c r="AE820" s="60"/>
      <c r="AF820" s="62"/>
      <c r="AG820" s="62"/>
      <c r="AH820" s="62"/>
      <c r="AI820" s="61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</row>
    <row r="821" spans="1:52" x14ac:dyDescent="0.25">
      <c r="A821" s="62"/>
      <c r="B821" s="68"/>
      <c r="C821" s="86"/>
      <c r="D821" s="60"/>
      <c r="E821" s="60"/>
      <c r="F821" s="60"/>
      <c r="G821" s="60"/>
      <c r="H821" s="62"/>
      <c r="I821" s="62"/>
      <c r="J821" s="62"/>
      <c r="K821" s="61"/>
      <c r="L821" s="62"/>
      <c r="M821" s="62"/>
      <c r="N821" s="68"/>
      <c r="O821" s="86"/>
      <c r="P821" s="71"/>
      <c r="Q821" s="86"/>
      <c r="R821" s="86"/>
      <c r="S821" s="60"/>
      <c r="T821" s="62"/>
      <c r="U821" s="62"/>
      <c r="V821" s="62"/>
      <c r="W821" s="61"/>
      <c r="X821" s="62"/>
      <c r="Y821" s="62"/>
      <c r="Z821" s="68"/>
      <c r="AA821" s="86"/>
      <c r="AB821" s="60"/>
      <c r="AC821" s="60"/>
      <c r="AD821" s="60"/>
      <c r="AE821" s="60"/>
      <c r="AF821" s="62"/>
      <c r="AG821" s="62"/>
      <c r="AH821" s="62"/>
      <c r="AI821" s="61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</row>
    <row r="822" spans="1:52" x14ac:dyDescent="0.25">
      <c r="A822" s="62"/>
      <c r="B822" s="68"/>
      <c r="C822" s="86"/>
      <c r="D822" s="60"/>
      <c r="E822" s="60"/>
      <c r="F822" s="60"/>
      <c r="G822" s="60"/>
      <c r="H822" s="62"/>
      <c r="I822" s="62"/>
      <c r="J822" s="62"/>
      <c r="K822" s="61"/>
      <c r="L822" s="62"/>
      <c r="M822" s="62"/>
      <c r="N822" s="68"/>
      <c r="O822" s="86"/>
      <c r="P822" s="71"/>
      <c r="Q822" s="86"/>
      <c r="R822" s="86"/>
      <c r="S822" s="60"/>
      <c r="T822" s="62"/>
      <c r="U822" s="62"/>
      <c r="V822" s="62"/>
      <c r="W822" s="61"/>
      <c r="X822" s="62"/>
      <c r="Y822" s="62"/>
      <c r="Z822" s="68"/>
      <c r="AA822" s="86"/>
      <c r="AB822" s="60"/>
      <c r="AC822" s="60"/>
      <c r="AD822" s="60"/>
      <c r="AE822" s="60"/>
      <c r="AF822" s="62"/>
      <c r="AG822" s="62"/>
      <c r="AH822" s="62"/>
      <c r="AI822" s="61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</row>
    <row r="823" spans="1:52" x14ac:dyDescent="0.25">
      <c r="A823" s="62"/>
      <c r="B823" s="68"/>
      <c r="C823" s="86"/>
      <c r="D823" s="60"/>
      <c r="E823" s="60"/>
      <c r="F823" s="60"/>
      <c r="G823" s="60"/>
      <c r="H823" s="62"/>
      <c r="I823" s="62"/>
      <c r="J823" s="62"/>
      <c r="K823" s="61"/>
      <c r="L823" s="62"/>
      <c r="M823" s="62"/>
      <c r="N823" s="68"/>
      <c r="O823" s="86"/>
      <c r="P823" s="71"/>
      <c r="Q823" s="86"/>
      <c r="R823" s="86"/>
      <c r="S823" s="60"/>
      <c r="T823" s="62"/>
      <c r="U823" s="62"/>
      <c r="V823" s="62"/>
      <c r="W823" s="61"/>
      <c r="X823" s="62"/>
      <c r="Y823" s="62"/>
      <c r="Z823" s="68"/>
      <c r="AA823" s="86"/>
      <c r="AB823" s="60"/>
      <c r="AC823" s="60"/>
      <c r="AD823" s="60"/>
      <c r="AE823" s="60"/>
      <c r="AF823" s="62"/>
      <c r="AG823" s="62"/>
      <c r="AH823" s="62"/>
      <c r="AI823" s="61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</row>
    <row r="824" spans="1:52" x14ac:dyDescent="0.25">
      <c r="A824" s="62"/>
      <c r="B824" s="68"/>
      <c r="C824" s="86"/>
      <c r="D824" s="60"/>
      <c r="E824" s="60"/>
      <c r="F824" s="60"/>
      <c r="G824" s="60"/>
      <c r="H824" s="62"/>
      <c r="I824" s="62"/>
      <c r="J824" s="62"/>
      <c r="K824" s="61"/>
      <c r="L824" s="62"/>
      <c r="M824" s="62"/>
      <c r="N824" s="68"/>
      <c r="O824" s="86"/>
      <c r="P824" s="71"/>
      <c r="Q824" s="86"/>
      <c r="R824" s="86"/>
      <c r="S824" s="60"/>
      <c r="T824" s="62"/>
      <c r="U824" s="62"/>
      <c r="V824" s="62"/>
      <c r="W824" s="61"/>
      <c r="X824" s="62"/>
      <c r="Y824" s="62"/>
      <c r="Z824" s="68"/>
      <c r="AA824" s="86"/>
      <c r="AB824" s="60"/>
      <c r="AC824" s="60"/>
      <c r="AD824" s="60"/>
      <c r="AE824" s="60"/>
      <c r="AF824" s="62"/>
      <c r="AG824" s="62"/>
      <c r="AH824" s="62"/>
      <c r="AI824" s="61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</row>
    <row r="825" spans="1:52" x14ac:dyDescent="0.25">
      <c r="A825" s="62"/>
      <c r="B825" s="68"/>
      <c r="C825" s="86"/>
      <c r="D825" s="60"/>
      <c r="E825" s="60"/>
      <c r="F825" s="60"/>
      <c r="G825" s="60"/>
      <c r="H825" s="62"/>
      <c r="I825" s="62"/>
      <c r="J825" s="62"/>
      <c r="K825" s="61"/>
      <c r="L825" s="62"/>
      <c r="M825" s="62"/>
      <c r="N825" s="68"/>
      <c r="O825" s="86"/>
      <c r="P825" s="71"/>
      <c r="Q825" s="86"/>
      <c r="R825" s="86"/>
      <c r="S825" s="60"/>
      <c r="T825" s="62"/>
      <c r="U825" s="62"/>
      <c r="V825" s="62"/>
      <c r="W825" s="61"/>
      <c r="X825" s="62"/>
      <c r="Y825" s="62"/>
      <c r="Z825" s="68"/>
      <c r="AA825" s="86"/>
      <c r="AB825" s="60"/>
      <c r="AC825" s="60"/>
      <c r="AD825" s="60"/>
      <c r="AE825" s="60"/>
      <c r="AF825" s="62"/>
      <c r="AG825" s="62"/>
      <c r="AH825" s="62"/>
      <c r="AI825" s="61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</row>
    <row r="826" spans="1:52" x14ac:dyDescent="0.25">
      <c r="A826" s="62"/>
      <c r="B826" s="68"/>
      <c r="C826" s="86"/>
      <c r="D826" s="60"/>
      <c r="E826" s="60"/>
      <c r="F826" s="60"/>
      <c r="G826" s="60"/>
      <c r="H826" s="62"/>
      <c r="I826" s="62"/>
      <c r="J826" s="62"/>
      <c r="K826" s="61"/>
      <c r="L826" s="62"/>
      <c r="M826" s="62"/>
      <c r="N826" s="68"/>
      <c r="O826" s="86"/>
      <c r="P826" s="71"/>
      <c r="Q826" s="86"/>
      <c r="R826" s="86"/>
      <c r="S826" s="60"/>
      <c r="T826" s="62"/>
      <c r="U826" s="62"/>
      <c r="V826" s="62"/>
      <c r="W826" s="61"/>
      <c r="X826" s="62"/>
      <c r="Y826" s="62"/>
      <c r="Z826" s="68"/>
      <c r="AA826" s="86"/>
      <c r="AB826" s="60"/>
      <c r="AC826" s="60"/>
      <c r="AD826" s="60"/>
      <c r="AE826" s="60"/>
      <c r="AF826" s="62"/>
      <c r="AG826" s="62"/>
      <c r="AH826" s="62"/>
      <c r="AI826" s="61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</row>
    <row r="827" spans="1:52" x14ac:dyDescent="0.25">
      <c r="A827" s="62"/>
      <c r="B827" s="68"/>
      <c r="C827" s="86"/>
      <c r="D827" s="60"/>
      <c r="E827" s="60"/>
      <c r="F827" s="60"/>
      <c r="G827" s="60"/>
      <c r="H827" s="62"/>
      <c r="I827" s="62"/>
      <c r="J827" s="62"/>
      <c r="K827" s="61"/>
      <c r="L827" s="62"/>
      <c r="M827" s="62"/>
      <c r="N827" s="68"/>
      <c r="O827" s="86"/>
      <c r="P827" s="71"/>
      <c r="Q827" s="86"/>
      <c r="R827" s="86"/>
      <c r="S827" s="60"/>
      <c r="T827" s="62"/>
      <c r="U827" s="62"/>
      <c r="V827" s="62"/>
      <c r="W827" s="61"/>
      <c r="X827" s="62"/>
      <c r="Y827" s="62"/>
      <c r="Z827" s="68"/>
      <c r="AA827" s="86"/>
      <c r="AB827" s="60"/>
      <c r="AC827" s="60"/>
      <c r="AD827" s="60"/>
      <c r="AE827" s="60"/>
      <c r="AF827" s="62"/>
      <c r="AG827" s="62"/>
      <c r="AH827" s="62"/>
      <c r="AI827" s="61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</row>
    <row r="828" spans="1:52" x14ac:dyDescent="0.25">
      <c r="A828" s="62"/>
      <c r="B828" s="68"/>
      <c r="C828" s="86"/>
      <c r="D828" s="60"/>
      <c r="E828" s="60"/>
      <c r="F828" s="60"/>
      <c r="G828" s="60"/>
      <c r="H828" s="62"/>
      <c r="I828" s="62"/>
      <c r="J828" s="62"/>
      <c r="K828" s="61"/>
      <c r="L828" s="62"/>
      <c r="M828" s="62"/>
      <c r="N828" s="68"/>
      <c r="O828" s="86"/>
      <c r="P828" s="71"/>
      <c r="Q828" s="86"/>
      <c r="R828" s="86"/>
      <c r="S828" s="60"/>
      <c r="T828" s="62"/>
      <c r="U828" s="62"/>
      <c r="V828" s="62"/>
      <c r="W828" s="61"/>
      <c r="X828" s="62"/>
      <c r="Y828" s="62"/>
      <c r="Z828" s="68"/>
      <c r="AA828" s="86"/>
      <c r="AB828" s="60"/>
      <c r="AC828" s="60"/>
      <c r="AD828" s="60"/>
      <c r="AE828" s="60"/>
      <c r="AF828" s="62"/>
      <c r="AG828" s="62"/>
      <c r="AH828" s="62"/>
      <c r="AI828" s="61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</row>
    <row r="829" spans="1:52" x14ac:dyDescent="0.25">
      <c r="A829" s="62"/>
      <c r="B829" s="68"/>
      <c r="C829" s="86"/>
      <c r="D829" s="60"/>
      <c r="E829" s="60"/>
      <c r="F829" s="60"/>
      <c r="G829" s="60"/>
      <c r="H829" s="62"/>
      <c r="I829" s="62"/>
      <c r="J829" s="62"/>
      <c r="K829" s="61"/>
      <c r="L829" s="62"/>
      <c r="M829" s="62"/>
      <c r="N829" s="68"/>
      <c r="O829" s="66"/>
      <c r="P829" s="71"/>
      <c r="Q829" s="86"/>
      <c r="R829" s="86"/>
      <c r="S829" s="60"/>
      <c r="T829" s="62"/>
      <c r="U829" s="62"/>
      <c r="V829" s="62"/>
      <c r="W829" s="61"/>
      <c r="X829" s="62"/>
      <c r="Y829" s="62"/>
      <c r="Z829" s="68"/>
      <c r="AA829" s="86"/>
      <c r="AB829" s="60"/>
      <c r="AC829" s="60"/>
      <c r="AD829" s="60"/>
      <c r="AE829" s="60"/>
      <c r="AF829" s="62"/>
      <c r="AG829" s="62"/>
      <c r="AH829" s="62"/>
      <c r="AI829" s="61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</row>
    <row r="830" spans="1:52" x14ac:dyDescent="0.25">
      <c r="A830" s="62"/>
      <c r="B830" s="68"/>
      <c r="C830" s="86"/>
      <c r="D830" s="60"/>
      <c r="E830" s="60"/>
      <c r="F830" s="60"/>
      <c r="G830" s="60"/>
      <c r="H830" s="62"/>
      <c r="I830" s="62"/>
      <c r="J830" s="62"/>
      <c r="K830" s="61"/>
      <c r="L830" s="62"/>
      <c r="M830" s="62"/>
      <c r="N830" s="68"/>
      <c r="O830" s="86"/>
      <c r="P830" s="71"/>
      <c r="Q830" s="86"/>
      <c r="R830" s="86"/>
      <c r="S830" s="60"/>
      <c r="T830" s="62"/>
      <c r="U830" s="62"/>
      <c r="V830" s="62"/>
      <c r="W830" s="61"/>
      <c r="X830" s="62"/>
      <c r="Y830" s="62"/>
      <c r="Z830" s="68"/>
      <c r="AA830" s="86"/>
      <c r="AB830" s="60"/>
      <c r="AC830" s="60"/>
      <c r="AD830" s="60"/>
      <c r="AE830" s="60"/>
      <c r="AF830" s="62"/>
      <c r="AG830" s="62"/>
      <c r="AH830" s="62"/>
      <c r="AI830" s="61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</row>
    <row r="831" spans="1:52" x14ac:dyDescent="0.25">
      <c r="A831" s="62"/>
      <c r="B831" s="68"/>
      <c r="C831" s="68"/>
      <c r="D831" s="60"/>
      <c r="E831" s="60"/>
      <c r="F831" s="60"/>
      <c r="G831" s="60"/>
      <c r="H831" s="62"/>
      <c r="I831" s="62"/>
      <c r="J831" s="62"/>
      <c r="K831" s="61"/>
      <c r="L831" s="62"/>
      <c r="M831" s="62"/>
      <c r="N831" s="86"/>
      <c r="O831" s="86"/>
      <c r="P831" s="86"/>
      <c r="Q831" s="86"/>
      <c r="R831" s="86"/>
      <c r="S831" s="86"/>
      <c r="T831" s="62"/>
      <c r="U831" s="62"/>
      <c r="V831" s="62"/>
      <c r="W831" s="61"/>
      <c r="X831" s="62"/>
      <c r="Y831" s="62"/>
      <c r="Z831" s="68"/>
      <c r="AA831" s="68"/>
      <c r="AB831" s="60"/>
      <c r="AC831" s="60"/>
      <c r="AD831" s="60"/>
      <c r="AE831" s="60"/>
      <c r="AF831" s="62"/>
      <c r="AG831" s="62"/>
      <c r="AH831" s="62"/>
      <c r="AI831" s="61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</row>
    <row r="832" spans="1:52" x14ac:dyDescent="0.25">
      <c r="A832" s="62"/>
      <c r="B832" s="86"/>
      <c r="C832" s="86"/>
      <c r="D832" s="86"/>
      <c r="E832" s="86"/>
      <c r="F832" s="86"/>
      <c r="G832" s="86"/>
      <c r="H832" s="62"/>
      <c r="I832" s="62"/>
      <c r="J832" s="62"/>
      <c r="K832" s="62"/>
      <c r="L832" s="62"/>
      <c r="M832" s="62"/>
      <c r="N832" s="86"/>
      <c r="O832" s="86"/>
      <c r="P832" s="86"/>
      <c r="Q832" s="86"/>
      <c r="R832" s="86"/>
      <c r="S832" s="86"/>
      <c r="T832" s="62"/>
      <c r="U832" s="62"/>
      <c r="V832" s="62"/>
      <c r="W832" s="62"/>
      <c r="X832" s="62"/>
      <c r="Y832" s="62"/>
      <c r="Z832" s="86"/>
      <c r="AA832" s="86"/>
      <c r="AB832" s="86"/>
      <c r="AC832" s="86"/>
      <c r="AD832" s="86"/>
      <c r="AE832" s="86"/>
      <c r="AF832" s="62"/>
      <c r="AG832" s="62"/>
      <c r="AH832" s="62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</row>
    <row r="833" spans="1:52" x14ac:dyDescent="0.25">
      <c r="A833" s="62"/>
      <c r="B833" s="86"/>
      <c r="C833" s="86"/>
      <c r="D833" s="72"/>
      <c r="E833" s="72"/>
      <c r="F833" s="72"/>
      <c r="G833" s="72"/>
      <c r="H833" s="64"/>
      <c r="I833" s="72"/>
      <c r="J833" s="72"/>
      <c r="K833" s="72"/>
      <c r="L833" s="62"/>
      <c r="M833" s="62"/>
      <c r="N833" s="86"/>
      <c r="O833" s="86"/>
      <c r="P833" s="72"/>
      <c r="Q833" s="72"/>
      <c r="R833" s="72"/>
      <c r="S833" s="72"/>
      <c r="T833" s="64"/>
      <c r="U833" s="73"/>
      <c r="V833" s="73"/>
      <c r="W833" s="73"/>
      <c r="X833" s="62"/>
      <c r="Y833" s="62"/>
      <c r="Z833" s="86"/>
      <c r="AA833" s="86"/>
      <c r="AB833" s="72"/>
      <c r="AC833" s="72"/>
      <c r="AD833" s="72"/>
      <c r="AE833" s="72"/>
      <c r="AF833" s="64"/>
      <c r="AG833" s="72"/>
      <c r="AH833" s="72"/>
      <c r="AI833" s="7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</row>
    <row r="834" spans="1:52" x14ac:dyDescent="0.25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</row>
    <row r="835" spans="1:52" x14ac:dyDescent="0.25">
      <c r="A835" s="62"/>
      <c r="B835" s="86"/>
      <c r="C835" s="86"/>
      <c r="D835" s="86"/>
      <c r="E835" s="86"/>
      <c r="F835" s="86"/>
      <c r="G835" s="86"/>
      <c r="H835" s="62"/>
      <c r="I835" s="62"/>
      <c r="J835" s="62"/>
      <c r="K835" s="62"/>
      <c r="L835" s="62"/>
      <c r="M835" s="62"/>
      <c r="N835" s="86"/>
      <c r="O835" s="86"/>
      <c r="P835" s="86"/>
      <c r="Q835" s="86"/>
      <c r="R835" s="86"/>
      <c r="S835" s="86"/>
      <c r="T835" s="62"/>
      <c r="U835" s="62"/>
      <c r="V835" s="62"/>
      <c r="W835" s="62"/>
      <c r="X835" s="62"/>
      <c r="Y835" s="62"/>
      <c r="Z835" s="86"/>
      <c r="AA835" s="86"/>
      <c r="AB835" s="86"/>
      <c r="AC835" s="86"/>
      <c r="AD835" s="86"/>
      <c r="AE835" s="86"/>
      <c r="AF835" s="62"/>
      <c r="AG835" s="62"/>
      <c r="AH835" s="62"/>
      <c r="AI835" s="62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</row>
    <row r="836" spans="1:52" x14ac:dyDescent="0.25">
      <c r="A836" s="62"/>
      <c r="B836" s="86"/>
      <c r="C836" s="86"/>
      <c r="D836" s="86"/>
      <c r="E836" s="86"/>
      <c r="F836" s="86"/>
      <c r="G836" s="86"/>
      <c r="H836" s="62"/>
      <c r="I836" s="62"/>
      <c r="J836" s="62"/>
      <c r="K836" s="62"/>
      <c r="L836" s="62"/>
      <c r="M836" s="62"/>
      <c r="N836" s="86"/>
      <c r="O836" s="86"/>
      <c r="P836" s="86"/>
      <c r="Q836" s="86"/>
      <c r="R836" s="86"/>
      <c r="S836" s="86"/>
      <c r="T836" s="62"/>
      <c r="U836" s="62"/>
      <c r="V836" s="62"/>
      <c r="W836" s="62"/>
      <c r="X836" s="62"/>
      <c r="Y836" s="62"/>
      <c r="Z836" s="86"/>
      <c r="AA836" s="86"/>
      <c r="AB836" s="86"/>
      <c r="AC836" s="86"/>
      <c r="AD836" s="86"/>
      <c r="AE836" s="86"/>
      <c r="AF836" s="62"/>
      <c r="AG836" s="62"/>
      <c r="AH836" s="62"/>
      <c r="AI836" s="62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</row>
    <row r="837" spans="1:52" x14ac:dyDescent="0.25">
      <c r="A837" s="62"/>
      <c r="B837" s="86"/>
      <c r="C837" s="86"/>
      <c r="D837" s="86"/>
      <c r="E837" s="86"/>
      <c r="F837" s="86"/>
      <c r="G837" s="86"/>
      <c r="H837" s="62"/>
      <c r="I837" s="62"/>
      <c r="J837" s="62"/>
      <c r="K837" s="62"/>
      <c r="L837" s="62"/>
      <c r="M837" s="62"/>
      <c r="N837" s="86"/>
      <c r="O837" s="86"/>
      <c r="P837" s="86"/>
      <c r="Q837" s="86"/>
      <c r="R837" s="86"/>
      <c r="S837" s="86"/>
      <c r="T837" s="62"/>
      <c r="U837" s="62"/>
      <c r="V837" s="62"/>
      <c r="W837" s="62"/>
      <c r="X837" s="62"/>
      <c r="Y837" s="62"/>
      <c r="Z837" s="86"/>
      <c r="AA837" s="86"/>
      <c r="AB837" s="86"/>
      <c r="AC837" s="86"/>
      <c r="AD837" s="86"/>
      <c r="AE837" s="86"/>
      <c r="AF837" s="62"/>
      <c r="AG837" s="62"/>
      <c r="AH837" s="62"/>
      <c r="AI837" s="62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</row>
    <row r="838" spans="1:52" x14ac:dyDescent="0.25">
      <c r="A838" s="64"/>
      <c r="B838" s="86"/>
      <c r="C838" s="86"/>
      <c r="D838" s="86"/>
      <c r="E838" s="86"/>
      <c r="F838" s="86"/>
      <c r="G838" s="86"/>
      <c r="H838" s="62"/>
      <c r="I838" s="62"/>
      <c r="J838" s="62"/>
      <c r="K838" s="62"/>
      <c r="L838" s="62"/>
      <c r="M838" s="64"/>
      <c r="N838" s="86"/>
      <c r="O838" s="86"/>
      <c r="P838" s="86"/>
      <c r="Q838" s="86"/>
      <c r="R838" s="86"/>
      <c r="S838" s="86"/>
      <c r="T838" s="62"/>
      <c r="U838" s="62"/>
      <c r="V838" s="62"/>
      <c r="W838" s="62"/>
      <c r="X838" s="62"/>
      <c r="Y838" s="64"/>
      <c r="Z838" s="86"/>
      <c r="AA838" s="86"/>
      <c r="AB838" s="86"/>
      <c r="AC838" s="86"/>
      <c r="AD838" s="86"/>
      <c r="AE838" s="86"/>
      <c r="AF838" s="62"/>
      <c r="AG838" s="62"/>
      <c r="AH838" s="62"/>
      <c r="AI838" s="62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</row>
    <row r="839" spans="1:52" x14ac:dyDescent="0.25">
      <c r="A839" s="62"/>
      <c r="B839" s="86"/>
      <c r="C839" s="86"/>
      <c r="D839" s="86"/>
      <c r="E839" s="86"/>
      <c r="F839" s="86"/>
      <c r="G839" s="86"/>
      <c r="H839" s="62"/>
      <c r="I839" s="62"/>
      <c r="J839" s="62"/>
      <c r="K839" s="62"/>
      <c r="L839" s="62"/>
      <c r="M839" s="62"/>
      <c r="N839" s="86"/>
      <c r="O839" s="86"/>
      <c r="P839" s="86"/>
      <c r="Q839" s="86"/>
      <c r="R839" s="86"/>
      <c r="S839" s="86"/>
      <c r="T839" s="62"/>
      <c r="U839" s="62"/>
      <c r="V839" s="62"/>
      <c r="W839" s="62"/>
      <c r="X839" s="62"/>
      <c r="Y839" s="62"/>
      <c r="Z839" s="86"/>
      <c r="AA839" s="86"/>
      <c r="AB839" s="86"/>
      <c r="AC839" s="86"/>
      <c r="AD839" s="86"/>
      <c r="AE839" s="86"/>
      <c r="AF839" s="62"/>
      <c r="AG839" s="62"/>
      <c r="AH839" s="62"/>
      <c r="AI839" s="62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</row>
    <row r="840" spans="1:52" ht="15.75" x14ac:dyDescent="0.25">
      <c r="A840" s="62"/>
      <c r="B840" s="86"/>
      <c r="C840" s="86"/>
      <c r="D840" s="86"/>
      <c r="E840" s="86"/>
      <c r="F840" s="86"/>
      <c r="G840" s="86"/>
      <c r="H840" s="62"/>
      <c r="I840" s="86"/>
      <c r="J840" s="77"/>
      <c r="K840" s="62"/>
      <c r="L840" s="62"/>
      <c r="M840" s="62"/>
      <c r="N840" s="86"/>
      <c r="O840" s="86"/>
      <c r="P840" s="86"/>
      <c r="Q840" s="86"/>
      <c r="R840" s="86"/>
      <c r="S840" s="86"/>
      <c r="T840" s="62"/>
      <c r="U840" s="86"/>
      <c r="V840" s="77"/>
      <c r="W840" s="62"/>
      <c r="X840" s="62"/>
      <c r="Y840" s="62"/>
      <c r="Z840" s="86"/>
      <c r="AA840" s="86"/>
      <c r="AB840" s="86"/>
      <c r="AC840" s="86"/>
      <c r="AD840" s="86"/>
      <c r="AE840" s="86"/>
      <c r="AF840" s="62"/>
      <c r="AG840" s="86"/>
      <c r="AH840" s="86"/>
      <c r="AI840" s="62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</row>
    <row r="841" spans="1:52" x14ac:dyDescent="0.25">
      <c r="A841" s="65"/>
      <c r="B841" s="86"/>
      <c r="C841" s="86"/>
      <c r="D841" s="86"/>
      <c r="E841" s="86"/>
      <c r="F841" s="86"/>
      <c r="G841" s="86"/>
      <c r="H841" s="62"/>
      <c r="I841" s="66"/>
      <c r="J841" s="66"/>
      <c r="K841" s="62"/>
      <c r="L841" s="62"/>
      <c r="M841" s="65"/>
      <c r="N841" s="86"/>
      <c r="O841" s="86"/>
      <c r="P841" s="86"/>
      <c r="Q841" s="86"/>
      <c r="R841" s="86"/>
      <c r="S841" s="86"/>
      <c r="T841" s="62"/>
      <c r="U841" s="66"/>
      <c r="V841" s="66"/>
      <c r="W841" s="62"/>
      <c r="X841" s="62"/>
      <c r="Y841" s="65"/>
      <c r="Z841" s="86"/>
      <c r="AA841" s="86"/>
      <c r="AB841" s="86"/>
      <c r="AC841" s="86"/>
      <c r="AD841" s="86"/>
      <c r="AE841" s="86"/>
      <c r="AF841" s="62"/>
      <c r="AG841" s="66"/>
      <c r="AH841" s="66"/>
      <c r="AI841" s="62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</row>
    <row r="842" spans="1:52" x14ac:dyDescent="0.25">
      <c r="A842" s="62"/>
      <c r="B842" s="86"/>
      <c r="C842" s="86"/>
      <c r="D842" s="86"/>
      <c r="E842" s="86"/>
      <c r="F842" s="86"/>
      <c r="G842" s="86"/>
      <c r="H842" s="62"/>
      <c r="I842" s="62"/>
      <c r="J842" s="62"/>
      <c r="K842" s="62"/>
      <c r="L842" s="62"/>
      <c r="M842" s="62"/>
      <c r="N842" s="86"/>
      <c r="O842" s="86"/>
      <c r="P842" s="86"/>
      <c r="Q842" s="86"/>
      <c r="R842" s="86"/>
      <c r="S842" s="86"/>
      <c r="T842" s="62"/>
      <c r="U842" s="62"/>
      <c r="V842" s="62"/>
      <c r="W842" s="62"/>
      <c r="X842" s="62"/>
      <c r="Y842" s="62"/>
      <c r="Z842" s="86"/>
      <c r="AA842" s="86"/>
      <c r="AB842" s="86"/>
      <c r="AC842" s="86"/>
      <c r="AD842" s="86"/>
      <c r="AE842" s="86"/>
      <c r="AF842" s="62"/>
      <c r="AG842" s="62"/>
      <c r="AH842" s="62"/>
      <c r="AI842" s="62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</row>
    <row r="843" spans="1:52" x14ac:dyDescent="0.25">
      <c r="A843" s="62"/>
      <c r="B843" s="66"/>
      <c r="C843" s="86"/>
      <c r="D843" s="116"/>
      <c r="E843" s="116"/>
      <c r="F843" s="86"/>
      <c r="G843" s="86"/>
      <c r="H843" s="62"/>
      <c r="I843" s="116"/>
      <c r="J843" s="116"/>
      <c r="K843" s="115"/>
      <c r="L843" s="62"/>
      <c r="M843" s="62"/>
      <c r="N843" s="66"/>
      <c r="O843" s="86"/>
      <c r="P843" s="116"/>
      <c r="Q843" s="116"/>
      <c r="R843" s="86"/>
      <c r="S843" s="86"/>
      <c r="T843" s="62"/>
      <c r="U843" s="116"/>
      <c r="V843" s="116"/>
      <c r="W843" s="115"/>
      <c r="X843" s="62"/>
      <c r="Y843" s="62"/>
      <c r="Z843" s="66"/>
      <c r="AA843" s="86"/>
      <c r="AB843" s="116"/>
      <c r="AC843" s="116"/>
      <c r="AD843" s="86"/>
      <c r="AE843" s="86"/>
      <c r="AF843" s="62"/>
      <c r="AG843" s="116"/>
      <c r="AH843" s="116"/>
      <c r="AI843" s="115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</row>
    <row r="844" spans="1:52" x14ac:dyDescent="0.25">
      <c r="A844" s="62"/>
      <c r="B844" s="86"/>
      <c r="C844" s="86"/>
      <c r="D844" s="87"/>
      <c r="E844" s="88"/>
      <c r="F844" s="89"/>
      <c r="G844" s="89"/>
      <c r="H844" s="62"/>
      <c r="I844" s="85"/>
      <c r="J844" s="85"/>
      <c r="K844" s="115"/>
      <c r="L844" s="62"/>
      <c r="M844" s="62"/>
      <c r="N844" s="86"/>
      <c r="O844" s="86"/>
      <c r="P844" s="87"/>
      <c r="Q844" s="89"/>
      <c r="R844" s="89"/>
      <c r="S844" s="89"/>
      <c r="T844" s="62"/>
      <c r="U844" s="85"/>
      <c r="V844" s="85"/>
      <c r="W844" s="115"/>
      <c r="X844" s="62"/>
      <c r="Y844" s="62"/>
      <c r="Z844" s="86"/>
      <c r="AA844" s="86"/>
      <c r="AB844" s="87"/>
      <c r="AC844" s="88"/>
      <c r="AD844" s="89"/>
      <c r="AE844" s="89"/>
      <c r="AF844" s="62"/>
      <c r="AG844" s="85"/>
      <c r="AH844" s="85"/>
      <c r="AI844" s="115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</row>
    <row r="845" spans="1:52" x14ac:dyDescent="0.25">
      <c r="A845" s="62"/>
      <c r="B845" s="68"/>
      <c r="C845" s="86"/>
      <c r="D845" s="60"/>
      <c r="E845" s="60"/>
      <c r="F845" s="60"/>
      <c r="G845" s="60"/>
      <c r="H845" s="61"/>
      <c r="I845" s="61"/>
      <c r="J845" s="61"/>
      <c r="K845" s="61"/>
      <c r="L845" s="62"/>
      <c r="M845" s="62"/>
      <c r="N845" s="68"/>
      <c r="O845" s="86"/>
      <c r="P845" s="60"/>
      <c r="Q845" s="60"/>
      <c r="R845" s="60"/>
      <c r="S845" s="60"/>
      <c r="T845" s="61"/>
      <c r="U845" s="61"/>
      <c r="V845" s="61"/>
      <c r="W845" s="61"/>
      <c r="X845" s="62"/>
      <c r="Y845" s="62"/>
      <c r="Z845" s="68"/>
      <c r="AA845" s="86"/>
      <c r="AB845" s="60"/>
      <c r="AC845" s="60"/>
      <c r="AD845" s="60"/>
      <c r="AE845" s="60"/>
      <c r="AF845" s="61"/>
      <c r="AG845" s="61"/>
      <c r="AH845" s="61"/>
      <c r="AI845" s="61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</row>
    <row r="846" spans="1:52" x14ac:dyDescent="0.25">
      <c r="A846" s="62"/>
      <c r="B846" s="68"/>
      <c r="C846" s="86"/>
      <c r="D846" s="60"/>
      <c r="E846" s="60"/>
      <c r="F846" s="60"/>
      <c r="G846" s="60"/>
      <c r="H846" s="61"/>
      <c r="I846" s="61"/>
      <c r="J846" s="61"/>
      <c r="K846" s="61"/>
      <c r="L846" s="62"/>
      <c r="M846" s="62"/>
      <c r="N846" s="68"/>
      <c r="O846" s="86"/>
      <c r="P846" s="60"/>
      <c r="Q846" s="60"/>
      <c r="R846" s="60"/>
      <c r="S846" s="60"/>
      <c r="T846" s="61"/>
      <c r="U846" s="61"/>
      <c r="V846" s="61"/>
      <c r="W846" s="61"/>
      <c r="X846" s="62"/>
      <c r="Y846" s="62"/>
      <c r="Z846" s="68"/>
      <c r="AA846" s="86"/>
      <c r="AB846" s="60"/>
      <c r="AC846" s="60"/>
      <c r="AD846" s="60"/>
      <c r="AE846" s="60"/>
      <c r="AF846" s="61"/>
      <c r="AG846" s="61"/>
      <c r="AH846" s="61"/>
      <c r="AI846" s="61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</row>
    <row r="847" spans="1:52" x14ac:dyDescent="0.25">
      <c r="A847" s="62"/>
      <c r="B847" s="68"/>
      <c r="C847" s="86"/>
      <c r="D847" s="60"/>
      <c r="E847" s="60"/>
      <c r="F847" s="60"/>
      <c r="G847" s="60"/>
      <c r="H847" s="61"/>
      <c r="I847" s="61"/>
      <c r="J847" s="61"/>
      <c r="K847" s="61"/>
      <c r="L847" s="62"/>
      <c r="M847" s="62"/>
      <c r="N847" s="68"/>
      <c r="O847" s="86"/>
      <c r="P847" s="60"/>
      <c r="Q847" s="60"/>
      <c r="R847" s="60"/>
      <c r="S847" s="60"/>
      <c r="T847" s="61"/>
      <c r="U847" s="61"/>
      <c r="V847" s="61"/>
      <c r="W847" s="61"/>
      <c r="X847" s="62"/>
      <c r="Y847" s="62"/>
      <c r="Z847" s="68"/>
      <c r="AA847" s="86"/>
      <c r="AB847" s="60"/>
      <c r="AC847" s="60"/>
      <c r="AD847" s="60"/>
      <c r="AE847" s="60"/>
      <c r="AF847" s="61"/>
      <c r="AG847" s="61"/>
      <c r="AH847" s="61"/>
      <c r="AI847" s="61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</row>
    <row r="848" spans="1:52" x14ac:dyDescent="0.25">
      <c r="A848" s="62"/>
      <c r="B848" s="68"/>
      <c r="C848" s="86"/>
      <c r="D848" s="60"/>
      <c r="E848" s="60"/>
      <c r="F848" s="60"/>
      <c r="G848" s="60"/>
      <c r="H848" s="61"/>
      <c r="I848" s="61"/>
      <c r="J848" s="61"/>
      <c r="K848" s="61"/>
      <c r="L848" s="62"/>
      <c r="M848" s="62"/>
      <c r="N848" s="68"/>
      <c r="O848" s="86"/>
      <c r="P848" s="60"/>
      <c r="Q848" s="60"/>
      <c r="R848" s="60"/>
      <c r="S848" s="60"/>
      <c r="T848" s="61"/>
      <c r="U848" s="61"/>
      <c r="V848" s="61"/>
      <c r="W848" s="61"/>
      <c r="X848" s="62"/>
      <c r="Y848" s="62"/>
      <c r="Z848" s="68"/>
      <c r="AA848" s="86"/>
      <c r="AB848" s="60"/>
      <c r="AC848" s="60"/>
      <c r="AD848" s="60"/>
      <c r="AE848" s="60"/>
      <c r="AF848" s="61"/>
      <c r="AG848" s="61"/>
      <c r="AH848" s="61"/>
      <c r="AI848" s="61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</row>
    <row r="849" spans="1:52" x14ac:dyDescent="0.25">
      <c r="A849" s="62"/>
      <c r="B849" s="68"/>
      <c r="C849" s="86"/>
      <c r="D849" s="60"/>
      <c r="E849" s="60"/>
      <c r="F849" s="60"/>
      <c r="G849" s="60"/>
      <c r="H849" s="61"/>
      <c r="I849" s="61"/>
      <c r="J849" s="61"/>
      <c r="K849" s="61"/>
      <c r="L849" s="62"/>
      <c r="M849" s="62"/>
      <c r="N849" s="68"/>
      <c r="O849" s="86"/>
      <c r="P849" s="60"/>
      <c r="Q849" s="60"/>
      <c r="R849" s="60"/>
      <c r="S849" s="60"/>
      <c r="T849" s="61"/>
      <c r="U849" s="61"/>
      <c r="V849" s="61"/>
      <c r="W849" s="61"/>
      <c r="X849" s="62"/>
      <c r="Y849" s="62"/>
      <c r="Z849" s="68"/>
      <c r="AA849" s="86"/>
      <c r="AB849" s="60"/>
      <c r="AC849" s="60"/>
      <c r="AD849" s="60"/>
      <c r="AE849" s="60"/>
      <c r="AF849" s="61"/>
      <c r="AG849" s="61"/>
      <c r="AH849" s="61"/>
      <c r="AI849" s="61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</row>
    <row r="850" spans="1:52" x14ac:dyDescent="0.25">
      <c r="A850" s="62"/>
      <c r="B850" s="68"/>
      <c r="C850" s="86"/>
      <c r="D850" s="60"/>
      <c r="E850" s="60"/>
      <c r="F850" s="60"/>
      <c r="G850" s="60"/>
      <c r="H850" s="61"/>
      <c r="I850" s="61"/>
      <c r="J850" s="61"/>
      <c r="K850" s="61"/>
      <c r="L850" s="62"/>
      <c r="M850" s="62"/>
      <c r="N850" s="68"/>
      <c r="O850" s="86"/>
      <c r="P850" s="60"/>
      <c r="Q850" s="60"/>
      <c r="R850" s="60"/>
      <c r="S850" s="60"/>
      <c r="T850" s="61"/>
      <c r="U850" s="61"/>
      <c r="V850" s="62"/>
      <c r="W850" s="61"/>
      <c r="X850" s="62"/>
      <c r="Y850" s="62"/>
      <c r="Z850" s="68"/>
      <c r="AA850" s="86"/>
      <c r="AB850" s="60"/>
      <c r="AC850" s="60"/>
      <c r="AD850" s="60"/>
      <c r="AE850" s="60"/>
      <c r="AF850" s="61"/>
      <c r="AG850" s="61"/>
      <c r="AH850" s="61"/>
      <c r="AI850" s="61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</row>
    <row r="851" spans="1:52" x14ac:dyDescent="0.25">
      <c r="A851" s="62"/>
      <c r="B851" s="68"/>
      <c r="C851" s="86"/>
      <c r="D851" s="60"/>
      <c r="E851" s="60"/>
      <c r="F851" s="60"/>
      <c r="G851" s="60"/>
      <c r="H851" s="61"/>
      <c r="I851" s="61"/>
      <c r="J851" s="61"/>
      <c r="K851" s="61"/>
      <c r="L851" s="62"/>
      <c r="M851" s="62"/>
      <c r="N851" s="68"/>
      <c r="O851" s="86"/>
      <c r="P851" s="60"/>
      <c r="Q851" s="60"/>
      <c r="R851" s="60"/>
      <c r="S851" s="60"/>
      <c r="T851" s="61"/>
      <c r="U851" s="61"/>
      <c r="V851" s="61"/>
      <c r="W851" s="61"/>
      <c r="X851" s="62"/>
      <c r="Y851" s="62"/>
      <c r="Z851" s="68"/>
      <c r="AA851" s="86"/>
      <c r="AB851" s="60"/>
      <c r="AC851" s="60"/>
      <c r="AD851" s="60"/>
      <c r="AE851" s="60"/>
      <c r="AF851" s="61"/>
      <c r="AG851" s="61"/>
      <c r="AH851" s="61"/>
      <c r="AI851" s="61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</row>
    <row r="852" spans="1:52" x14ac:dyDescent="0.25">
      <c r="A852" s="62"/>
      <c r="B852" s="68"/>
      <c r="C852" s="86"/>
      <c r="D852" s="60"/>
      <c r="E852" s="60"/>
      <c r="F852" s="60"/>
      <c r="G852" s="60"/>
      <c r="H852" s="61"/>
      <c r="I852" s="61"/>
      <c r="J852" s="61"/>
      <c r="K852" s="61"/>
      <c r="L852" s="62"/>
      <c r="M852" s="62"/>
      <c r="N852" s="68"/>
      <c r="O852" s="86"/>
      <c r="P852" s="60"/>
      <c r="Q852" s="60"/>
      <c r="R852" s="60"/>
      <c r="S852" s="60"/>
      <c r="T852" s="61"/>
      <c r="U852" s="61"/>
      <c r="V852" s="61"/>
      <c r="W852" s="61"/>
      <c r="X852" s="62"/>
      <c r="Y852" s="62"/>
      <c r="Z852" s="68"/>
      <c r="AA852" s="86"/>
      <c r="AB852" s="60"/>
      <c r="AC852" s="60"/>
      <c r="AD852" s="60"/>
      <c r="AE852" s="60"/>
      <c r="AF852" s="61"/>
      <c r="AG852" s="61"/>
      <c r="AH852" s="61"/>
      <c r="AI852" s="61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</row>
    <row r="853" spans="1:52" x14ac:dyDescent="0.25">
      <c r="A853" s="62"/>
      <c r="B853" s="68"/>
      <c r="C853" s="86"/>
      <c r="D853" s="60"/>
      <c r="E853" s="60"/>
      <c r="F853" s="60"/>
      <c r="G853" s="60"/>
      <c r="H853" s="61"/>
      <c r="I853" s="61"/>
      <c r="J853" s="61"/>
      <c r="K853" s="61"/>
      <c r="L853" s="62"/>
      <c r="M853" s="62"/>
      <c r="N853" s="68"/>
      <c r="O853" s="86"/>
      <c r="P853" s="60"/>
      <c r="Q853" s="60"/>
      <c r="R853" s="60"/>
      <c r="S853" s="60"/>
      <c r="T853" s="61"/>
      <c r="U853" s="61"/>
      <c r="V853" s="61"/>
      <c r="W853" s="61"/>
      <c r="X853" s="62"/>
      <c r="Y853" s="62"/>
      <c r="Z853" s="68"/>
      <c r="AA853" s="86"/>
      <c r="AB853" s="60"/>
      <c r="AC853" s="60"/>
      <c r="AD853" s="60"/>
      <c r="AE853" s="60"/>
      <c r="AF853" s="61"/>
      <c r="AG853" s="61"/>
      <c r="AH853" s="61"/>
      <c r="AI853" s="61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</row>
    <row r="854" spans="1:52" x14ac:dyDescent="0.25">
      <c r="A854" s="62"/>
      <c r="B854" s="68"/>
      <c r="C854" s="86"/>
      <c r="D854" s="60"/>
      <c r="E854" s="60"/>
      <c r="F854" s="60"/>
      <c r="G854" s="60"/>
      <c r="H854" s="61"/>
      <c r="I854" s="61"/>
      <c r="J854" s="61"/>
      <c r="K854" s="61"/>
      <c r="L854" s="62"/>
      <c r="M854" s="62"/>
      <c r="N854" s="68"/>
      <c r="O854" s="86"/>
      <c r="P854" s="60"/>
      <c r="Q854" s="60"/>
      <c r="R854" s="60"/>
      <c r="S854" s="60"/>
      <c r="T854" s="61"/>
      <c r="U854" s="61"/>
      <c r="V854" s="61"/>
      <c r="W854" s="61"/>
      <c r="X854" s="62"/>
      <c r="Y854" s="62"/>
      <c r="Z854" s="68"/>
      <c r="AA854" s="86"/>
      <c r="AB854" s="60"/>
      <c r="AC854" s="60"/>
      <c r="AD854" s="60"/>
      <c r="AE854" s="60"/>
      <c r="AF854" s="61"/>
      <c r="AG854" s="61"/>
      <c r="AH854" s="61"/>
      <c r="AI854" s="61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</row>
    <row r="855" spans="1:52" x14ac:dyDescent="0.25">
      <c r="A855" s="62"/>
      <c r="B855" s="68"/>
      <c r="C855" s="86"/>
      <c r="D855" s="60"/>
      <c r="E855" s="60"/>
      <c r="F855" s="60"/>
      <c r="G855" s="60"/>
      <c r="H855" s="61"/>
      <c r="I855" s="61"/>
      <c r="J855" s="61"/>
      <c r="K855" s="61"/>
      <c r="L855" s="62"/>
      <c r="M855" s="62"/>
      <c r="N855" s="68"/>
      <c r="O855" s="86"/>
      <c r="P855" s="60"/>
      <c r="Q855" s="60"/>
      <c r="R855" s="60"/>
      <c r="S855" s="60"/>
      <c r="T855" s="61"/>
      <c r="U855" s="61"/>
      <c r="V855" s="61"/>
      <c r="W855" s="61"/>
      <c r="X855" s="62"/>
      <c r="Y855" s="62"/>
      <c r="Z855" s="68"/>
      <c r="AA855" s="86"/>
      <c r="AB855" s="60"/>
      <c r="AC855" s="60"/>
      <c r="AD855" s="60"/>
      <c r="AE855" s="60"/>
      <c r="AF855" s="61"/>
      <c r="AG855" s="61"/>
      <c r="AH855" s="61"/>
      <c r="AI855" s="61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</row>
    <row r="856" spans="1:52" x14ac:dyDescent="0.25">
      <c r="A856" s="62"/>
      <c r="B856" s="68"/>
      <c r="C856" s="86"/>
      <c r="D856" s="60"/>
      <c r="E856" s="60"/>
      <c r="F856" s="60"/>
      <c r="G856" s="60"/>
      <c r="H856" s="61"/>
      <c r="I856" s="61"/>
      <c r="J856" s="62"/>
      <c r="K856" s="61"/>
      <c r="L856" s="62"/>
      <c r="M856" s="62"/>
      <c r="N856" s="68"/>
      <c r="O856" s="86"/>
      <c r="P856" s="60"/>
      <c r="Q856" s="60"/>
      <c r="R856" s="60"/>
      <c r="S856" s="60"/>
      <c r="T856" s="61"/>
      <c r="U856" s="61"/>
      <c r="V856" s="61"/>
      <c r="W856" s="61"/>
      <c r="X856" s="62"/>
      <c r="Y856" s="62"/>
      <c r="Z856" s="68"/>
      <c r="AA856" s="86"/>
      <c r="AB856" s="60"/>
      <c r="AC856" s="60"/>
      <c r="AD856" s="60"/>
      <c r="AE856" s="60"/>
      <c r="AF856" s="61"/>
      <c r="AG856" s="61"/>
      <c r="AH856" s="62"/>
      <c r="AI856" s="61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</row>
    <row r="857" spans="1:52" x14ac:dyDescent="0.25">
      <c r="A857" s="62"/>
      <c r="B857" s="68"/>
      <c r="C857" s="86"/>
      <c r="D857" s="60"/>
      <c r="E857" s="60"/>
      <c r="F857" s="60"/>
      <c r="G857" s="60"/>
      <c r="H857" s="61"/>
      <c r="I857" s="61"/>
      <c r="J857" s="61"/>
      <c r="K857" s="61"/>
      <c r="L857" s="62"/>
      <c r="M857" s="62"/>
      <c r="N857" s="68"/>
      <c r="O857" s="86"/>
      <c r="P857" s="60"/>
      <c r="Q857" s="60"/>
      <c r="R857" s="60"/>
      <c r="S857" s="60"/>
      <c r="T857" s="61"/>
      <c r="U857" s="61"/>
      <c r="V857" s="61"/>
      <c r="W857" s="61"/>
      <c r="X857" s="62"/>
      <c r="Y857" s="62"/>
      <c r="Z857" s="68"/>
      <c r="AA857" s="86"/>
      <c r="AB857" s="60"/>
      <c r="AC857" s="60"/>
      <c r="AD857" s="60"/>
      <c r="AE857" s="60"/>
      <c r="AF857" s="61"/>
      <c r="AG857" s="61"/>
      <c r="AH857" s="61"/>
      <c r="AI857" s="61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</row>
    <row r="858" spans="1:52" x14ac:dyDescent="0.25">
      <c r="A858" s="62"/>
      <c r="B858" s="68"/>
      <c r="C858" s="86"/>
      <c r="D858" s="60"/>
      <c r="E858" s="60"/>
      <c r="F858" s="60"/>
      <c r="G858" s="60"/>
      <c r="H858" s="61"/>
      <c r="I858" s="61"/>
      <c r="J858" s="61"/>
      <c r="K858" s="61"/>
      <c r="L858" s="62"/>
      <c r="M858" s="62"/>
      <c r="N858" s="68"/>
      <c r="O858" s="86"/>
      <c r="P858" s="60"/>
      <c r="Q858" s="60"/>
      <c r="R858" s="60"/>
      <c r="S858" s="60"/>
      <c r="T858" s="61"/>
      <c r="U858" s="61"/>
      <c r="V858" s="61"/>
      <c r="W858" s="61"/>
      <c r="X858" s="62"/>
      <c r="Y858" s="62"/>
      <c r="Z858" s="68"/>
      <c r="AA858" s="86"/>
      <c r="AB858" s="60"/>
      <c r="AC858" s="60"/>
      <c r="AD858" s="60"/>
      <c r="AE858" s="60"/>
      <c r="AF858" s="61"/>
      <c r="AG858" s="61"/>
      <c r="AH858" s="61"/>
      <c r="AI858" s="61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</row>
    <row r="859" spans="1:52" x14ac:dyDescent="0.25">
      <c r="A859" s="62"/>
      <c r="B859" s="68"/>
      <c r="C859" s="86"/>
      <c r="D859" s="60"/>
      <c r="E859" s="60"/>
      <c r="F859" s="60"/>
      <c r="G859" s="60"/>
      <c r="H859" s="61"/>
      <c r="I859" s="61"/>
      <c r="J859" s="61"/>
      <c r="K859" s="61"/>
      <c r="L859" s="62"/>
      <c r="M859" s="62"/>
      <c r="N859" s="68"/>
      <c r="O859" s="86"/>
      <c r="P859" s="60"/>
      <c r="Q859" s="60"/>
      <c r="R859" s="60"/>
      <c r="S859" s="60"/>
      <c r="T859" s="61"/>
      <c r="U859" s="61"/>
      <c r="V859" s="61"/>
      <c r="W859" s="61"/>
      <c r="X859" s="62"/>
      <c r="Y859" s="62"/>
      <c r="Z859" s="68"/>
      <c r="AA859" s="86"/>
      <c r="AB859" s="60"/>
      <c r="AC859" s="60"/>
      <c r="AD859" s="60"/>
      <c r="AE859" s="60"/>
      <c r="AF859" s="61"/>
      <c r="AG859" s="61"/>
      <c r="AH859" s="61"/>
      <c r="AI859" s="61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</row>
    <row r="860" spans="1:52" x14ac:dyDescent="0.25">
      <c r="A860" s="62"/>
      <c r="B860" s="68"/>
      <c r="C860" s="66"/>
      <c r="D860" s="60"/>
      <c r="E860" s="60"/>
      <c r="F860" s="60"/>
      <c r="G860" s="60"/>
      <c r="H860" s="61"/>
      <c r="I860" s="61"/>
      <c r="J860" s="61"/>
      <c r="K860" s="61"/>
      <c r="L860" s="62"/>
      <c r="M860" s="62"/>
      <c r="N860" s="68"/>
      <c r="O860" s="86"/>
      <c r="P860" s="60"/>
      <c r="Q860" s="60"/>
      <c r="R860" s="60"/>
      <c r="S860" s="60"/>
      <c r="T860" s="61"/>
      <c r="U860" s="61"/>
      <c r="V860" s="61"/>
      <c r="W860" s="61"/>
      <c r="X860" s="62"/>
      <c r="Y860" s="62"/>
      <c r="Z860" s="68"/>
      <c r="AA860" s="86"/>
      <c r="AB860" s="60"/>
      <c r="AC860" s="60"/>
      <c r="AD860" s="60"/>
      <c r="AE860" s="60"/>
      <c r="AF860" s="61"/>
      <c r="AG860" s="61"/>
      <c r="AH860" s="61"/>
      <c r="AI860" s="61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</row>
    <row r="861" spans="1:52" x14ac:dyDescent="0.25">
      <c r="A861" s="62"/>
      <c r="B861" s="68"/>
      <c r="C861" s="86"/>
      <c r="D861" s="60"/>
      <c r="E861" s="60"/>
      <c r="F861" s="60"/>
      <c r="G861" s="60"/>
      <c r="H861" s="61"/>
      <c r="I861" s="61"/>
      <c r="J861" s="61"/>
      <c r="K861" s="61"/>
      <c r="L861" s="62"/>
      <c r="M861" s="62"/>
      <c r="N861" s="68"/>
      <c r="O861" s="86"/>
      <c r="P861" s="60"/>
      <c r="Q861" s="60"/>
      <c r="R861" s="60"/>
      <c r="S861" s="60"/>
      <c r="T861" s="61"/>
      <c r="U861" s="61"/>
      <c r="V861" s="61"/>
      <c r="W861" s="61"/>
      <c r="X861" s="62"/>
      <c r="Y861" s="62"/>
      <c r="Z861" s="68"/>
      <c r="AA861" s="86"/>
      <c r="AB861" s="60"/>
      <c r="AC861" s="60"/>
      <c r="AD861" s="60"/>
      <c r="AE861" s="60"/>
      <c r="AF861" s="61"/>
      <c r="AG861" s="61"/>
      <c r="AH861" s="61"/>
      <c r="AI861" s="61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</row>
    <row r="862" spans="1:52" x14ac:dyDescent="0.25">
      <c r="A862" s="62"/>
      <c r="B862" s="68"/>
      <c r="C862" s="86"/>
      <c r="D862" s="60"/>
      <c r="E862" s="60"/>
      <c r="F862" s="60"/>
      <c r="G862" s="60"/>
      <c r="H862" s="61"/>
      <c r="I862" s="61"/>
      <c r="J862" s="61"/>
      <c r="K862" s="61"/>
      <c r="L862" s="62"/>
      <c r="M862" s="62"/>
      <c r="N862" s="68"/>
      <c r="O862" s="86"/>
      <c r="P862" s="60"/>
      <c r="Q862" s="60"/>
      <c r="R862" s="60"/>
      <c r="S862" s="60"/>
      <c r="T862" s="61"/>
      <c r="U862" s="61"/>
      <c r="V862" s="61"/>
      <c r="W862" s="61"/>
      <c r="X862" s="62"/>
      <c r="Y862" s="62"/>
      <c r="Z862" s="68"/>
      <c r="AA862" s="86"/>
      <c r="AB862" s="60"/>
      <c r="AC862" s="60"/>
      <c r="AD862" s="60"/>
      <c r="AE862" s="60"/>
      <c r="AF862" s="61"/>
      <c r="AG862" s="61"/>
      <c r="AH862" s="61"/>
      <c r="AI862" s="61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</row>
    <row r="863" spans="1:52" x14ac:dyDescent="0.25">
      <c r="A863" s="62"/>
      <c r="B863" s="68"/>
      <c r="C863" s="86"/>
      <c r="D863" s="60"/>
      <c r="E863" s="60"/>
      <c r="F863" s="60"/>
      <c r="G863" s="60"/>
      <c r="H863" s="61"/>
      <c r="I863" s="61"/>
      <c r="J863" s="61"/>
      <c r="K863" s="61"/>
      <c r="L863" s="62"/>
      <c r="M863" s="62"/>
      <c r="N863" s="68"/>
      <c r="O863" s="66"/>
      <c r="P863" s="60"/>
      <c r="Q863" s="60"/>
      <c r="R863" s="60"/>
      <c r="S863" s="60"/>
      <c r="T863" s="61"/>
      <c r="U863" s="61"/>
      <c r="V863" s="61"/>
      <c r="W863" s="61"/>
      <c r="X863" s="62"/>
      <c r="Y863" s="62"/>
      <c r="Z863" s="68"/>
      <c r="AA863" s="86"/>
      <c r="AB863" s="60"/>
      <c r="AC863" s="60"/>
      <c r="AD863" s="60"/>
      <c r="AE863" s="60"/>
      <c r="AF863" s="61"/>
      <c r="AG863" s="61"/>
      <c r="AH863" s="61"/>
      <c r="AI863" s="61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</row>
    <row r="864" spans="1:52" x14ac:dyDescent="0.25">
      <c r="A864" s="62"/>
      <c r="B864" s="68"/>
      <c r="C864" s="86"/>
      <c r="D864" s="60"/>
      <c r="E864" s="60"/>
      <c r="F864" s="60"/>
      <c r="G864" s="60"/>
      <c r="H864" s="61"/>
      <c r="I864" s="61"/>
      <c r="J864" s="61"/>
      <c r="K864" s="61"/>
      <c r="L864" s="62"/>
      <c r="M864" s="62"/>
      <c r="N864" s="68"/>
      <c r="O864" s="86"/>
      <c r="P864" s="60"/>
      <c r="Q864" s="60"/>
      <c r="R864" s="60"/>
      <c r="S864" s="60"/>
      <c r="T864" s="61"/>
      <c r="U864" s="61"/>
      <c r="V864" s="61"/>
      <c r="W864" s="61"/>
      <c r="X864" s="62"/>
      <c r="Y864" s="62"/>
      <c r="Z864" s="68"/>
      <c r="AA864" s="86"/>
      <c r="AB864" s="60"/>
      <c r="AC864" s="60"/>
      <c r="AD864" s="60"/>
      <c r="AE864" s="60"/>
      <c r="AF864" s="61"/>
      <c r="AG864" s="61"/>
      <c r="AH864" s="61"/>
      <c r="AI864" s="61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</row>
    <row r="865" spans="1:52" x14ac:dyDescent="0.25">
      <c r="A865" s="62"/>
      <c r="B865" s="68"/>
      <c r="C865" s="86"/>
      <c r="D865" s="60"/>
      <c r="E865" s="60"/>
      <c r="F865" s="60"/>
      <c r="G865" s="60"/>
      <c r="H865" s="62"/>
      <c r="I865" s="62"/>
      <c r="J865" s="62"/>
      <c r="K865" s="61"/>
      <c r="L865" s="62"/>
      <c r="M865" s="62"/>
      <c r="N865" s="68"/>
      <c r="O865" s="86"/>
      <c r="P865" s="69"/>
      <c r="Q865" s="86"/>
      <c r="R865" s="86"/>
      <c r="S865" s="60"/>
      <c r="T865" s="62"/>
      <c r="U865" s="62"/>
      <c r="V865" s="62"/>
      <c r="W865" s="61"/>
      <c r="X865" s="62"/>
      <c r="Y865" s="62"/>
      <c r="Z865" s="68"/>
      <c r="AA865" s="66"/>
      <c r="AB865" s="60"/>
      <c r="AC865" s="60"/>
      <c r="AD865" s="60"/>
      <c r="AE865" s="60"/>
      <c r="AF865" s="62"/>
      <c r="AG865" s="62"/>
      <c r="AH865" s="62"/>
      <c r="AI865" s="61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</row>
    <row r="866" spans="1:52" x14ac:dyDescent="0.25">
      <c r="A866" s="62"/>
      <c r="B866" s="68"/>
      <c r="C866" s="86"/>
      <c r="D866" s="60"/>
      <c r="E866" s="60"/>
      <c r="F866" s="60"/>
      <c r="G866" s="60"/>
      <c r="H866" s="62"/>
      <c r="I866" s="62"/>
      <c r="J866" s="62"/>
      <c r="K866" s="61"/>
      <c r="L866" s="62"/>
      <c r="M866" s="62"/>
      <c r="N866" s="68"/>
      <c r="O866" s="86"/>
      <c r="P866" s="70"/>
      <c r="Q866" s="86"/>
      <c r="R866" s="86"/>
      <c r="S866" s="60"/>
      <c r="T866" s="62"/>
      <c r="U866" s="62"/>
      <c r="V866" s="62"/>
      <c r="W866" s="61"/>
      <c r="X866" s="62"/>
      <c r="Y866" s="62"/>
      <c r="Z866" s="68"/>
      <c r="AA866" s="86"/>
      <c r="AB866" s="60"/>
      <c r="AC866" s="60"/>
      <c r="AD866" s="60"/>
      <c r="AE866" s="60"/>
      <c r="AF866" s="62"/>
      <c r="AG866" s="62"/>
      <c r="AH866" s="62"/>
      <c r="AI866" s="61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</row>
    <row r="867" spans="1:52" x14ac:dyDescent="0.25">
      <c r="A867" s="62"/>
      <c r="B867" s="68"/>
      <c r="C867" s="86"/>
      <c r="D867" s="60"/>
      <c r="E867" s="60"/>
      <c r="F867" s="60"/>
      <c r="G867" s="60"/>
      <c r="H867" s="62"/>
      <c r="I867" s="62"/>
      <c r="J867" s="61"/>
      <c r="K867" s="61"/>
      <c r="L867" s="62"/>
      <c r="M867" s="62"/>
      <c r="N867" s="68"/>
      <c r="O867" s="86"/>
      <c r="P867" s="71"/>
      <c r="Q867" s="62"/>
      <c r="R867" s="62"/>
      <c r="S867" s="60"/>
      <c r="T867" s="62"/>
      <c r="U867" s="62"/>
      <c r="V867" s="62"/>
      <c r="W867" s="61"/>
      <c r="X867" s="62"/>
      <c r="Y867" s="62"/>
      <c r="Z867" s="68"/>
      <c r="AA867" s="86"/>
      <c r="AB867" s="60"/>
      <c r="AC867" s="60"/>
      <c r="AD867" s="60"/>
      <c r="AE867" s="60"/>
      <c r="AF867" s="62"/>
      <c r="AG867" s="62"/>
      <c r="AH867" s="61"/>
      <c r="AI867" s="61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</row>
    <row r="868" spans="1:52" x14ac:dyDescent="0.25">
      <c r="A868" s="62"/>
      <c r="B868" s="68"/>
      <c r="C868" s="86"/>
      <c r="D868" s="60"/>
      <c r="E868" s="60"/>
      <c r="F868" s="60"/>
      <c r="G868" s="60"/>
      <c r="H868" s="62"/>
      <c r="I868" s="62"/>
      <c r="J868" s="62"/>
      <c r="K868" s="61"/>
      <c r="L868" s="62"/>
      <c r="M868" s="62"/>
      <c r="N868" s="68"/>
      <c r="O868" s="86"/>
      <c r="P868" s="71"/>
      <c r="Q868" s="86"/>
      <c r="R868" s="86"/>
      <c r="S868" s="60"/>
      <c r="T868" s="62"/>
      <c r="U868" s="62"/>
      <c r="V868" s="62"/>
      <c r="W868" s="61"/>
      <c r="X868" s="62"/>
      <c r="Y868" s="62"/>
      <c r="Z868" s="68"/>
      <c r="AA868" s="86"/>
      <c r="AB868" s="60"/>
      <c r="AC868" s="60"/>
      <c r="AD868" s="60"/>
      <c r="AE868" s="60"/>
      <c r="AF868" s="62"/>
      <c r="AG868" s="62"/>
      <c r="AH868" s="62"/>
      <c r="AI868" s="61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</row>
    <row r="869" spans="1:52" x14ac:dyDescent="0.25">
      <c r="A869" s="62"/>
      <c r="B869" s="68"/>
      <c r="C869" s="86"/>
      <c r="D869" s="60"/>
      <c r="E869" s="60"/>
      <c r="F869" s="60"/>
      <c r="G869" s="60"/>
      <c r="H869" s="62"/>
      <c r="I869" s="62"/>
      <c r="J869" s="62"/>
      <c r="K869" s="61"/>
      <c r="L869" s="62"/>
      <c r="M869" s="62"/>
      <c r="N869" s="68"/>
      <c r="O869" s="86"/>
      <c r="P869" s="71"/>
      <c r="Q869" s="86"/>
      <c r="R869" s="86"/>
      <c r="S869" s="60"/>
      <c r="T869" s="62"/>
      <c r="U869" s="62"/>
      <c r="V869" s="62"/>
      <c r="W869" s="61"/>
      <c r="X869" s="62"/>
      <c r="Y869" s="62"/>
      <c r="Z869" s="68"/>
      <c r="AA869" s="86"/>
      <c r="AB869" s="60"/>
      <c r="AC869" s="60"/>
      <c r="AD869" s="60"/>
      <c r="AE869" s="60"/>
      <c r="AF869" s="62"/>
      <c r="AG869" s="62"/>
      <c r="AH869" s="62"/>
      <c r="AI869" s="61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</row>
    <row r="870" spans="1:52" x14ac:dyDescent="0.25">
      <c r="A870" s="62"/>
      <c r="B870" s="68"/>
      <c r="C870" s="86"/>
      <c r="D870" s="60"/>
      <c r="E870" s="60"/>
      <c r="F870" s="60"/>
      <c r="G870" s="60"/>
      <c r="H870" s="62"/>
      <c r="I870" s="62"/>
      <c r="J870" s="62"/>
      <c r="K870" s="61"/>
      <c r="L870" s="62"/>
      <c r="M870" s="62"/>
      <c r="N870" s="68"/>
      <c r="O870" s="86"/>
      <c r="P870" s="71"/>
      <c r="Q870" s="86"/>
      <c r="R870" s="86"/>
      <c r="S870" s="60"/>
      <c r="T870" s="62"/>
      <c r="U870" s="62"/>
      <c r="V870" s="62"/>
      <c r="W870" s="61"/>
      <c r="X870" s="62"/>
      <c r="Y870" s="62"/>
      <c r="Z870" s="68"/>
      <c r="AA870" s="62"/>
      <c r="AB870" s="60"/>
      <c r="AC870" s="60"/>
      <c r="AD870" s="60"/>
      <c r="AE870" s="60"/>
      <c r="AF870" s="62"/>
      <c r="AG870" s="62"/>
      <c r="AH870" s="62"/>
      <c r="AI870" s="61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</row>
    <row r="871" spans="1:52" x14ac:dyDescent="0.25">
      <c r="A871" s="62"/>
      <c r="B871" s="68"/>
      <c r="C871" s="86"/>
      <c r="D871" s="60"/>
      <c r="E871" s="60"/>
      <c r="F871" s="60"/>
      <c r="G871" s="60"/>
      <c r="H871" s="62"/>
      <c r="I871" s="62"/>
      <c r="J871" s="62"/>
      <c r="K871" s="61"/>
      <c r="L871" s="62"/>
      <c r="M871" s="62"/>
      <c r="N871" s="68"/>
      <c r="O871" s="86"/>
      <c r="P871" s="71"/>
      <c r="Q871" s="86"/>
      <c r="R871" s="86"/>
      <c r="S871" s="60"/>
      <c r="T871" s="62"/>
      <c r="U871" s="62"/>
      <c r="V871" s="62"/>
      <c r="W871" s="61"/>
      <c r="X871" s="62"/>
      <c r="Y871" s="62"/>
      <c r="Z871" s="68"/>
      <c r="AA871" s="62"/>
      <c r="AB871" s="60"/>
      <c r="AC871" s="60"/>
      <c r="AD871" s="60"/>
      <c r="AE871" s="60"/>
      <c r="AF871" s="62"/>
      <c r="AG871" s="62"/>
      <c r="AH871" s="62"/>
      <c r="AI871" s="61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</row>
    <row r="872" spans="1:52" x14ac:dyDescent="0.25">
      <c r="A872" s="62"/>
      <c r="B872" s="68"/>
      <c r="C872" s="86"/>
      <c r="D872" s="60"/>
      <c r="E872" s="60"/>
      <c r="F872" s="60"/>
      <c r="G872" s="60"/>
      <c r="H872" s="62"/>
      <c r="I872" s="62"/>
      <c r="J872" s="62"/>
      <c r="K872" s="61"/>
      <c r="L872" s="62"/>
      <c r="M872" s="62"/>
      <c r="N872" s="68"/>
      <c r="O872" s="86"/>
      <c r="P872" s="71"/>
      <c r="Q872" s="86"/>
      <c r="R872" s="86"/>
      <c r="S872" s="60"/>
      <c r="T872" s="62"/>
      <c r="U872" s="62"/>
      <c r="V872" s="62"/>
      <c r="W872" s="61"/>
      <c r="X872" s="62"/>
      <c r="Y872" s="62"/>
      <c r="Z872" s="68"/>
      <c r="AA872" s="86"/>
      <c r="AB872" s="60"/>
      <c r="AC872" s="60"/>
      <c r="AD872" s="60"/>
      <c r="AE872" s="60"/>
      <c r="AF872" s="62"/>
      <c r="AG872" s="62"/>
      <c r="AH872" s="62"/>
      <c r="AI872" s="61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</row>
    <row r="873" spans="1:52" ht="15" customHeight="1" x14ac:dyDescent="0.25">
      <c r="A873" s="62"/>
      <c r="B873" s="68"/>
      <c r="C873" s="86"/>
      <c r="D873" s="60"/>
      <c r="E873" s="60"/>
      <c r="F873" s="60"/>
      <c r="G873" s="60"/>
      <c r="H873" s="62"/>
      <c r="I873" s="62"/>
      <c r="J873" s="62"/>
      <c r="K873" s="61"/>
      <c r="L873" s="62"/>
      <c r="M873" s="62"/>
      <c r="N873" s="68"/>
      <c r="O873" s="86"/>
      <c r="P873" s="71"/>
      <c r="Q873" s="86"/>
      <c r="R873" s="86"/>
      <c r="S873" s="60"/>
      <c r="T873" s="62"/>
      <c r="U873" s="62"/>
      <c r="V873" s="62"/>
      <c r="W873" s="61"/>
      <c r="X873" s="62"/>
      <c r="Y873" s="62"/>
      <c r="Z873" s="68"/>
      <c r="AA873" s="86"/>
      <c r="AB873" s="60"/>
      <c r="AC873" s="60"/>
      <c r="AD873" s="60"/>
      <c r="AE873" s="60"/>
      <c r="AF873" s="62"/>
      <c r="AG873" s="62"/>
      <c r="AH873" s="62"/>
      <c r="AI873" s="61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</row>
    <row r="874" spans="1:52" x14ac:dyDescent="0.25">
      <c r="A874" s="62"/>
      <c r="B874" s="68"/>
      <c r="C874" s="86"/>
      <c r="D874" s="60"/>
      <c r="E874" s="60"/>
      <c r="F874" s="60"/>
      <c r="G874" s="60"/>
      <c r="H874" s="62"/>
      <c r="I874" s="62"/>
      <c r="J874" s="62"/>
      <c r="K874" s="61"/>
      <c r="L874" s="62"/>
      <c r="M874" s="62"/>
      <c r="N874" s="68"/>
      <c r="O874" s="86"/>
      <c r="P874" s="71"/>
      <c r="Q874" s="86"/>
      <c r="R874" s="86"/>
      <c r="S874" s="60"/>
      <c r="T874" s="62"/>
      <c r="U874" s="62"/>
      <c r="V874" s="62"/>
      <c r="W874" s="61"/>
      <c r="X874" s="62"/>
      <c r="Y874" s="62"/>
      <c r="Z874" s="68"/>
      <c r="AA874" s="86"/>
      <c r="AB874" s="60"/>
      <c r="AC874" s="60"/>
      <c r="AD874" s="60"/>
      <c r="AE874" s="60"/>
      <c r="AF874" s="62"/>
      <c r="AG874" s="62"/>
      <c r="AH874" s="62"/>
      <c r="AI874" s="61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</row>
    <row r="875" spans="1:52" x14ac:dyDescent="0.25">
      <c r="A875" s="62"/>
      <c r="B875" s="68"/>
      <c r="C875" s="86"/>
      <c r="D875" s="60"/>
      <c r="E875" s="60"/>
      <c r="F875" s="60"/>
      <c r="G875" s="60"/>
      <c r="H875" s="62"/>
      <c r="I875" s="62"/>
      <c r="J875" s="62"/>
      <c r="K875" s="61"/>
      <c r="L875" s="62"/>
      <c r="M875" s="62"/>
      <c r="N875" s="68"/>
      <c r="O875" s="86"/>
      <c r="P875" s="71"/>
      <c r="Q875" s="86"/>
      <c r="R875" s="86"/>
      <c r="S875" s="60"/>
      <c r="T875" s="62"/>
      <c r="U875" s="62"/>
      <c r="V875" s="62"/>
      <c r="W875" s="61"/>
      <c r="X875" s="62"/>
      <c r="Y875" s="62"/>
      <c r="Z875" s="68"/>
      <c r="AA875" s="86"/>
      <c r="AB875" s="60"/>
      <c r="AC875" s="60"/>
      <c r="AD875" s="60"/>
      <c r="AE875" s="60"/>
      <c r="AF875" s="62"/>
      <c r="AG875" s="62"/>
      <c r="AH875" s="62"/>
      <c r="AI875" s="61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</row>
    <row r="876" spans="1:52" x14ac:dyDescent="0.25">
      <c r="A876" s="62"/>
      <c r="B876" s="68"/>
      <c r="C876" s="86"/>
      <c r="D876" s="60"/>
      <c r="E876" s="60"/>
      <c r="F876" s="60"/>
      <c r="G876" s="60"/>
      <c r="H876" s="62"/>
      <c r="I876" s="62"/>
      <c r="J876" s="62"/>
      <c r="K876" s="61"/>
      <c r="L876" s="62"/>
      <c r="M876" s="62"/>
      <c r="N876" s="68"/>
      <c r="O876" s="86"/>
      <c r="P876" s="71"/>
      <c r="Q876" s="86"/>
      <c r="R876" s="86"/>
      <c r="S876" s="60"/>
      <c r="T876" s="62"/>
      <c r="U876" s="62"/>
      <c r="V876" s="62"/>
      <c r="W876" s="61"/>
      <c r="X876" s="62"/>
      <c r="Y876" s="62"/>
      <c r="Z876" s="68"/>
      <c r="AA876" s="86"/>
      <c r="AB876" s="60"/>
      <c r="AC876" s="60"/>
      <c r="AD876" s="60"/>
      <c r="AE876" s="60"/>
      <c r="AF876" s="62"/>
      <c r="AG876" s="62"/>
      <c r="AH876" s="62"/>
      <c r="AI876" s="61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</row>
    <row r="877" spans="1:52" x14ac:dyDescent="0.25">
      <c r="A877" s="62"/>
      <c r="B877" s="68"/>
      <c r="C877" s="86"/>
      <c r="D877" s="60"/>
      <c r="E877" s="60"/>
      <c r="F877" s="60"/>
      <c r="G877" s="60"/>
      <c r="H877" s="62"/>
      <c r="I877" s="62"/>
      <c r="J877" s="62"/>
      <c r="K877" s="61"/>
      <c r="L877" s="62"/>
      <c r="M877" s="62"/>
      <c r="N877" s="68"/>
      <c r="O877" s="86"/>
      <c r="P877" s="71"/>
      <c r="Q877" s="86"/>
      <c r="R877" s="86"/>
      <c r="S877" s="60"/>
      <c r="T877" s="62"/>
      <c r="U877" s="62"/>
      <c r="V877" s="62"/>
      <c r="W877" s="61"/>
      <c r="X877" s="62"/>
      <c r="Y877" s="62"/>
      <c r="Z877" s="68"/>
      <c r="AA877" s="86"/>
      <c r="AB877" s="60"/>
      <c r="AC877" s="60"/>
      <c r="AD877" s="60"/>
      <c r="AE877" s="60"/>
      <c r="AF877" s="62"/>
      <c r="AG877" s="62"/>
      <c r="AH877" s="62"/>
      <c r="AI877" s="61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</row>
    <row r="878" spans="1:52" x14ac:dyDescent="0.25">
      <c r="A878" s="62"/>
      <c r="B878" s="68"/>
      <c r="C878" s="66"/>
      <c r="D878" s="60"/>
      <c r="E878" s="60"/>
      <c r="F878" s="60"/>
      <c r="G878" s="60"/>
      <c r="H878" s="62"/>
      <c r="I878" s="62"/>
      <c r="J878" s="62"/>
      <c r="K878" s="61"/>
      <c r="L878" s="62"/>
      <c r="M878" s="62"/>
      <c r="N878" s="68"/>
      <c r="O878" s="86"/>
      <c r="P878" s="71"/>
      <c r="Q878" s="86"/>
      <c r="R878" s="86"/>
      <c r="S878" s="60"/>
      <c r="T878" s="62"/>
      <c r="U878" s="62"/>
      <c r="V878" s="62"/>
      <c r="W878" s="61"/>
      <c r="X878" s="62"/>
      <c r="Y878" s="62"/>
      <c r="Z878" s="68"/>
      <c r="AA878" s="86"/>
      <c r="AB878" s="60"/>
      <c r="AC878" s="60"/>
      <c r="AD878" s="60"/>
      <c r="AE878" s="60"/>
      <c r="AF878" s="62"/>
      <c r="AG878" s="62"/>
      <c r="AH878" s="62"/>
      <c r="AI878" s="61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</row>
    <row r="879" spans="1:52" x14ac:dyDescent="0.25">
      <c r="A879" s="62"/>
      <c r="B879" s="68"/>
      <c r="C879" s="86"/>
      <c r="D879" s="60"/>
      <c r="E879" s="60"/>
      <c r="F879" s="60"/>
      <c r="G879" s="60"/>
      <c r="H879" s="62"/>
      <c r="I879" s="62"/>
      <c r="J879" s="62"/>
      <c r="K879" s="61"/>
      <c r="L879" s="62"/>
      <c r="M879" s="62"/>
      <c r="N879" s="68"/>
      <c r="O879" s="86"/>
      <c r="P879" s="71"/>
      <c r="Q879" s="86"/>
      <c r="R879" s="86"/>
      <c r="S879" s="60"/>
      <c r="T879" s="62"/>
      <c r="U879" s="62"/>
      <c r="V879" s="62"/>
      <c r="W879" s="61"/>
      <c r="X879" s="62"/>
      <c r="Y879" s="62"/>
      <c r="Z879" s="68"/>
      <c r="AA879" s="86"/>
      <c r="AB879" s="60"/>
      <c r="AC879" s="60"/>
      <c r="AD879" s="60"/>
      <c r="AE879" s="60"/>
      <c r="AF879" s="62"/>
      <c r="AG879" s="62"/>
      <c r="AH879" s="62"/>
      <c r="AI879" s="61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</row>
    <row r="880" spans="1:52" x14ac:dyDescent="0.25">
      <c r="A880" s="62"/>
      <c r="B880" s="68"/>
      <c r="C880" s="86"/>
      <c r="D880" s="60"/>
      <c r="E880" s="60"/>
      <c r="F880" s="60"/>
      <c r="G880" s="60"/>
      <c r="H880" s="62"/>
      <c r="I880" s="62"/>
      <c r="J880" s="62"/>
      <c r="K880" s="61"/>
      <c r="L880" s="62"/>
      <c r="M880" s="62"/>
      <c r="N880" s="68"/>
      <c r="O880" s="86"/>
      <c r="P880" s="71"/>
      <c r="Q880" s="86"/>
      <c r="R880" s="86"/>
      <c r="S880" s="60"/>
      <c r="T880" s="62"/>
      <c r="U880" s="62"/>
      <c r="V880" s="62"/>
      <c r="W880" s="61"/>
      <c r="X880" s="62"/>
      <c r="Y880" s="62"/>
      <c r="Z880" s="68"/>
      <c r="AA880" s="86"/>
      <c r="AB880" s="60"/>
      <c r="AC880" s="60"/>
      <c r="AD880" s="60"/>
      <c r="AE880" s="60"/>
      <c r="AF880" s="62"/>
      <c r="AG880" s="62"/>
      <c r="AH880" s="62"/>
      <c r="AI880" s="61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</row>
    <row r="881" spans="1:52" x14ac:dyDescent="0.25">
      <c r="A881" s="62"/>
      <c r="B881" s="68"/>
      <c r="C881" s="86"/>
      <c r="D881" s="60"/>
      <c r="E881" s="60"/>
      <c r="F881" s="60"/>
      <c r="G881" s="60"/>
      <c r="H881" s="62"/>
      <c r="I881" s="62"/>
      <c r="J881" s="62"/>
      <c r="K881" s="61"/>
      <c r="L881" s="62"/>
      <c r="M881" s="62"/>
      <c r="N881" s="68"/>
      <c r="O881" s="86"/>
      <c r="P881" s="71"/>
      <c r="Q881" s="86"/>
      <c r="R881" s="86"/>
      <c r="S881" s="60"/>
      <c r="T881" s="62"/>
      <c r="U881" s="62"/>
      <c r="V881" s="62"/>
      <c r="W881" s="61"/>
      <c r="X881" s="62"/>
      <c r="Y881" s="62"/>
      <c r="Z881" s="68"/>
      <c r="AA881" s="86"/>
      <c r="AB881" s="60"/>
      <c r="AC881" s="60"/>
      <c r="AD881" s="60"/>
      <c r="AE881" s="60"/>
      <c r="AF881" s="62"/>
      <c r="AG881" s="62"/>
      <c r="AH881" s="62"/>
      <c r="AI881" s="61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</row>
    <row r="882" spans="1:52" x14ac:dyDescent="0.25">
      <c r="A882" s="62"/>
      <c r="B882" s="68"/>
      <c r="C882" s="86"/>
      <c r="D882" s="60"/>
      <c r="E882" s="60"/>
      <c r="F882" s="60"/>
      <c r="G882" s="60"/>
      <c r="H882" s="62"/>
      <c r="I882" s="62"/>
      <c r="J882" s="62"/>
      <c r="K882" s="61"/>
      <c r="L882" s="62"/>
      <c r="M882" s="62"/>
      <c r="N882" s="68"/>
      <c r="O882" s="86"/>
      <c r="P882" s="71"/>
      <c r="Q882" s="86"/>
      <c r="R882" s="86"/>
      <c r="S882" s="60"/>
      <c r="T882" s="62"/>
      <c r="U882" s="62"/>
      <c r="V882" s="62"/>
      <c r="W882" s="61"/>
      <c r="X882" s="62"/>
      <c r="Y882" s="62"/>
      <c r="Z882" s="68"/>
      <c r="AA882" s="86"/>
      <c r="AB882" s="60"/>
      <c r="AC882" s="60"/>
      <c r="AD882" s="60"/>
      <c r="AE882" s="60"/>
      <c r="AF882" s="62"/>
      <c r="AG882" s="62"/>
      <c r="AH882" s="62"/>
      <c r="AI882" s="61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</row>
    <row r="883" spans="1:52" x14ac:dyDescent="0.25">
      <c r="A883" s="62"/>
      <c r="B883" s="68"/>
      <c r="C883" s="86"/>
      <c r="D883" s="60"/>
      <c r="E883" s="60"/>
      <c r="F883" s="60"/>
      <c r="G883" s="60"/>
      <c r="H883" s="62"/>
      <c r="I883" s="62"/>
      <c r="J883" s="62"/>
      <c r="K883" s="61"/>
      <c r="L883" s="62"/>
      <c r="M883" s="62"/>
      <c r="N883" s="68"/>
      <c r="O883" s="86"/>
      <c r="P883" s="71"/>
      <c r="Q883" s="86"/>
      <c r="R883" s="86"/>
      <c r="S883" s="60"/>
      <c r="T883" s="62"/>
      <c r="U883" s="62"/>
      <c r="V883" s="62"/>
      <c r="W883" s="61"/>
      <c r="X883" s="62"/>
      <c r="Y883" s="62"/>
      <c r="Z883" s="68"/>
      <c r="AA883" s="86"/>
      <c r="AB883" s="60"/>
      <c r="AC883" s="60"/>
      <c r="AD883" s="60"/>
      <c r="AE883" s="60"/>
      <c r="AF883" s="62"/>
      <c r="AG883" s="62"/>
      <c r="AH883" s="62"/>
      <c r="AI883" s="61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</row>
    <row r="884" spans="1:52" x14ac:dyDescent="0.25">
      <c r="A884" s="62"/>
      <c r="B884" s="68"/>
      <c r="C884" s="86"/>
      <c r="D884" s="60"/>
      <c r="E884" s="60"/>
      <c r="F884" s="60"/>
      <c r="G884" s="60"/>
      <c r="H884" s="62"/>
      <c r="I884" s="62"/>
      <c r="J884" s="62"/>
      <c r="K884" s="61"/>
      <c r="L884" s="62"/>
      <c r="M884" s="62"/>
      <c r="N884" s="68"/>
      <c r="O884" s="86"/>
      <c r="P884" s="71"/>
      <c r="Q884" s="86"/>
      <c r="R884" s="86"/>
      <c r="S884" s="60"/>
      <c r="T884" s="62"/>
      <c r="U884" s="62"/>
      <c r="V884" s="62"/>
      <c r="W884" s="61"/>
      <c r="X884" s="62"/>
      <c r="Y884" s="62"/>
      <c r="Z884" s="68"/>
      <c r="AA884" s="86"/>
      <c r="AB884" s="60"/>
      <c r="AC884" s="60"/>
      <c r="AD884" s="60"/>
      <c r="AE884" s="60"/>
      <c r="AF884" s="62"/>
      <c r="AG884" s="62"/>
      <c r="AH884" s="62"/>
      <c r="AI884" s="61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</row>
    <row r="885" spans="1:52" x14ac:dyDescent="0.25">
      <c r="A885" s="62"/>
      <c r="B885" s="68"/>
      <c r="C885" s="86"/>
      <c r="D885" s="60"/>
      <c r="E885" s="60"/>
      <c r="F885" s="60"/>
      <c r="G885" s="60"/>
      <c r="H885" s="62"/>
      <c r="I885" s="62"/>
      <c r="J885" s="62"/>
      <c r="K885" s="61"/>
      <c r="L885" s="62"/>
      <c r="M885" s="62"/>
      <c r="N885" s="68"/>
      <c r="O885" s="86"/>
      <c r="P885" s="71"/>
      <c r="Q885" s="86"/>
      <c r="R885" s="86"/>
      <c r="S885" s="60"/>
      <c r="T885" s="62"/>
      <c r="U885" s="62"/>
      <c r="V885" s="62"/>
      <c r="W885" s="61"/>
      <c r="X885" s="62"/>
      <c r="Y885" s="62"/>
      <c r="Z885" s="68"/>
      <c r="AA885" s="86"/>
      <c r="AB885" s="60"/>
      <c r="AC885" s="60"/>
      <c r="AD885" s="60"/>
      <c r="AE885" s="60"/>
      <c r="AF885" s="62"/>
      <c r="AG885" s="62"/>
      <c r="AH885" s="62"/>
      <c r="AI885" s="61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</row>
    <row r="886" spans="1:52" x14ac:dyDescent="0.25">
      <c r="A886" s="62"/>
      <c r="B886" s="68"/>
      <c r="C886" s="86"/>
      <c r="D886" s="60"/>
      <c r="E886" s="60"/>
      <c r="F886" s="60"/>
      <c r="G886" s="60"/>
      <c r="H886" s="62"/>
      <c r="I886" s="62"/>
      <c r="J886" s="62"/>
      <c r="K886" s="61"/>
      <c r="L886" s="62"/>
      <c r="M886" s="62"/>
      <c r="N886" s="68"/>
      <c r="O886" s="86"/>
      <c r="P886" s="71"/>
      <c r="Q886" s="86"/>
      <c r="R886" s="86"/>
      <c r="S886" s="60"/>
      <c r="T886" s="62"/>
      <c r="U886" s="62"/>
      <c r="V886" s="62"/>
      <c r="W886" s="61"/>
      <c r="X886" s="62"/>
      <c r="Y886" s="62"/>
      <c r="Z886" s="68"/>
      <c r="AA886" s="86"/>
      <c r="AB886" s="60"/>
      <c r="AC886" s="60"/>
      <c r="AD886" s="60"/>
      <c r="AE886" s="60"/>
      <c r="AF886" s="62"/>
      <c r="AG886" s="62"/>
      <c r="AH886" s="62"/>
      <c r="AI886" s="61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</row>
    <row r="887" spans="1:52" x14ac:dyDescent="0.25">
      <c r="A887" s="62"/>
      <c r="B887" s="68"/>
      <c r="C887" s="86"/>
      <c r="D887" s="60"/>
      <c r="E887" s="60"/>
      <c r="F887" s="60"/>
      <c r="G887" s="60"/>
      <c r="H887" s="62"/>
      <c r="I887" s="62"/>
      <c r="J887" s="62"/>
      <c r="K887" s="61"/>
      <c r="L887" s="62"/>
      <c r="M887" s="62"/>
      <c r="N887" s="68"/>
      <c r="O887" s="86"/>
      <c r="P887" s="71"/>
      <c r="Q887" s="86"/>
      <c r="R887" s="86"/>
      <c r="S887" s="60"/>
      <c r="T887" s="62"/>
      <c r="U887" s="62"/>
      <c r="V887" s="62"/>
      <c r="W887" s="61"/>
      <c r="X887" s="62"/>
      <c r="Y887" s="62"/>
      <c r="Z887" s="68"/>
      <c r="AA887" s="86"/>
      <c r="AB887" s="60"/>
      <c r="AC887" s="60"/>
      <c r="AD887" s="60"/>
      <c r="AE887" s="60"/>
      <c r="AF887" s="62"/>
      <c r="AG887" s="62"/>
      <c r="AH887" s="62"/>
      <c r="AI887" s="61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</row>
    <row r="888" spans="1:52" x14ac:dyDescent="0.25">
      <c r="A888" s="62"/>
      <c r="B888" s="68"/>
      <c r="C888" s="86"/>
      <c r="D888" s="60"/>
      <c r="E888" s="60"/>
      <c r="F888" s="60"/>
      <c r="G888" s="60"/>
      <c r="H888" s="62"/>
      <c r="I888" s="62"/>
      <c r="J888" s="62"/>
      <c r="K888" s="61"/>
      <c r="L888" s="62"/>
      <c r="M888" s="62"/>
      <c r="N888" s="68"/>
      <c r="O888" s="86"/>
      <c r="P888" s="71"/>
      <c r="Q888" s="86"/>
      <c r="R888" s="86"/>
      <c r="S888" s="60"/>
      <c r="T888" s="62"/>
      <c r="U888" s="62"/>
      <c r="V888" s="62"/>
      <c r="W888" s="61"/>
      <c r="X888" s="62"/>
      <c r="Y888" s="62"/>
      <c r="Z888" s="68"/>
      <c r="AA888" s="86"/>
      <c r="AB888" s="60"/>
      <c r="AC888" s="60"/>
      <c r="AD888" s="60"/>
      <c r="AE888" s="60"/>
      <c r="AF888" s="62"/>
      <c r="AG888" s="62"/>
      <c r="AH888" s="62"/>
      <c r="AI888" s="61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</row>
    <row r="889" spans="1:52" x14ac:dyDescent="0.25">
      <c r="A889" s="62"/>
      <c r="B889" s="68"/>
      <c r="C889" s="86"/>
      <c r="D889" s="60"/>
      <c r="E889" s="60"/>
      <c r="F889" s="60"/>
      <c r="G889" s="60"/>
      <c r="H889" s="62"/>
      <c r="I889" s="62"/>
      <c r="J889" s="62"/>
      <c r="K889" s="61"/>
      <c r="L889" s="62"/>
      <c r="M889" s="62"/>
      <c r="N889" s="68"/>
      <c r="O889" s="86"/>
      <c r="P889" s="71"/>
      <c r="Q889" s="86"/>
      <c r="R889" s="86"/>
      <c r="S889" s="60"/>
      <c r="T889" s="62"/>
      <c r="U889" s="62"/>
      <c r="V889" s="62"/>
      <c r="W889" s="61"/>
      <c r="X889" s="62"/>
      <c r="Y889" s="62"/>
      <c r="Z889" s="68"/>
      <c r="AA889" s="86"/>
      <c r="AB889" s="60"/>
      <c r="AC889" s="60"/>
      <c r="AD889" s="60"/>
      <c r="AE889" s="60"/>
      <c r="AF889" s="62"/>
      <c r="AG889" s="62"/>
      <c r="AH889" s="62"/>
      <c r="AI889" s="61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</row>
    <row r="890" spans="1:52" x14ac:dyDescent="0.25">
      <c r="A890" s="62"/>
      <c r="B890" s="68"/>
      <c r="C890" s="86"/>
      <c r="D890" s="60"/>
      <c r="E890" s="60"/>
      <c r="F890" s="60"/>
      <c r="G890" s="60"/>
      <c r="H890" s="62"/>
      <c r="I890" s="62"/>
      <c r="J890" s="62"/>
      <c r="K890" s="61"/>
      <c r="L890" s="62"/>
      <c r="M890" s="62"/>
      <c r="N890" s="68"/>
      <c r="O890" s="86"/>
      <c r="P890" s="71"/>
      <c r="Q890" s="86"/>
      <c r="R890" s="86"/>
      <c r="S890" s="60"/>
      <c r="T890" s="62"/>
      <c r="U890" s="62"/>
      <c r="V890" s="62"/>
      <c r="W890" s="61"/>
      <c r="X890" s="62"/>
      <c r="Y890" s="62"/>
      <c r="Z890" s="68"/>
      <c r="AA890" s="86"/>
      <c r="AB890" s="60"/>
      <c r="AC890" s="60"/>
      <c r="AD890" s="60"/>
      <c r="AE890" s="60"/>
      <c r="AF890" s="62"/>
      <c r="AG890" s="62"/>
      <c r="AH890" s="62"/>
      <c r="AI890" s="61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</row>
    <row r="891" spans="1:52" x14ac:dyDescent="0.25">
      <c r="A891" s="62"/>
      <c r="B891" s="68"/>
      <c r="C891" s="86"/>
      <c r="D891" s="60"/>
      <c r="E891" s="60"/>
      <c r="F891" s="60"/>
      <c r="G891" s="60"/>
      <c r="H891" s="62"/>
      <c r="I891" s="62"/>
      <c r="J891" s="62"/>
      <c r="K891" s="61"/>
      <c r="L891" s="62"/>
      <c r="M891" s="62"/>
      <c r="N891" s="68"/>
      <c r="O891" s="86"/>
      <c r="P891" s="71"/>
      <c r="Q891" s="86"/>
      <c r="R891" s="86"/>
      <c r="S891" s="60"/>
      <c r="T891" s="62"/>
      <c r="U891" s="62"/>
      <c r="V891" s="62"/>
      <c r="W891" s="61"/>
      <c r="X891" s="62"/>
      <c r="Y891" s="62"/>
      <c r="Z891" s="68"/>
      <c r="AA891" s="86"/>
      <c r="AB891" s="60"/>
      <c r="AC891" s="60"/>
      <c r="AD891" s="60"/>
      <c r="AE891" s="60"/>
      <c r="AF891" s="62"/>
      <c r="AG891" s="62"/>
      <c r="AH891" s="62"/>
      <c r="AI891" s="61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</row>
    <row r="892" spans="1:52" x14ac:dyDescent="0.25">
      <c r="A892" s="62"/>
      <c r="B892" s="68"/>
      <c r="C892" s="86"/>
      <c r="D892" s="60"/>
      <c r="E892" s="60"/>
      <c r="F892" s="60"/>
      <c r="G892" s="60"/>
      <c r="H892" s="62"/>
      <c r="I892" s="62"/>
      <c r="J892" s="62"/>
      <c r="K892" s="61"/>
      <c r="L892" s="62"/>
      <c r="M892" s="62"/>
      <c r="N892" s="68"/>
      <c r="O892" s="62"/>
      <c r="P892" s="71"/>
      <c r="Q892" s="86"/>
      <c r="R892" s="86"/>
      <c r="S892" s="60"/>
      <c r="T892" s="62"/>
      <c r="U892" s="62"/>
      <c r="V892" s="62"/>
      <c r="W892" s="61"/>
      <c r="X892" s="62"/>
      <c r="Y892" s="62"/>
      <c r="Z892" s="68"/>
      <c r="AA892" s="86"/>
      <c r="AB892" s="60"/>
      <c r="AC892" s="60"/>
      <c r="AD892" s="60"/>
      <c r="AE892" s="60"/>
      <c r="AF892" s="62"/>
      <c r="AG892" s="62"/>
      <c r="AH892" s="62"/>
      <c r="AI892" s="61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</row>
    <row r="893" spans="1:52" x14ac:dyDescent="0.25">
      <c r="A893" s="62"/>
      <c r="B893" s="68"/>
      <c r="C893" s="86"/>
      <c r="D893" s="60"/>
      <c r="E893" s="60"/>
      <c r="F893" s="60"/>
      <c r="G893" s="60"/>
      <c r="H893" s="62"/>
      <c r="I893" s="62"/>
      <c r="J893" s="62"/>
      <c r="K893" s="61"/>
      <c r="L893" s="62"/>
      <c r="M893" s="62"/>
      <c r="N893" s="68"/>
      <c r="O893" s="86"/>
      <c r="P893" s="71"/>
      <c r="Q893" s="86"/>
      <c r="R893" s="86"/>
      <c r="S893" s="60"/>
      <c r="T893" s="62"/>
      <c r="U893" s="62"/>
      <c r="V893" s="62"/>
      <c r="W893" s="61"/>
      <c r="X893" s="62"/>
      <c r="Y893" s="62"/>
      <c r="Z893" s="68"/>
      <c r="AA893" s="86"/>
      <c r="AB893" s="60"/>
      <c r="AC893" s="60"/>
      <c r="AD893" s="60"/>
      <c r="AE893" s="60"/>
      <c r="AF893" s="62"/>
      <c r="AG893" s="62"/>
      <c r="AH893" s="62"/>
      <c r="AI893" s="61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</row>
    <row r="894" spans="1:52" x14ac:dyDescent="0.25">
      <c r="A894" s="62"/>
      <c r="B894" s="68"/>
      <c r="C894" s="68"/>
      <c r="D894" s="60"/>
      <c r="E894" s="60"/>
      <c r="F894" s="60"/>
      <c r="G894" s="60"/>
      <c r="H894" s="62"/>
      <c r="I894" s="62"/>
      <c r="J894" s="62"/>
      <c r="K894" s="61"/>
      <c r="L894" s="62"/>
      <c r="M894" s="62"/>
      <c r="N894" s="86"/>
      <c r="O894" s="86"/>
      <c r="P894" s="86"/>
      <c r="Q894" s="86"/>
      <c r="R894" s="86"/>
      <c r="S894" s="86"/>
      <c r="T894" s="62"/>
      <c r="U894" s="62"/>
      <c r="V894" s="62"/>
      <c r="W894" s="61"/>
      <c r="X894" s="62"/>
      <c r="Y894" s="62"/>
      <c r="Z894" s="68"/>
      <c r="AA894" s="68"/>
      <c r="AB894" s="60"/>
      <c r="AC894" s="60"/>
      <c r="AD894" s="60"/>
      <c r="AE894" s="60"/>
      <c r="AF894" s="62"/>
      <c r="AG894" s="62"/>
      <c r="AH894" s="62"/>
      <c r="AI894" s="61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</row>
    <row r="895" spans="1:52" x14ac:dyDescent="0.25">
      <c r="A895" s="62"/>
      <c r="B895" s="86"/>
      <c r="C895" s="86"/>
      <c r="D895" s="86"/>
      <c r="E895" s="86"/>
      <c r="F895" s="86"/>
      <c r="G895" s="86"/>
      <c r="H895" s="62"/>
      <c r="I895" s="62"/>
      <c r="J895" s="62"/>
      <c r="K895" s="62"/>
      <c r="L895" s="62"/>
      <c r="M895" s="62"/>
      <c r="N895" s="86"/>
      <c r="O895" s="86"/>
      <c r="P895" s="86"/>
      <c r="Q895" s="86"/>
      <c r="R895" s="86"/>
      <c r="S895" s="86"/>
      <c r="T895" s="62"/>
      <c r="U895" s="62"/>
      <c r="V895" s="62"/>
      <c r="W895" s="62"/>
      <c r="X895" s="62"/>
      <c r="Y895" s="62"/>
      <c r="Z895" s="86"/>
      <c r="AA895" s="86"/>
      <c r="AB895" s="86"/>
      <c r="AC895" s="86"/>
      <c r="AD895" s="86"/>
      <c r="AE895" s="86"/>
      <c r="AF895" s="62"/>
      <c r="AG895" s="62"/>
      <c r="AH895" s="62"/>
      <c r="AI895" s="62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</row>
    <row r="896" spans="1:52" x14ac:dyDescent="0.25">
      <c r="A896" s="62"/>
      <c r="B896" s="86"/>
      <c r="C896" s="86"/>
      <c r="D896" s="72"/>
      <c r="E896" s="72"/>
      <c r="F896" s="72"/>
      <c r="G896" s="72"/>
      <c r="H896" s="64"/>
      <c r="I896" s="72"/>
      <c r="J896" s="72"/>
      <c r="K896" s="72"/>
      <c r="L896" s="62"/>
      <c r="M896" s="62"/>
      <c r="N896" s="86"/>
      <c r="O896" s="86"/>
      <c r="P896" s="72"/>
      <c r="Q896" s="72"/>
      <c r="R896" s="72"/>
      <c r="S896" s="72"/>
      <c r="T896" s="64"/>
      <c r="U896" s="73"/>
      <c r="V896" s="73"/>
      <c r="W896" s="73"/>
      <c r="X896" s="62"/>
      <c r="Y896" s="62"/>
      <c r="Z896" s="86"/>
      <c r="AA896" s="86"/>
      <c r="AB896" s="72"/>
      <c r="AC896" s="72"/>
      <c r="AD896" s="72"/>
      <c r="AE896" s="72"/>
      <c r="AF896" s="64"/>
      <c r="AG896" s="72"/>
      <c r="AH896" s="72"/>
      <c r="AI896" s="72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</row>
    <row r="897" spans="1:52" x14ac:dyDescent="0.25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  <c r="AI897" s="62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</row>
    <row r="898" spans="1:52" x14ac:dyDescent="0.25">
      <c r="A898" s="62"/>
      <c r="B898" s="86"/>
      <c r="C898" s="86"/>
      <c r="D898" s="86"/>
      <c r="E898" s="86"/>
      <c r="F898" s="86"/>
      <c r="G898" s="86"/>
      <c r="H898" s="62"/>
      <c r="I898" s="62"/>
      <c r="J898" s="62"/>
      <c r="K898" s="62"/>
      <c r="L898" s="62"/>
      <c r="M898" s="62"/>
      <c r="N898" s="86"/>
      <c r="O898" s="86"/>
      <c r="P898" s="86"/>
      <c r="Q898" s="86"/>
      <c r="R898" s="86"/>
      <c r="S898" s="86"/>
      <c r="T898" s="62"/>
      <c r="U898" s="62"/>
      <c r="V898" s="62"/>
      <c r="W898" s="62"/>
      <c r="X898" s="62"/>
      <c r="Y898" s="62"/>
      <c r="Z898" s="86"/>
      <c r="AA898" s="86"/>
      <c r="AB898" s="86"/>
      <c r="AC898" s="86"/>
      <c r="AD898" s="86"/>
      <c r="AE898" s="86"/>
      <c r="AF898" s="62"/>
      <c r="AG898" s="62"/>
      <c r="AH898" s="62"/>
      <c r="AI898" s="62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</row>
    <row r="899" spans="1:52" x14ac:dyDescent="0.25">
      <c r="A899" s="62"/>
      <c r="B899" s="86"/>
      <c r="C899" s="86"/>
      <c r="D899" s="86"/>
      <c r="E899" s="86"/>
      <c r="F899" s="86"/>
      <c r="G899" s="86"/>
      <c r="H899" s="62"/>
      <c r="I899" s="62"/>
      <c r="J899" s="62"/>
      <c r="K899" s="62"/>
      <c r="L899" s="62"/>
      <c r="M899" s="62"/>
      <c r="N899" s="86"/>
      <c r="O899" s="86"/>
      <c r="P899" s="86"/>
      <c r="Q899" s="86"/>
      <c r="R899" s="86"/>
      <c r="S899" s="86"/>
      <c r="T899" s="62"/>
      <c r="U899" s="62"/>
      <c r="V899" s="62"/>
      <c r="W899" s="62"/>
      <c r="X899" s="62"/>
      <c r="Y899" s="62"/>
      <c r="Z899" s="86"/>
      <c r="AA899" s="86"/>
      <c r="AB899" s="86"/>
      <c r="AC899" s="86"/>
      <c r="AD899" s="86"/>
      <c r="AE899" s="86"/>
      <c r="AF899" s="62"/>
      <c r="AG899" s="62"/>
      <c r="AH899" s="62"/>
      <c r="AI899" s="62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</row>
    <row r="900" spans="1:52" x14ac:dyDescent="0.25">
      <c r="A900" s="62"/>
      <c r="B900" s="86"/>
      <c r="C900" s="86"/>
      <c r="D900" s="86"/>
      <c r="E900" s="86"/>
      <c r="F900" s="86"/>
      <c r="G900" s="86"/>
      <c r="H900" s="62"/>
      <c r="I900" s="62"/>
      <c r="J900" s="62"/>
      <c r="K900" s="62"/>
      <c r="L900" s="62"/>
      <c r="M900" s="62"/>
      <c r="N900" s="86"/>
      <c r="O900" s="86"/>
      <c r="P900" s="86"/>
      <c r="Q900" s="86"/>
      <c r="R900" s="86"/>
      <c r="S900" s="86"/>
      <c r="T900" s="62"/>
      <c r="U900" s="62"/>
      <c r="V900" s="62"/>
      <c r="W900" s="62"/>
      <c r="X900" s="62"/>
      <c r="Y900" s="62"/>
      <c r="Z900" s="86"/>
      <c r="AA900" s="86"/>
      <c r="AB900" s="86"/>
      <c r="AC900" s="86"/>
      <c r="AD900" s="86"/>
      <c r="AE900" s="86"/>
      <c r="AF900" s="62"/>
      <c r="AG900" s="62"/>
      <c r="AH900" s="62"/>
      <c r="AI900" s="62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</row>
    <row r="901" spans="1:52" x14ac:dyDescent="0.25">
      <c r="A901" s="64"/>
      <c r="B901" s="86"/>
      <c r="C901" s="86"/>
      <c r="D901" s="86"/>
      <c r="E901" s="86"/>
      <c r="F901" s="86"/>
      <c r="G901" s="86"/>
      <c r="H901" s="62"/>
      <c r="I901" s="62"/>
      <c r="J901" s="62"/>
      <c r="K901" s="62"/>
      <c r="L901" s="62"/>
      <c r="M901" s="64"/>
      <c r="N901" s="86"/>
      <c r="O901" s="86"/>
      <c r="P901" s="86"/>
      <c r="Q901" s="86"/>
      <c r="R901" s="86"/>
      <c r="S901" s="86"/>
      <c r="T901" s="62"/>
      <c r="U901" s="62"/>
      <c r="V901" s="62"/>
      <c r="W901" s="62"/>
      <c r="X901" s="62"/>
      <c r="Y901" s="64"/>
      <c r="Z901" s="86"/>
      <c r="AA901" s="86"/>
      <c r="AB901" s="86"/>
      <c r="AC901" s="86"/>
      <c r="AD901" s="86"/>
      <c r="AE901" s="86"/>
      <c r="AF901" s="62"/>
      <c r="AG901" s="62"/>
      <c r="AH901" s="62"/>
      <c r="AI901" s="62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</row>
    <row r="902" spans="1:52" x14ac:dyDescent="0.25">
      <c r="A902" s="62"/>
      <c r="B902" s="86"/>
      <c r="C902" s="86"/>
      <c r="D902" s="86"/>
      <c r="E902" s="86"/>
      <c r="F902" s="86"/>
      <c r="G902" s="86"/>
      <c r="H902" s="62"/>
      <c r="I902" s="62"/>
      <c r="J902" s="62"/>
      <c r="K902" s="62"/>
      <c r="L902" s="62"/>
      <c r="M902" s="62"/>
      <c r="N902" s="86"/>
      <c r="O902" s="86"/>
      <c r="P902" s="86"/>
      <c r="Q902" s="86"/>
      <c r="R902" s="86"/>
      <c r="S902" s="86"/>
      <c r="T902" s="62"/>
      <c r="U902" s="62"/>
      <c r="V902" s="62"/>
      <c r="W902" s="62"/>
      <c r="X902" s="62"/>
      <c r="Y902" s="62"/>
      <c r="Z902" s="86"/>
      <c r="AA902" s="86"/>
      <c r="AB902" s="86"/>
      <c r="AC902" s="86"/>
      <c r="AD902" s="86"/>
      <c r="AE902" s="86"/>
      <c r="AF902" s="62"/>
      <c r="AG902" s="62"/>
      <c r="AH902" s="62"/>
      <c r="AI902" s="62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</row>
    <row r="903" spans="1:52" ht="15.75" x14ac:dyDescent="0.25">
      <c r="A903" s="62"/>
      <c r="B903" s="86"/>
      <c r="C903" s="86"/>
      <c r="D903" s="86"/>
      <c r="E903" s="86"/>
      <c r="F903" s="86"/>
      <c r="G903" s="86"/>
      <c r="H903" s="62"/>
      <c r="I903" s="86"/>
      <c r="J903" s="77"/>
      <c r="K903" s="62"/>
      <c r="L903" s="62"/>
      <c r="M903" s="62"/>
      <c r="N903" s="86"/>
      <c r="O903" s="86"/>
      <c r="P903" s="86"/>
      <c r="Q903" s="86"/>
      <c r="R903" s="86"/>
      <c r="S903" s="86"/>
      <c r="T903" s="62"/>
      <c r="U903" s="86"/>
      <c r="V903" s="77"/>
      <c r="W903" s="62"/>
      <c r="X903" s="62"/>
      <c r="Y903" s="62"/>
      <c r="Z903" s="86"/>
      <c r="AA903" s="86"/>
      <c r="AB903" s="86"/>
      <c r="AC903" s="86"/>
      <c r="AD903" s="86"/>
      <c r="AE903" s="86"/>
      <c r="AF903" s="62"/>
      <c r="AG903" s="86"/>
      <c r="AH903" s="86"/>
      <c r="AI903" s="62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</row>
    <row r="904" spans="1:52" x14ac:dyDescent="0.25">
      <c r="A904" s="65"/>
      <c r="B904" s="86"/>
      <c r="C904" s="86"/>
      <c r="D904" s="86"/>
      <c r="E904" s="86"/>
      <c r="F904" s="86"/>
      <c r="G904" s="86"/>
      <c r="H904" s="62"/>
      <c r="I904" s="66"/>
      <c r="J904" s="66"/>
      <c r="K904" s="62"/>
      <c r="L904" s="62"/>
      <c r="M904" s="65"/>
      <c r="N904" s="86"/>
      <c r="O904" s="86"/>
      <c r="P904" s="86"/>
      <c r="Q904" s="86"/>
      <c r="R904" s="86"/>
      <c r="S904" s="86"/>
      <c r="T904" s="62"/>
      <c r="U904" s="66"/>
      <c r="V904" s="66"/>
      <c r="W904" s="62"/>
      <c r="X904" s="62"/>
      <c r="Y904" s="65"/>
      <c r="Z904" s="86"/>
      <c r="AA904" s="86"/>
      <c r="AB904" s="86"/>
      <c r="AC904" s="86"/>
      <c r="AD904" s="86"/>
      <c r="AE904" s="86"/>
      <c r="AF904" s="62"/>
      <c r="AG904" s="66"/>
      <c r="AH904" s="66"/>
      <c r="AI904" s="62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</row>
    <row r="905" spans="1:52" x14ac:dyDescent="0.25">
      <c r="A905" s="62"/>
      <c r="B905" s="86"/>
      <c r="C905" s="86"/>
      <c r="D905" s="86"/>
      <c r="E905" s="86"/>
      <c r="F905" s="86"/>
      <c r="G905" s="86"/>
      <c r="H905" s="62"/>
      <c r="I905" s="62"/>
      <c r="J905" s="62"/>
      <c r="K905" s="62"/>
      <c r="L905" s="62"/>
      <c r="M905" s="62"/>
      <c r="N905" s="86"/>
      <c r="O905" s="86"/>
      <c r="P905" s="86"/>
      <c r="Q905" s="86"/>
      <c r="R905" s="86"/>
      <c r="S905" s="86"/>
      <c r="T905" s="62"/>
      <c r="U905" s="62"/>
      <c r="V905" s="62"/>
      <c r="W905" s="62"/>
      <c r="X905" s="62"/>
      <c r="Y905" s="62"/>
      <c r="Z905" s="86"/>
      <c r="AA905" s="86"/>
      <c r="AB905" s="86"/>
      <c r="AC905" s="86"/>
      <c r="AD905" s="86"/>
      <c r="AE905" s="86"/>
      <c r="AF905" s="62"/>
      <c r="AG905" s="62"/>
      <c r="AH905" s="62"/>
      <c r="AI905" s="62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</row>
    <row r="906" spans="1:52" x14ac:dyDescent="0.25">
      <c r="A906" s="62"/>
      <c r="B906" s="66"/>
      <c r="C906" s="86"/>
      <c r="D906" s="116"/>
      <c r="E906" s="116"/>
      <c r="F906" s="86"/>
      <c r="G906" s="86"/>
      <c r="H906" s="62"/>
      <c r="I906" s="116"/>
      <c r="J906" s="116"/>
      <c r="K906" s="115"/>
      <c r="L906" s="62"/>
      <c r="M906" s="62"/>
      <c r="N906" s="66"/>
      <c r="O906" s="86"/>
      <c r="P906" s="116"/>
      <c r="Q906" s="116"/>
      <c r="R906" s="86"/>
      <c r="S906" s="86"/>
      <c r="T906" s="62"/>
      <c r="U906" s="116"/>
      <c r="V906" s="116"/>
      <c r="W906" s="115"/>
      <c r="X906" s="62"/>
      <c r="Y906" s="62"/>
      <c r="Z906" s="66"/>
      <c r="AA906" s="86"/>
      <c r="AB906" s="116"/>
      <c r="AC906" s="116"/>
      <c r="AD906" s="86"/>
      <c r="AE906" s="86"/>
      <c r="AF906" s="62"/>
      <c r="AG906" s="116"/>
      <c r="AH906" s="116"/>
      <c r="AI906" s="115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</row>
    <row r="907" spans="1:52" x14ac:dyDescent="0.25">
      <c r="A907" s="62"/>
      <c r="B907" s="86"/>
      <c r="C907" s="86"/>
      <c r="D907" s="87"/>
      <c r="E907" s="88"/>
      <c r="F907" s="89"/>
      <c r="G907" s="89"/>
      <c r="H907" s="62"/>
      <c r="I907" s="85"/>
      <c r="J907" s="85"/>
      <c r="K907" s="115"/>
      <c r="L907" s="62"/>
      <c r="M907" s="62"/>
      <c r="N907" s="86"/>
      <c r="O907" s="86"/>
      <c r="P907" s="87"/>
      <c r="Q907" s="89"/>
      <c r="R907" s="89"/>
      <c r="S907" s="89"/>
      <c r="T907" s="62"/>
      <c r="U907" s="85"/>
      <c r="V907" s="85"/>
      <c r="W907" s="115"/>
      <c r="X907" s="62"/>
      <c r="Y907" s="62"/>
      <c r="Z907" s="86"/>
      <c r="AA907" s="86"/>
      <c r="AB907" s="87"/>
      <c r="AC907" s="88"/>
      <c r="AD907" s="89"/>
      <c r="AE907" s="89"/>
      <c r="AF907" s="62"/>
      <c r="AG907" s="85"/>
      <c r="AH907" s="85"/>
      <c r="AI907" s="115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</row>
    <row r="908" spans="1:52" x14ac:dyDescent="0.25">
      <c r="A908" s="62"/>
      <c r="B908" s="68"/>
      <c r="C908" s="86"/>
      <c r="D908" s="60"/>
      <c r="E908" s="60"/>
      <c r="F908" s="60"/>
      <c r="G908" s="60"/>
      <c r="H908" s="61"/>
      <c r="I908" s="61"/>
      <c r="J908" s="61"/>
      <c r="K908" s="61"/>
      <c r="L908" s="62"/>
      <c r="M908" s="62"/>
      <c r="N908" s="68"/>
      <c r="O908" s="86"/>
      <c r="P908" s="60"/>
      <c r="Q908" s="60"/>
      <c r="R908" s="60"/>
      <c r="S908" s="60"/>
      <c r="T908" s="61"/>
      <c r="U908" s="61"/>
      <c r="V908" s="61"/>
      <c r="W908" s="61"/>
      <c r="X908" s="62"/>
      <c r="Y908" s="62"/>
      <c r="Z908" s="68"/>
      <c r="AA908" s="86"/>
      <c r="AB908" s="60"/>
      <c r="AC908" s="60"/>
      <c r="AD908" s="60"/>
      <c r="AE908" s="60"/>
      <c r="AF908" s="61"/>
      <c r="AG908" s="61"/>
      <c r="AH908" s="61"/>
      <c r="AI908" s="61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</row>
    <row r="909" spans="1:52" x14ac:dyDescent="0.25">
      <c r="A909" s="62"/>
      <c r="B909" s="68"/>
      <c r="C909" s="86"/>
      <c r="D909" s="60"/>
      <c r="E909" s="60"/>
      <c r="F909" s="60"/>
      <c r="G909" s="60"/>
      <c r="H909" s="61"/>
      <c r="I909" s="61"/>
      <c r="J909" s="61"/>
      <c r="K909" s="61"/>
      <c r="L909" s="62"/>
      <c r="M909" s="62"/>
      <c r="N909" s="68"/>
      <c r="O909" s="86"/>
      <c r="P909" s="60"/>
      <c r="Q909" s="60"/>
      <c r="R909" s="60"/>
      <c r="S909" s="60"/>
      <c r="T909" s="61"/>
      <c r="U909" s="61"/>
      <c r="V909" s="61"/>
      <c r="W909" s="61"/>
      <c r="X909" s="62"/>
      <c r="Y909" s="62"/>
      <c r="Z909" s="68"/>
      <c r="AA909" s="86"/>
      <c r="AB909" s="60"/>
      <c r="AC909" s="60"/>
      <c r="AD909" s="60"/>
      <c r="AE909" s="60"/>
      <c r="AF909" s="61"/>
      <c r="AG909" s="61"/>
      <c r="AH909" s="61"/>
      <c r="AI909" s="61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</row>
    <row r="910" spans="1:52" x14ac:dyDescent="0.25">
      <c r="A910" s="62"/>
      <c r="B910" s="68"/>
      <c r="C910" s="86"/>
      <c r="D910" s="60"/>
      <c r="E910" s="60"/>
      <c r="F910" s="60"/>
      <c r="G910" s="60"/>
      <c r="H910" s="61"/>
      <c r="I910" s="61"/>
      <c r="J910" s="61"/>
      <c r="K910" s="61"/>
      <c r="L910" s="62"/>
      <c r="M910" s="62"/>
      <c r="N910" s="68"/>
      <c r="O910" s="86"/>
      <c r="P910" s="60"/>
      <c r="Q910" s="60"/>
      <c r="R910" s="60"/>
      <c r="S910" s="60"/>
      <c r="T910" s="61"/>
      <c r="U910" s="61"/>
      <c r="V910" s="61"/>
      <c r="W910" s="61"/>
      <c r="X910" s="62"/>
      <c r="Y910" s="62"/>
      <c r="Z910" s="68"/>
      <c r="AA910" s="86"/>
      <c r="AB910" s="60"/>
      <c r="AC910" s="60"/>
      <c r="AD910" s="60"/>
      <c r="AE910" s="60"/>
      <c r="AF910" s="61"/>
      <c r="AG910" s="61"/>
      <c r="AH910" s="61"/>
      <c r="AI910" s="61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</row>
    <row r="911" spans="1:52" x14ac:dyDescent="0.25">
      <c r="A911" s="62"/>
      <c r="B911" s="68"/>
      <c r="C911" s="86"/>
      <c r="D911" s="60"/>
      <c r="E911" s="60"/>
      <c r="F911" s="60"/>
      <c r="G911" s="60"/>
      <c r="H911" s="61"/>
      <c r="I911" s="61"/>
      <c r="J911" s="61"/>
      <c r="K911" s="61"/>
      <c r="L911" s="62"/>
      <c r="M911" s="62"/>
      <c r="N911" s="68"/>
      <c r="O911" s="86"/>
      <c r="P911" s="60"/>
      <c r="Q911" s="60"/>
      <c r="R911" s="60"/>
      <c r="S911" s="60"/>
      <c r="T911" s="61"/>
      <c r="U911" s="61"/>
      <c r="V911" s="61"/>
      <c r="W911" s="61"/>
      <c r="X911" s="62"/>
      <c r="Y911" s="62"/>
      <c r="Z911" s="68"/>
      <c r="AA911" s="86"/>
      <c r="AB911" s="60"/>
      <c r="AC911" s="60"/>
      <c r="AD911" s="60"/>
      <c r="AE911" s="60"/>
      <c r="AF911" s="61"/>
      <c r="AG911" s="61"/>
      <c r="AH911" s="61"/>
      <c r="AI911" s="61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</row>
    <row r="912" spans="1:52" x14ac:dyDescent="0.25">
      <c r="A912" s="62"/>
      <c r="B912" s="68"/>
      <c r="C912" s="86"/>
      <c r="D912" s="60"/>
      <c r="E912" s="60"/>
      <c r="F912" s="60"/>
      <c r="G912" s="60"/>
      <c r="H912" s="61"/>
      <c r="I912" s="61"/>
      <c r="J912" s="61"/>
      <c r="K912" s="61"/>
      <c r="L912" s="62"/>
      <c r="M912" s="62"/>
      <c r="N912" s="68"/>
      <c r="O912" s="86"/>
      <c r="P912" s="60"/>
      <c r="Q912" s="60"/>
      <c r="R912" s="60"/>
      <c r="S912" s="60"/>
      <c r="T912" s="61"/>
      <c r="U912" s="61"/>
      <c r="V912" s="61"/>
      <c r="W912" s="61"/>
      <c r="X912" s="62"/>
      <c r="Y912" s="62"/>
      <c r="Z912" s="68"/>
      <c r="AA912" s="86"/>
      <c r="AB912" s="60"/>
      <c r="AC912" s="60"/>
      <c r="AD912" s="60"/>
      <c r="AE912" s="60"/>
      <c r="AF912" s="61"/>
      <c r="AG912" s="61"/>
      <c r="AH912" s="61"/>
      <c r="AI912" s="61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</row>
    <row r="913" spans="1:52" x14ac:dyDescent="0.25">
      <c r="A913" s="62"/>
      <c r="B913" s="68"/>
      <c r="C913" s="86"/>
      <c r="D913" s="60"/>
      <c r="E913" s="60"/>
      <c r="F913" s="60"/>
      <c r="G913" s="60"/>
      <c r="H913" s="61"/>
      <c r="I913" s="61"/>
      <c r="J913" s="61"/>
      <c r="K913" s="61"/>
      <c r="L913" s="62"/>
      <c r="M913" s="62"/>
      <c r="N913" s="68"/>
      <c r="O913" s="86"/>
      <c r="P913" s="60"/>
      <c r="Q913" s="60"/>
      <c r="R913" s="60"/>
      <c r="S913" s="60"/>
      <c r="T913" s="61"/>
      <c r="U913" s="61"/>
      <c r="V913" s="62"/>
      <c r="W913" s="61"/>
      <c r="X913" s="62"/>
      <c r="Y913" s="62"/>
      <c r="Z913" s="68"/>
      <c r="AA913" s="86"/>
      <c r="AB913" s="60"/>
      <c r="AC913" s="60"/>
      <c r="AD913" s="60"/>
      <c r="AE913" s="60"/>
      <c r="AF913" s="61"/>
      <c r="AG913" s="61"/>
      <c r="AH913" s="61"/>
      <c r="AI913" s="61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</row>
    <row r="914" spans="1:52" x14ac:dyDescent="0.25">
      <c r="A914" s="62"/>
      <c r="B914" s="68"/>
      <c r="C914" s="86"/>
      <c r="D914" s="60"/>
      <c r="E914" s="60"/>
      <c r="F914" s="60"/>
      <c r="G914" s="60"/>
      <c r="H914" s="61"/>
      <c r="I914" s="61"/>
      <c r="J914" s="61"/>
      <c r="K914" s="61"/>
      <c r="L914" s="62"/>
      <c r="M914" s="62"/>
      <c r="N914" s="68"/>
      <c r="O914" s="86"/>
      <c r="P914" s="60"/>
      <c r="Q914" s="60"/>
      <c r="R914" s="60"/>
      <c r="S914" s="60"/>
      <c r="T914" s="61"/>
      <c r="U914" s="61"/>
      <c r="V914" s="61"/>
      <c r="W914" s="61"/>
      <c r="X914" s="62"/>
      <c r="Y914" s="62"/>
      <c r="Z914" s="68"/>
      <c r="AA914" s="86"/>
      <c r="AB914" s="60"/>
      <c r="AC914" s="60"/>
      <c r="AD914" s="60"/>
      <c r="AE914" s="60"/>
      <c r="AF914" s="61"/>
      <c r="AG914" s="61"/>
      <c r="AH914" s="61"/>
      <c r="AI914" s="61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</row>
    <row r="915" spans="1:52" x14ac:dyDescent="0.25">
      <c r="A915" s="62"/>
      <c r="B915" s="68"/>
      <c r="C915" s="86"/>
      <c r="D915" s="60"/>
      <c r="E915" s="60"/>
      <c r="F915" s="60"/>
      <c r="G915" s="60"/>
      <c r="H915" s="61"/>
      <c r="I915" s="61"/>
      <c r="J915" s="61"/>
      <c r="K915" s="61"/>
      <c r="L915" s="62"/>
      <c r="M915" s="62"/>
      <c r="N915" s="68"/>
      <c r="O915" s="86"/>
      <c r="P915" s="60"/>
      <c r="Q915" s="60"/>
      <c r="R915" s="60"/>
      <c r="S915" s="60"/>
      <c r="T915" s="61"/>
      <c r="U915" s="61"/>
      <c r="V915" s="61"/>
      <c r="W915" s="61"/>
      <c r="X915" s="62"/>
      <c r="Y915" s="62"/>
      <c r="Z915" s="68"/>
      <c r="AA915" s="86"/>
      <c r="AB915" s="60"/>
      <c r="AC915" s="60"/>
      <c r="AD915" s="60"/>
      <c r="AE915" s="60"/>
      <c r="AF915" s="61"/>
      <c r="AG915" s="61"/>
      <c r="AH915" s="61"/>
      <c r="AI915" s="61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</row>
    <row r="916" spans="1:52" x14ac:dyDescent="0.25">
      <c r="A916" s="62"/>
      <c r="B916" s="68"/>
      <c r="C916" s="86"/>
      <c r="D916" s="60"/>
      <c r="E916" s="60"/>
      <c r="F916" s="60"/>
      <c r="G916" s="60"/>
      <c r="H916" s="61"/>
      <c r="I916" s="61"/>
      <c r="J916" s="61"/>
      <c r="K916" s="61"/>
      <c r="L916" s="62"/>
      <c r="M916" s="62"/>
      <c r="N916" s="68"/>
      <c r="O916" s="86"/>
      <c r="P916" s="60"/>
      <c r="Q916" s="60"/>
      <c r="R916" s="60"/>
      <c r="S916" s="60"/>
      <c r="T916" s="61"/>
      <c r="U916" s="61"/>
      <c r="V916" s="61"/>
      <c r="W916" s="61"/>
      <c r="X916" s="62"/>
      <c r="Y916" s="62"/>
      <c r="Z916" s="68"/>
      <c r="AA916" s="86"/>
      <c r="AB916" s="60"/>
      <c r="AC916" s="60"/>
      <c r="AD916" s="60"/>
      <c r="AE916" s="60"/>
      <c r="AF916" s="61"/>
      <c r="AG916" s="61"/>
      <c r="AH916" s="61"/>
      <c r="AI916" s="61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</row>
    <row r="917" spans="1:52" x14ac:dyDescent="0.25">
      <c r="A917" s="62"/>
      <c r="B917" s="68"/>
      <c r="C917" s="86"/>
      <c r="D917" s="60"/>
      <c r="E917" s="60"/>
      <c r="F917" s="60"/>
      <c r="G917" s="60"/>
      <c r="H917" s="61"/>
      <c r="I917" s="61"/>
      <c r="J917" s="61"/>
      <c r="K917" s="61"/>
      <c r="L917" s="62"/>
      <c r="M917" s="62"/>
      <c r="N917" s="68"/>
      <c r="O917" s="86"/>
      <c r="P917" s="60"/>
      <c r="Q917" s="60"/>
      <c r="R917" s="60"/>
      <c r="S917" s="60"/>
      <c r="T917" s="61"/>
      <c r="U917" s="61"/>
      <c r="V917" s="61"/>
      <c r="W917" s="61"/>
      <c r="X917" s="62"/>
      <c r="Y917" s="62"/>
      <c r="Z917" s="68"/>
      <c r="AA917" s="86"/>
      <c r="AB917" s="60"/>
      <c r="AC917" s="60"/>
      <c r="AD917" s="60"/>
      <c r="AE917" s="60"/>
      <c r="AF917" s="61"/>
      <c r="AG917" s="61"/>
      <c r="AH917" s="61"/>
      <c r="AI917" s="61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</row>
    <row r="918" spans="1:52" x14ac:dyDescent="0.25">
      <c r="A918" s="62"/>
      <c r="B918" s="68"/>
      <c r="C918" s="86"/>
      <c r="D918" s="60"/>
      <c r="E918" s="60"/>
      <c r="F918" s="60"/>
      <c r="G918" s="60"/>
      <c r="H918" s="61"/>
      <c r="I918" s="61"/>
      <c r="J918" s="61"/>
      <c r="K918" s="61"/>
      <c r="L918" s="62"/>
      <c r="M918" s="62"/>
      <c r="N918" s="68"/>
      <c r="O918" s="86"/>
      <c r="P918" s="60"/>
      <c r="Q918" s="60"/>
      <c r="R918" s="60"/>
      <c r="S918" s="60"/>
      <c r="T918" s="61"/>
      <c r="U918" s="61"/>
      <c r="V918" s="61"/>
      <c r="W918" s="61"/>
      <c r="X918" s="62"/>
      <c r="Y918" s="62"/>
      <c r="Z918" s="68"/>
      <c r="AA918" s="66"/>
      <c r="AB918" s="60"/>
      <c r="AC918" s="60"/>
      <c r="AD918" s="60"/>
      <c r="AE918" s="60"/>
      <c r="AF918" s="61"/>
      <c r="AG918" s="61"/>
      <c r="AH918" s="61"/>
      <c r="AI918" s="61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</row>
    <row r="919" spans="1:52" x14ac:dyDescent="0.25">
      <c r="A919" s="62"/>
      <c r="B919" s="68"/>
      <c r="C919" s="86"/>
      <c r="D919" s="60"/>
      <c r="E919" s="60"/>
      <c r="F919" s="60"/>
      <c r="G919" s="60"/>
      <c r="H919" s="61"/>
      <c r="I919" s="61"/>
      <c r="J919" s="62"/>
      <c r="K919" s="61"/>
      <c r="L919" s="62"/>
      <c r="M919" s="62"/>
      <c r="N919" s="68"/>
      <c r="O919" s="86"/>
      <c r="P919" s="60"/>
      <c r="Q919" s="60"/>
      <c r="R919" s="60"/>
      <c r="S919" s="60"/>
      <c r="T919" s="61"/>
      <c r="U919" s="61"/>
      <c r="V919" s="61"/>
      <c r="W919" s="61"/>
      <c r="X919" s="62"/>
      <c r="Y919" s="62"/>
      <c r="Z919" s="68"/>
      <c r="AA919" s="86"/>
      <c r="AB919" s="60"/>
      <c r="AC919" s="60"/>
      <c r="AD919" s="60"/>
      <c r="AE919" s="60"/>
      <c r="AF919" s="61"/>
      <c r="AG919" s="61"/>
      <c r="AH919" s="62"/>
      <c r="AI919" s="61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</row>
    <row r="920" spans="1:52" x14ac:dyDescent="0.25">
      <c r="A920" s="62"/>
      <c r="B920" s="68"/>
      <c r="C920" s="86"/>
      <c r="D920" s="60"/>
      <c r="E920" s="60"/>
      <c r="F920" s="60"/>
      <c r="G920" s="60"/>
      <c r="H920" s="61"/>
      <c r="I920" s="61"/>
      <c r="J920" s="61"/>
      <c r="K920" s="61"/>
      <c r="L920" s="62"/>
      <c r="M920" s="62"/>
      <c r="N920" s="68"/>
      <c r="O920" s="86"/>
      <c r="P920" s="60"/>
      <c r="Q920" s="60"/>
      <c r="R920" s="60"/>
      <c r="S920" s="60"/>
      <c r="T920" s="61"/>
      <c r="U920" s="61"/>
      <c r="V920" s="61"/>
      <c r="W920" s="61"/>
      <c r="X920" s="62"/>
      <c r="Y920" s="62"/>
      <c r="Z920" s="68"/>
      <c r="AA920" s="86"/>
      <c r="AB920" s="60"/>
      <c r="AC920" s="60"/>
      <c r="AD920" s="60"/>
      <c r="AE920" s="60"/>
      <c r="AF920" s="61"/>
      <c r="AG920" s="61"/>
      <c r="AH920" s="61"/>
      <c r="AI920" s="61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</row>
    <row r="921" spans="1:52" x14ac:dyDescent="0.25">
      <c r="A921" s="62"/>
      <c r="B921" s="68"/>
      <c r="C921" s="86"/>
      <c r="D921" s="60"/>
      <c r="E921" s="60"/>
      <c r="F921" s="60"/>
      <c r="G921" s="60"/>
      <c r="H921" s="61"/>
      <c r="I921" s="61"/>
      <c r="J921" s="61"/>
      <c r="K921" s="61"/>
      <c r="L921" s="62"/>
      <c r="M921" s="62"/>
      <c r="N921" s="68"/>
      <c r="O921" s="86"/>
      <c r="P921" s="60"/>
      <c r="Q921" s="60"/>
      <c r="R921" s="60"/>
      <c r="S921" s="60"/>
      <c r="T921" s="61"/>
      <c r="U921" s="61"/>
      <c r="V921" s="61"/>
      <c r="W921" s="61"/>
      <c r="X921" s="62"/>
      <c r="Y921" s="62"/>
      <c r="Z921" s="68"/>
      <c r="AA921" s="86"/>
      <c r="AB921" s="60"/>
      <c r="AC921" s="60"/>
      <c r="AD921" s="60"/>
      <c r="AE921" s="60"/>
      <c r="AF921" s="61"/>
      <c r="AG921" s="61"/>
      <c r="AH921" s="61"/>
      <c r="AI921" s="61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</row>
    <row r="922" spans="1:52" x14ac:dyDescent="0.25">
      <c r="A922" s="62"/>
      <c r="B922" s="68"/>
      <c r="C922" s="86"/>
      <c r="D922" s="60"/>
      <c r="E922" s="60"/>
      <c r="F922" s="60"/>
      <c r="G922" s="60"/>
      <c r="H922" s="61"/>
      <c r="I922" s="61"/>
      <c r="J922" s="61"/>
      <c r="K922" s="61"/>
      <c r="L922" s="62"/>
      <c r="M922" s="62"/>
      <c r="N922" s="68"/>
      <c r="O922" s="86"/>
      <c r="P922" s="60"/>
      <c r="Q922" s="60"/>
      <c r="R922" s="60"/>
      <c r="S922" s="60"/>
      <c r="T922" s="61"/>
      <c r="U922" s="61"/>
      <c r="V922" s="61"/>
      <c r="W922" s="61"/>
      <c r="X922" s="62"/>
      <c r="Y922" s="62"/>
      <c r="Z922" s="68"/>
      <c r="AA922" s="86"/>
      <c r="AB922" s="60"/>
      <c r="AC922" s="60"/>
      <c r="AD922" s="60"/>
      <c r="AE922" s="60"/>
      <c r="AF922" s="61"/>
      <c r="AG922" s="61"/>
      <c r="AH922" s="61"/>
      <c r="AI922" s="61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</row>
    <row r="923" spans="1:52" x14ac:dyDescent="0.25">
      <c r="A923" s="62"/>
      <c r="B923" s="68"/>
      <c r="C923" s="86"/>
      <c r="D923" s="60"/>
      <c r="E923" s="60"/>
      <c r="F923" s="60"/>
      <c r="G923" s="60"/>
      <c r="H923" s="61"/>
      <c r="I923" s="61"/>
      <c r="J923" s="61"/>
      <c r="K923" s="61"/>
      <c r="L923" s="62"/>
      <c r="M923" s="62"/>
      <c r="N923" s="68"/>
      <c r="O923" s="86"/>
      <c r="P923" s="60"/>
      <c r="Q923" s="60"/>
      <c r="R923" s="60"/>
      <c r="S923" s="60"/>
      <c r="T923" s="61"/>
      <c r="U923" s="61"/>
      <c r="V923" s="61"/>
      <c r="W923" s="61"/>
      <c r="X923" s="62"/>
      <c r="Y923" s="62"/>
      <c r="Z923" s="68"/>
      <c r="AA923" s="86"/>
      <c r="AB923" s="60"/>
      <c r="AC923" s="60"/>
      <c r="AD923" s="60"/>
      <c r="AE923" s="60"/>
      <c r="AF923" s="61"/>
      <c r="AG923" s="61"/>
      <c r="AH923" s="61"/>
      <c r="AI923" s="61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</row>
    <row r="924" spans="1:52" x14ac:dyDescent="0.25">
      <c r="A924" s="62"/>
      <c r="B924" s="68"/>
      <c r="C924" s="86"/>
      <c r="D924" s="60"/>
      <c r="E924" s="60"/>
      <c r="F924" s="60"/>
      <c r="G924" s="60"/>
      <c r="H924" s="61"/>
      <c r="I924" s="61"/>
      <c r="J924" s="61"/>
      <c r="K924" s="61"/>
      <c r="L924" s="62"/>
      <c r="M924" s="62"/>
      <c r="N924" s="68"/>
      <c r="O924" s="86"/>
      <c r="P924" s="60"/>
      <c r="Q924" s="60"/>
      <c r="R924" s="60"/>
      <c r="S924" s="60"/>
      <c r="T924" s="61"/>
      <c r="U924" s="61"/>
      <c r="V924" s="61"/>
      <c r="W924" s="61"/>
      <c r="X924" s="62"/>
      <c r="Y924" s="62"/>
      <c r="Z924" s="68"/>
      <c r="AA924" s="86"/>
      <c r="AB924" s="60"/>
      <c r="AC924" s="60"/>
      <c r="AD924" s="60"/>
      <c r="AE924" s="60"/>
      <c r="AF924" s="61"/>
      <c r="AG924" s="61"/>
      <c r="AH924" s="61"/>
      <c r="AI924" s="61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</row>
    <row r="925" spans="1:52" x14ac:dyDescent="0.25">
      <c r="A925" s="62"/>
      <c r="B925" s="68"/>
      <c r="C925" s="66"/>
      <c r="D925" s="60"/>
      <c r="E925" s="60"/>
      <c r="F925" s="60"/>
      <c r="G925" s="60"/>
      <c r="H925" s="61"/>
      <c r="I925" s="61"/>
      <c r="J925" s="61"/>
      <c r="K925" s="61"/>
      <c r="L925" s="62"/>
      <c r="M925" s="62"/>
      <c r="N925" s="68"/>
      <c r="O925" s="86"/>
      <c r="P925" s="60"/>
      <c r="Q925" s="60"/>
      <c r="R925" s="60"/>
      <c r="S925" s="60"/>
      <c r="T925" s="61"/>
      <c r="U925" s="61"/>
      <c r="V925" s="61"/>
      <c r="W925" s="61"/>
      <c r="X925" s="62"/>
      <c r="Y925" s="62"/>
      <c r="Z925" s="68"/>
      <c r="AA925" s="86"/>
      <c r="AB925" s="60"/>
      <c r="AC925" s="60"/>
      <c r="AD925" s="60"/>
      <c r="AE925" s="60"/>
      <c r="AF925" s="61"/>
      <c r="AG925" s="61"/>
      <c r="AH925" s="61"/>
      <c r="AI925" s="61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</row>
    <row r="926" spans="1:52" x14ac:dyDescent="0.25">
      <c r="A926" s="62"/>
      <c r="B926" s="68"/>
      <c r="C926" s="86"/>
      <c r="D926" s="60"/>
      <c r="E926" s="60"/>
      <c r="F926" s="60"/>
      <c r="G926" s="60"/>
      <c r="H926" s="61"/>
      <c r="I926" s="61"/>
      <c r="J926" s="61"/>
      <c r="K926" s="61"/>
      <c r="L926" s="62"/>
      <c r="M926" s="62"/>
      <c r="N926" s="68"/>
      <c r="O926" s="86"/>
      <c r="P926" s="60"/>
      <c r="Q926" s="60"/>
      <c r="R926" s="60"/>
      <c r="S926" s="60"/>
      <c r="T926" s="61"/>
      <c r="U926" s="61"/>
      <c r="V926" s="61"/>
      <c r="W926" s="61"/>
      <c r="X926" s="62"/>
      <c r="Y926" s="62"/>
      <c r="Z926" s="68"/>
      <c r="AA926" s="86"/>
      <c r="AB926" s="60"/>
      <c r="AC926" s="60"/>
      <c r="AD926" s="60"/>
      <c r="AE926" s="60"/>
      <c r="AF926" s="61"/>
      <c r="AG926" s="61"/>
      <c r="AH926" s="61"/>
      <c r="AI926" s="61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</row>
    <row r="927" spans="1:52" x14ac:dyDescent="0.25">
      <c r="A927" s="62"/>
      <c r="B927" s="68"/>
      <c r="C927" s="86"/>
      <c r="D927" s="60"/>
      <c r="E927" s="60"/>
      <c r="F927" s="60"/>
      <c r="G927" s="60"/>
      <c r="H927" s="61"/>
      <c r="I927" s="61"/>
      <c r="J927" s="61"/>
      <c r="K927" s="61"/>
      <c r="L927" s="62"/>
      <c r="M927" s="62"/>
      <c r="N927" s="68"/>
      <c r="O927" s="86"/>
      <c r="P927" s="60"/>
      <c r="Q927" s="60"/>
      <c r="R927" s="60"/>
      <c r="S927" s="60"/>
      <c r="T927" s="61"/>
      <c r="U927" s="61"/>
      <c r="V927" s="61"/>
      <c r="W927" s="61"/>
      <c r="X927" s="62"/>
      <c r="Y927" s="62"/>
      <c r="Z927" s="68"/>
      <c r="AA927" s="86"/>
      <c r="AB927" s="60"/>
      <c r="AC927" s="60"/>
      <c r="AD927" s="60"/>
      <c r="AE927" s="60"/>
      <c r="AF927" s="61"/>
      <c r="AG927" s="61"/>
      <c r="AH927" s="61"/>
      <c r="AI927" s="61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</row>
    <row r="928" spans="1:52" x14ac:dyDescent="0.25">
      <c r="A928" s="62"/>
      <c r="B928" s="68"/>
      <c r="C928" s="86"/>
      <c r="D928" s="60"/>
      <c r="E928" s="60"/>
      <c r="F928" s="60"/>
      <c r="G928" s="60"/>
      <c r="H928" s="62"/>
      <c r="I928" s="62"/>
      <c r="J928" s="62"/>
      <c r="K928" s="61"/>
      <c r="L928" s="62"/>
      <c r="M928" s="62"/>
      <c r="N928" s="68"/>
      <c r="O928" s="86"/>
      <c r="P928" s="69"/>
      <c r="Q928" s="86"/>
      <c r="R928" s="86"/>
      <c r="S928" s="60"/>
      <c r="T928" s="62"/>
      <c r="U928" s="62"/>
      <c r="V928" s="62"/>
      <c r="W928" s="61"/>
      <c r="X928" s="62"/>
      <c r="Y928" s="62"/>
      <c r="Z928" s="68"/>
      <c r="AA928" s="62"/>
      <c r="AB928" s="60"/>
      <c r="AC928" s="60"/>
      <c r="AD928" s="60"/>
      <c r="AE928" s="60"/>
      <c r="AF928" s="62"/>
      <c r="AG928" s="62"/>
      <c r="AH928" s="62"/>
      <c r="AI928" s="61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</row>
    <row r="929" spans="1:52" x14ac:dyDescent="0.25">
      <c r="A929" s="62"/>
      <c r="B929" s="68"/>
      <c r="C929" s="86"/>
      <c r="D929" s="60"/>
      <c r="E929" s="60"/>
      <c r="F929" s="60"/>
      <c r="G929" s="60"/>
      <c r="H929" s="62"/>
      <c r="I929" s="62"/>
      <c r="J929" s="62"/>
      <c r="K929" s="61"/>
      <c r="L929" s="62"/>
      <c r="M929" s="62"/>
      <c r="N929" s="68"/>
      <c r="O929" s="86"/>
      <c r="P929" s="70"/>
      <c r="Q929" s="86"/>
      <c r="R929" s="86"/>
      <c r="S929" s="60"/>
      <c r="T929" s="62"/>
      <c r="U929" s="62"/>
      <c r="V929" s="62"/>
      <c r="W929" s="61"/>
      <c r="X929" s="62"/>
      <c r="Y929" s="62"/>
      <c r="Z929" s="68"/>
      <c r="AA929" s="86"/>
      <c r="AB929" s="60"/>
      <c r="AC929" s="60"/>
      <c r="AD929" s="60"/>
      <c r="AE929" s="60"/>
      <c r="AF929" s="62"/>
      <c r="AG929" s="62"/>
      <c r="AH929" s="62"/>
      <c r="AI929" s="61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</row>
    <row r="930" spans="1:52" x14ac:dyDescent="0.25">
      <c r="A930" s="62"/>
      <c r="B930" s="68"/>
      <c r="C930" s="86"/>
      <c r="D930" s="60"/>
      <c r="E930" s="60"/>
      <c r="F930" s="60"/>
      <c r="G930" s="60"/>
      <c r="H930" s="62"/>
      <c r="I930" s="62"/>
      <c r="J930" s="61"/>
      <c r="K930" s="61"/>
      <c r="L930" s="62"/>
      <c r="M930" s="62"/>
      <c r="N930" s="68"/>
      <c r="O930" s="86"/>
      <c r="P930" s="71"/>
      <c r="Q930" s="62"/>
      <c r="R930" s="62"/>
      <c r="S930" s="60"/>
      <c r="T930" s="62"/>
      <c r="U930" s="62"/>
      <c r="V930" s="62"/>
      <c r="W930" s="61"/>
      <c r="X930" s="62"/>
      <c r="Y930" s="62"/>
      <c r="Z930" s="68"/>
      <c r="AA930" s="86"/>
      <c r="AB930" s="60"/>
      <c r="AC930" s="60"/>
      <c r="AD930" s="60"/>
      <c r="AE930" s="60"/>
      <c r="AF930" s="62"/>
      <c r="AG930" s="62"/>
      <c r="AH930" s="61"/>
      <c r="AI930" s="61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</row>
    <row r="931" spans="1:52" x14ac:dyDescent="0.25">
      <c r="A931" s="62"/>
      <c r="B931" s="68"/>
      <c r="C931" s="86"/>
      <c r="D931" s="60"/>
      <c r="E931" s="60"/>
      <c r="F931" s="60"/>
      <c r="G931" s="60"/>
      <c r="H931" s="62"/>
      <c r="I931" s="62"/>
      <c r="J931" s="62"/>
      <c r="K931" s="61"/>
      <c r="L931" s="62"/>
      <c r="M931" s="62"/>
      <c r="N931" s="68"/>
      <c r="O931" s="86"/>
      <c r="P931" s="71"/>
      <c r="Q931" s="86"/>
      <c r="R931" s="86"/>
      <c r="S931" s="60"/>
      <c r="T931" s="62"/>
      <c r="U931" s="62"/>
      <c r="V931" s="62"/>
      <c r="W931" s="61"/>
      <c r="X931" s="62"/>
      <c r="Y931" s="62"/>
      <c r="Z931" s="68"/>
      <c r="AA931" s="86"/>
      <c r="AB931" s="60"/>
      <c r="AC931" s="60"/>
      <c r="AD931" s="60"/>
      <c r="AE931" s="60"/>
      <c r="AF931" s="62"/>
      <c r="AG931" s="62"/>
      <c r="AH931" s="62"/>
      <c r="AI931" s="61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</row>
    <row r="932" spans="1:52" x14ac:dyDescent="0.25">
      <c r="A932" s="62"/>
      <c r="B932" s="68"/>
      <c r="C932" s="86"/>
      <c r="D932" s="60"/>
      <c r="E932" s="60"/>
      <c r="F932" s="60"/>
      <c r="G932" s="60"/>
      <c r="H932" s="62"/>
      <c r="I932" s="62"/>
      <c r="J932" s="62"/>
      <c r="K932" s="61"/>
      <c r="L932" s="62"/>
      <c r="M932" s="62"/>
      <c r="N932" s="68"/>
      <c r="O932" s="86"/>
      <c r="P932" s="71"/>
      <c r="Q932" s="86"/>
      <c r="R932" s="86"/>
      <c r="S932" s="60"/>
      <c r="T932" s="62"/>
      <c r="U932" s="62"/>
      <c r="V932" s="62"/>
      <c r="W932" s="61"/>
      <c r="X932" s="62"/>
      <c r="Y932" s="62"/>
      <c r="Z932" s="68"/>
      <c r="AA932" s="86"/>
      <c r="AB932" s="60"/>
      <c r="AC932" s="60"/>
      <c r="AD932" s="60"/>
      <c r="AE932" s="60"/>
      <c r="AF932" s="62"/>
      <c r="AG932" s="62"/>
      <c r="AH932" s="62"/>
      <c r="AI932" s="61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</row>
    <row r="933" spans="1:52" x14ac:dyDescent="0.25">
      <c r="A933" s="62"/>
      <c r="B933" s="68"/>
      <c r="C933" s="86"/>
      <c r="D933" s="60"/>
      <c r="E933" s="60"/>
      <c r="F933" s="60"/>
      <c r="G933" s="60"/>
      <c r="H933" s="62"/>
      <c r="I933" s="62"/>
      <c r="J933" s="62"/>
      <c r="K933" s="61"/>
      <c r="L933" s="62"/>
      <c r="M933" s="62"/>
      <c r="N933" s="68"/>
      <c r="O933" s="86"/>
      <c r="P933" s="71"/>
      <c r="Q933" s="86"/>
      <c r="R933" s="86"/>
      <c r="S933" s="60"/>
      <c r="T933" s="62"/>
      <c r="U933" s="62"/>
      <c r="V933" s="62"/>
      <c r="W933" s="61"/>
      <c r="X933" s="62"/>
      <c r="Y933" s="62"/>
      <c r="Z933" s="68"/>
      <c r="AA933" s="86"/>
      <c r="AB933" s="60"/>
      <c r="AC933" s="60"/>
      <c r="AD933" s="60"/>
      <c r="AE933" s="60"/>
      <c r="AF933" s="62"/>
      <c r="AG933" s="62"/>
      <c r="AH933" s="62"/>
      <c r="AI933" s="61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</row>
    <row r="934" spans="1:52" x14ac:dyDescent="0.25">
      <c r="A934" s="62"/>
      <c r="B934" s="68"/>
      <c r="C934" s="86"/>
      <c r="D934" s="60"/>
      <c r="E934" s="60"/>
      <c r="F934" s="60"/>
      <c r="G934" s="60"/>
      <c r="H934" s="62"/>
      <c r="I934" s="62"/>
      <c r="J934" s="62"/>
      <c r="K934" s="61"/>
      <c r="L934" s="62"/>
      <c r="M934" s="62"/>
      <c r="N934" s="68"/>
      <c r="O934" s="86"/>
      <c r="P934" s="71"/>
      <c r="Q934" s="86"/>
      <c r="R934" s="86"/>
      <c r="S934" s="60"/>
      <c r="T934" s="62"/>
      <c r="U934" s="62"/>
      <c r="V934" s="62"/>
      <c r="W934" s="61"/>
      <c r="X934" s="62"/>
      <c r="Y934" s="62"/>
      <c r="Z934" s="68"/>
      <c r="AA934" s="86"/>
      <c r="AB934" s="60"/>
      <c r="AC934" s="60"/>
      <c r="AD934" s="60"/>
      <c r="AE934" s="60"/>
      <c r="AF934" s="62"/>
      <c r="AG934" s="62"/>
      <c r="AH934" s="62"/>
      <c r="AI934" s="61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</row>
    <row r="935" spans="1:52" x14ac:dyDescent="0.25">
      <c r="A935" s="62"/>
      <c r="B935" s="68"/>
      <c r="C935" s="86"/>
      <c r="D935" s="60"/>
      <c r="E935" s="60"/>
      <c r="F935" s="60"/>
      <c r="G935" s="60"/>
      <c r="H935" s="62"/>
      <c r="I935" s="62"/>
      <c r="J935" s="62"/>
      <c r="K935" s="61"/>
      <c r="L935" s="62"/>
      <c r="M935" s="62"/>
      <c r="N935" s="68"/>
      <c r="O935" s="66"/>
      <c r="P935" s="71"/>
      <c r="Q935" s="86"/>
      <c r="R935" s="86"/>
      <c r="S935" s="60"/>
      <c r="T935" s="62"/>
      <c r="U935" s="62"/>
      <c r="V935" s="62"/>
      <c r="W935" s="61"/>
      <c r="X935" s="62"/>
      <c r="Y935" s="62"/>
      <c r="Z935" s="68"/>
      <c r="AA935" s="86"/>
      <c r="AB935" s="60"/>
      <c r="AC935" s="60"/>
      <c r="AD935" s="60"/>
      <c r="AE935" s="60"/>
      <c r="AF935" s="62"/>
      <c r="AG935" s="62"/>
      <c r="AH935" s="62"/>
      <c r="AI935" s="61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</row>
    <row r="936" spans="1:52" x14ac:dyDescent="0.25">
      <c r="A936" s="62"/>
      <c r="B936" s="68"/>
      <c r="C936" s="86"/>
      <c r="D936" s="60"/>
      <c r="E936" s="60"/>
      <c r="F936" s="60"/>
      <c r="G936" s="60"/>
      <c r="H936" s="62"/>
      <c r="I936" s="62"/>
      <c r="J936" s="62"/>
      <c r="K936" s="61"/>
      <c r="L936" s="62"/>
      <c r="M936" s="62"/>
      <c r="N936" s="68"/>
      <c r="O936" s="86"/>
      <c r="P936" s="71"/>
      <c r="Q936" s="86"/>
      <c r="R936" s="86"/>
      <c r="S936" s="60"/>
      <c r="T936" s="62"/>
      <c r="U936" s="62"/>
      <c r="V936" s="62"/>
      <c r="W936" s="61"/>
      <c r="X936" s="62"/>
      <c r="Y936" s="62"/>
      <c r="Z936" s="68"/>
      <c r="AA936" s="86"/>
      <c r="AB936" s="60"/>
      <c r="AC936" s="60"/>
      <c r="AD936" s="60"/>
      <c r="AE936" s="60"/>
      <c r="AF936" s="62"/>
      <c r="AG936" s="62"/>
      <c r="AH936" s="62"/>
      <c r="AI936" s="61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</row>
    <row r="937" spans="1:52" x14ac:dyDescent="0.25">
      <c r="A937" s="62"/>
      <c r="B937" s="68"/>
      <c r="C937" s="86"/>
      <c r="D937" s="60"/>
      <c r="E937" s="60"/>
      <c r="F937" s="60"/>
      <c r="G937" s="60"/>
      <c r="H937" s="62"/>
      <c r="I937" s="62"/>
      <c r="J937" s="62"/>
      <c r="K937" s="61"/>
      <c r="L937" s="62"/>
      <c r="M937" s="62"/>
      <c r="N937" s="68"/>
      <c r="O937" s="86"/>
      <c r="P937" s="71"/>
      <c r="Q937" s="86"/>
      <c r="R937" s="86"/>
      <c r="S937" s="60"/>
      <c r="T937" s="62"/>
      <c r="U937" s="62"/>
      <c r="V937" s="62"/>
      <c r="W937" s="61"/>
      <c r="X937" s="62"/>
      <c r="Y937" s="62"/>
      <c r="Z937" s="68"/>
      <c r="AA937" s="86"/>
      <c r="AB937" s="60"/>
      <c r="AC937" s="60"/>
      <c r="AD937" s="60"/>
      <c r="AE937" s="60"/>
      <c r="AF937" s="62"/>
      <c r="AG937" s="62"/>
      <c r="AH937" s="62"/>
      <c r="AI937" s="61"/>
      <c r="AJ937" s="62"/>
      <c r="AK937" s="62"/>
      <c r="AL937" s="62"/>
      <c r="AM937" s="62"/>
      <c r="AN937" s="62"/>
      <c r="AO937" s="62"/>
      <c r="AP937" s="62"/>
      <c r="AQ937" s="62"/>
      <c r="AR937" s="62"/>
      <c r="AS937" s="62"/>
      <c r="AT937" s="62"/>
      <c r="AU937" s="62"/>
      <c r="AV937" s="62"/>
      <c r="AW937" s="62"/>
      <c r="AX937" s="62"/>
      <c r="AY937" s="62"/>
      <c r="AZ937" s="62"/>
    </row>
    <row r="938" spans="1:52" x14ac:dyDescent="0.25">
      <c r="A938" s="62"/>
      <c r="B938" s="68"/>
      <c r="C938" s="86"/>
      <c r="D938" s="60"/>
      <c r="E938" s="60"/>
      <c r="F938" s="60"/>
      <c r="G938" s="60"/>
      <c r="H938" s="62"/>
      <c r="I938" s="62"/>
      <c r="J938" s="62"/>
      <c r="K938" s="61"/>
      <c r="L938" s="62"/>
      <c r="M938" s="62"/>
      <c r="N938" s="68"/>
      <c r="O938" s="62"/>
      <c r="P938" s="71"/>
      <c r="Q938" s="86"/>
      <c r="R938" s="86"/>
      <c r="S938" s="60"/>
      <c r="T938" s="62"/>
      <c r="U938" s="62"/>
      <c r="V938" s="62"/>
      <c r="W938" s="61"/>
      <c r="X938" s="62"/>
      <c r="Y938" s="62"/>
      <c r="Z938" s="68"/>
      <c r="AA938" s="62"/>
      <c r="AB938" s="60"/>
      <c r="AC938" s="60"/>
      <c r="AD938" s="60"/>
      <c r="AE938" s="60"/>
      <c r="AF938" s="62"/>
      <c r="AG938" s="62"/>
      <c r="AH938" s="62"/>
      <c r="AI938" s="61"/>
      <c r="AJ938" s="62"/>
      <c r="AK938" s="62"/>
      <c r="AL938" s="62"/>
      <c r="AM938" s="62"/>
      <c r="AN938" s="62"/>
      <c r="AO938" s="62"/>
      <c r="AP938" s="62"/>
      <c r="AQ938" s="62"/>
      <c r="AR938" s="62"/>
      <c r="AS938" s="62"/>
      <c r="AT938" s="62"/>
      <c r="AU938" s="62"/>
      <c r="AV938" s="62"/>
      <c r="AW938" s="62"/>
      <c r="AX938" s="62"/>
      <c r="AY938" s="62"/>
      <c r="AZ938" s="62"/>
    </row>
    <row r="939" spans="1:52" x14ac:dyDescent="0.25">
      <c r="A939" s="62"/>
      <c r="B939" s="68"/>
      <c r="C939" s="86"/>
      <c r="D939" s="60"/>
      <c r="E939" s="60"/>
      <c r="F939" s="60"/>
      <c r="G939" s="60"/>
      <c r="H939" s="62"/>
      <c r="I939" s="62"/>
      <c r="J939" s="62"/>
      <c r="K939" s="61"/>
      <c r="L939" s="62"/>
      <c r="M939" s="62"/>
      <c r="N939" s="68"/>
      <c r="O939" s="86"/>
      <c r="P939" s="71"/>
      <c r="Q939" s="86"/>
      <c r="R939" s="86"/>
      <c r="S939" s="60"/>
      <c r="T939" s="62"/>
      <c r="U939" s="62"/>
      <c r="V939" s="62"/>
      <c r="W939" s="61"/>
      <c r="X939" s="62"/>
      <c r="Y939" s="62"/>
      <c r="Z939" s="68"/>
      <c r="AA939" s="86"/>
      <c r="AB939" s="60"/>
      <c r="AC939" s="60"/>
      <c r="AD939" s="60"/>
      <c r="AE939" s="60"/>
      <c r="AF939" s="62"/>
      <c r="AG939" s="62"/>
      <c r="AH939" s="62"/>
      <c r="AI939" s="61"/>
      <c r="AJ939" s="62"/>
      <c r="AK939" s="62"/>
      <c r="AL939" s="62"/>
      <c r="AM939" s="62"/>
      <c r="AN939" s="62"/>
      <c r="AO939" s="62"/>
      <c r="AP939" s="62"/>
      <c r="AQ939" s="62"/>
      <c r="AR939" s="62"/>
      <c r="AS939" s="62"/>
      <c r="AT939" s="62"/>
      <c r="AU939" s="62"/>
      <c r="AV939" s="62"/>
      <c r="AW939" s="62"/>
      <c r="AX939" s="62"/>
      <c r="AY939" s="62"/>
      <c r="AZ939" s="62"/>
    </row>
    <row r="940" spans="1:52" x14ac:dyDescent="0.25">
      <c r="A940" s="62"/>
      <c r="B940" s="68"/>
      <c r="C940" s="86"/>
      <c r="D940" s="60"/>
      <c r="E940" s="60"/>
      <c r="F940" s="60"/>
      <c r="G940" s="60"/>
      <c r="H940" s="62"/>
      <c r="I940" s="62"/>
      <c r="J940" s="62"/>
      <c r="K940" s="61"/>
      <c r="L940" s="62"/>
      <c r="M940" s="62"/>
      <c r="N940" s="68"/>
      <c r="O940" s="86"/>
      <c r="P940" s="71"/>
      <c r="Q940" s="86"/>
      <c r="R940" s="86"/>
      <c r="S940" s="60"/>
      <c r="T940" s="62"/>
      <c r="U940" s="62"/>
      <c r="V940" s="62"/>
      <c r="W940" s="61"/>
      <c r="X940" s="62"/>
      <c r="Y940" s="62"/>
      <c r="Z940" s="68"/>
      <c r="AA940" s="86"/>
      <c r="AB940" s="60"/>
      <c r="AC940" s="60"/>
      <c r="AD940" s="60"/>
      <c r="AE940" s="60"/>
      <c r="AF940" s="62"/>
      <c r="AG940" s="62"/>
      <c r="AH940" s="62"/>
      <c r="AI940" s="61"/>
      <c r="AJ940" s="62"/>
      <c r="AK940" s="62"/>
      <c r="AL940" s="62"/>
      <c r="AM940" s="62"/>
      <c r="AN940" s="62"/>
      <c r="AO940" s="62"/>
      <c r="AP940" s="62"/>
      <c r="AQ940" s="62"/>
      <c r="AR940" s="62"/>
      <c r="AS940" s="62"/>
      <c r="AT940" s="62"/>
      <c r="AU940" s="62"/>
      <c r="AV940" s="62"/>
      <c r="AW940" s="62"/>
      <c r="AX940" s="62"/>
      <c r="AY940" s="62"/>
      <c r="AZ940" s="62"/>
    </row>
    <row r="941" spans="1:52" x14ac:dyDescent="0.25">
      <c r="A941" s="62"/>
      <c r="B941" s="68"/>
      <c r="C941" s="66"/>
      <c r="D941" s="60"/>
      <c r="E941" s="60"/>
      <c r="F941" s="60"/>
      <c r="G941" s="60"/>
      <c r="H941" s="62"/>
      <c r="I941" s="62"/>
      <c r="J941" s="62"/>
      <c r="K941" s="61"/>
      <c r="L941" s="62"/>
      <c r="M941" s="62"/>
      <c r="N941" s="68"/>
      <c r="O941" s="86"/>
      <c r="P941" s="71"/>
      <c r="Q941" s="86"/>
      <c r="R941" s="86"/>
      <c r="S941" s="60"/>
      <c r="T941" s="62"/>
      <c r="U941" s="62"/>
      <c r="V941" s="62"/>
      <c r="W941" s="61"/>
      <c r="X941" s="62"/>
      <c r="Y941" s="62"/>
      <c r="Z941" s="68"/>
      <c r="AA941" s="86"/>
      <c r="AB941" s="60"/>
      <c r="AC941" s="60"/>
      <c r="AD941" s="60"/>
      <c r="AE941" s="60"/>
      <c r="AF941" s="62"/>
      <c r="AG941" s="62"/>
      <c r="AH941" s="62"/>
      <c r="AI941" s="61"/>
      <c r="AJ941" s="62"/>
      <c r="AK941" s="62"/>
      <c r="AL941" s="62"/>
      <c r="AM941" s="62"/>
      <c r="AN941" s="62"/>
      <c r="AO941" s="62"/>
      <c r="AP941" s="62"/>
      <c r="AQ941" s="62"/>
      <c r="AR941" s="62"/>
      <c r="AS941" s="62"/>
      <c r="AT941" s="62"/>
      <c r="AU941" s="62"/>
      <c r="AV941" s="62"/>
      <c r="AW941" s="62"/>
      <c r="AX941" s="62"/>
      <c r="AY941" s="62"/>
      <c r="AZ941" s="62"/>
    </row>
    <row r="942" spans="1:52" x14ac:dyDescent="0.25">
      <c r="A942" s="62"/>
      <c r="B942" s="68"/>
      <c r="C942" s="86"/>
      <c r="D942" s="60"/>
      <c r="E942" s="60"/>
      <c r="F942" s="60"/>
      <c r="G942" s="60"/>
      <c r="H942" s="62"/>
      <c r="I942" s="62"/>
      <c r="J942" s="62"/>
      <c r="K942" s="61"/>
      <c r="L942" s="62"/>
      <c r="M942" s="62"/>
      <c r="N942" s="68"/>
      <c r="O942" s="86"/>
      <c r="P942" s="71"/>
      <c r="Q942" s="86"/>
      <c r="R942" s="86"/>
      <c r="S942" s="60"/>
      <c r="T942" s="62"/>
      <c r="U942" s="62"/>
      <c r="V942" s="62"/>
      <c r="W942" s="61"/>
      <c r="X942" s="62"/>
      <c r="Y942" s="62"/>
      <c r="Z942" s="68"/>
      <c r="AA942" s="86"/>
      <c r="AB942" s="60"/>
      <c r="AC942" s="60"/>
      <c r="AD942" s="60"/>
      <c r="AE942" s="60"/>
      <c r="AF942" s="62"/>
      <c r="AG942" s="62"/>
      <c r="AH942" s="62"/>
      <c r="AI942" s="61"/>
      <c r="AJ942" s="62"/>
      <c r="AK942" s="62"/>
      <c r="AL942" s="62"/>
      <c r="AM942" s="62"/>
      <c r="AN942" s="62"/>
      <c r="AO942" s="62"/>
      <c r="AP942" s="62"/>
      <c r="AQ942" s="62"/>
      <c r="AR942" s="62"/>
      <c r="AS942" s="62"/>
      <c r="AT942" s="62"/>
      <c r="AU942" s="62"/>
      <c r="AV942" s="62"/>
      <c r="AW942" s="62"/>
      <c r="AX942" s="62"/>
      <c r="AY942" s="62"/>
      <c r="AZ942" s="62"/>
    </row>
    <row r="943" spans="1:52" x14ac:dyDescent="0.25">
      <c r="A943" s="62"/>
      <c r="B943" s="68"/>
      <c r="C943" s="86"/>
      <c r="D943" s="60"/>
      <c r="E943" s="60"/>
      <c r="F943" s="60"/>
      <c r="G943" s="60"/>
      <c r="H943" s="62"/>
      <c r="I943" s="62"/>
      <c r="J943" s="62"/>
      <c r="K943" s="61"/>
      <c r="L943" s="62"/>
      <c r="M943" s="62"/>
      <c r="N943" s="68"/>
      <c r="O943" s="86"/>
      <c r="P943" s="71"/>
      <c r="Q943" s="86"/>
      <c r="R943" s="86"/>
      <c r="S943" s="60"/>
      <c r="T943" s="62"/>
      <c r="U943" s="62"/>
      <c r="V943" s="62"/>
      <c r="W943" s="61"/>
      <c r="X943" s="62"/>
      <c r="Y943" s="62"/>
      <c r="Z943" s="68"/>
      <c r="AA943" s="86"/>
      <c r="AB943" s="60"/>
      <c r="AC943" s="60"/>
      <c r="AD943" s="60"/>
      <c r="AE943" s="60"/>
      <c r="AF943" s="62"/>
      <c r="AG943" s="62"/>
      <c r="AH943" s="62"/>
      <c r="AI943" s="61"/>
      <c r="AJ943" s="62"/>
      <c r="AK943" s="62"/>
      <c r="AL943" s="62"/>
      <c r="AM943" s="62"/>
      <c r="AN943" s="62"/>
      <c r="AO943" s="62"/>
      <c r="AP943" s="62"/>
      <c r="AQ943" s="62"/>
      <c r="AR943" s="62"/>
      <c r="AS943" s="62"/>
      <c r="AT943" s="62"/>
      <c r="AU943" s="62"/>
      <c r="AV943" s="62"/>
      <c r="AW943" s="62"/>
      <c r="AX943" s="62"/>
      <c r="AY943" s="62"/>
      <c r="AZ943" s="62"/>
    </row>
    <row r="944" spans="1:52" x14ac:dyDescent="0.25">
      <c r="A944" s="62"/>
      <c r="B944" s="68"/>
      <c r="C944" s="86"/>
      <c r="D944" s="60"/>
      <c r="E944" s="60"/>
      <c r="F944" s="60"/>
      <c r="G944" s="60"/>
      <c r="H944" s="62"/>
      <c r="I944" s="62"/>
      <c r="J944" s="62"/>
      <c r="K944" s="61"/>
      <c r="L944" s="62"/>
      <c r="M944" s="62"/>
      <c r="N944" s="68"/>
      <c r="O944" s="86"/>
      <c r="P944" s="71"/>
      <c r="Q944" s="86"/>
      <c r="R944" s="86"/>
      <c r="S944" s="60"/>
      <c r="T944" s="62"/>
      <c r="U944" s="62"/>
      <c r="V944" s="62"/>
      <c r="W944" s="61"/>
      <c r="X944" s="62"/>
      <c r="Y944" s="62"/>
      <c r="Z944" s="68"/>
      <c r="AA944" s="86"/>
      <c r="AB944" s="60"/>
      <c r="AC944" s="60"/>
      <c r="AD944" s="60"/>
      <c r="AE944" s="60"/>
      <c r="AF944" s="62"/>
      <c r="AG944" s="62"/>
      <c r="AH944" s="62"/>
      <c r="AI944" s="61"/>
      <c r="AJ944" s="62"/>
      <c r="AK944" s="62"/>
      <c r="AL944" s="62"/>
      <c r="AM944" s="62"/>
      <c r="AN944" s="62"/>
      <c r="AO944" s="62"/>
      <c r="AP944" s="62"/>
      <c r="AQ944" s="62"/>
      <c r="AR944" s="62"/>
      <c r="AS944" s="62"/>
      <c r="AT944" s="62"/>
      <c r="AU944" s="62"/>
      <c r="AV944" s="62"/>
      <c r="AW944" s="62"/>
      <c r="AX944" s="62"/>
      <c r="AY944" s="62"/>
      <c r="AZ944" s="62"/>
    </row>
    <row r="945" spans="1:52" x14ac:dyDescent="0.25">
      <c r="A945" s="62"/>
      <c r="B945" s="68"/>
      <c r="C945" s="86"/>
      <c r="D945" s="60"/>
      <c r="E945" s="60"/>
      <c r="F945" s="60"/>
      <c r="G945" s="60"/>
      <c r="H945" s="62"/>
      <c r="I945" s="62"/>
      <c r="J945" s="62"/>
      <c r="K945" s="61"/>
      <c r="L945" s="62"/>
      <c r="M945" s="62"/>
      <c r="N945" s="68"/>
      <c r="O945" s="86"/>
      <c r="P945" s="71"/>
      <c r="Q945" s="86"/>
      <c r="R945" s="86"/>
      <c r="S945" s="60"/>
      <c r="T945" s="62"/>
      <c r="U945" s="62"/>
      <c r="V945" s="62"/>
      <c r="W945" s="61"/>
      <c r="X945" s="62"/>
      <c r="Y945" s="62"/>
      <c r="Z945" s="68"/>
      <c r="AA945" s="86"/>
      <c r="AB945" s="60"/>
      <c r="AC945" s="60"/>
      <c r="AD945" s="60"/>
      <c r="AE945" s="60"/>
      <c r="AF945" s="62"/>
      <c r="AG945" s="62"/>
      <c r="AH945" s="62"/>
      <c r="AI945" s="61"/>
      <c r="AJ945" s="62"/>
      <c r="AK945" s="62"/>
      <c r="AL945" s="62"/>
      <c r="AM945" s="62"/>
      <c r="AN945" s="62"/>
      <c r="AO945" s="62"/>
      <c r="AP945" s="62"/>
      <c r="AQ945" s="62"/>
      <c r="AR945" s="62"/>
      <c r="AS945" s="62"/>
      <c r="AT945" s="62"/>
      <c r="AU945" s="62"/>
      <c r="AV945" s="62"/>
      <c r="AW945" s="62"/>
      <c r="AX945" s="62"/>
      <c r="AY945" s="62"/>
      <c r="AZ945" s="62"/>
    </row>
    <row r="946" spans="1:52" x14ac:dyDescent="0.25">
      <c r="A946" s="62"/>
      <c r="B946" s="68"/>
      <c r="C946" s="86"/>
      <c r="D946" s="60"/>
      <c r="E946" s="60"/>
      <c r="F946" s="60"/>
      <c r="G946" s="60"/>
      <c r="H946" s="62"/>
      <c r="I946" s="62"/>
      <c r="J946" s="62"/>
      <c r="K946" s="61"/>
      <c r="L946" s="62"/>
      <c r="M946" s="62"/>
      <c r="N946" s="68"/>
      <c r="O946" s="86"/>
      <c r="P946" s="71"/>
      <c r="Q946" s="86"/>
      <c r="R946" s="86"/>
      <c r="S946" s="60"/>
      <c r="T946" s="62"/>
      <c r="U946" s="62"/>
      <c r="V946" s="62"/>
      <c r="W946" s="61"/>
      <c r="X946" s="62"/>
      <c r="Y946" s="62"/>
      <c r="Z946" s="68"/>
      <c r="AA946" s="86"/>
      <c r="AB946" s="60"/>
      <c r="AC946" s="60"/>
      <c r="AD946" s="60"/>
      <c r="AE946" s="60"/>
      <c r="AF946" s="62"/>
      <c r="AG946" s="62"/>
      <c r="AH946" s="62"/>
      <c r="AI946" s="61"/>
      <c r="AJ946" s="62"/>
      <c r="AK946" s="62"/>
      <c r="AL946" s="62"/>
      <c r="AM946" s="62"/>
      <c r="AN946" s="62"/>
      <c r="AO946" s="62"/>
      <c r="AP946" s="62"/>
      <c r="AQ946" s="62"/>
      <c r="AR946" s="62"/>
      <c r="AS946" s="62"/>
      <c r="AT946" s="62"/>
      <c r="AU946" s="62"/>
      <c r="AV946" s="62"/>
      <c r="AW946" s="62"/>
      <c r="AX946" s="62"/>
      <c r="AY946" s="62"/>
      <c r="AZ946" s="62"/>
    </row>
    <row r="947" spans="1:52" x14ac:dyDescent="0.25">
      <c r="A947" s="62"/>
      <c r="B947" s="68"/>
      <c r="C947" s="86"/>
      <c r="D947" s="60"/>
      <c r="E947" s="60"/>
      <c r="F947" s="60"/>
      <c r="G947" s="60"/>
      <c r="H947" s="62"/>
      <c r="I947" s="62"/>
      <c r="J947" s="62"/>
      <c r="K947" s="61"/>
      <c r="L947" s="62"/>
      <c r="M947" s="62"/>
      <c r="N947" s="68"/>
      <c r="O947" s="86"/>
      <c r="P947" s="71"/>
      <c r="Q947" s="86"/>
      <c r="R947" s="86"/>
      <c r="S947" s="60"/>
      <c r="T947" s="62"/>
      <c r="U947" s="62"/>
      <c r="V947" s="62"/>
      <c r="W947" s="61"/>
      <c r="X947" s="62"/>
      <c r="Y947" s="62"/>
      <c r="Z947" s="68"/>
      <c r="AA947" s="86"/>
      <c r="AB947" s="60"/>
      <c r="AC947" s="60"/>
      <c r="AD947" s="60"/>
      <c r="AE947" s="60"/>
      <c r="AF947" s="62"/>
      <c r="AG947" s="62"/>
      <c r="AH947" s="62"/>
      <c r="AI947" s="61"/>
      <c r="AJ947" s="62"/>
      <c r="AK947" s="62"/>
      <c r="AL947" s="62"/>
      <c r="AM947" s="62"/>
      <c r="AN947" s="62"/>
      <c r="AO947" s="62"/>
      <c r="AP947" s="62"/>
      <c r="AQ947" s="62"/>
      <c r="AR947" s="62"/>
      <c r="AS947" s="62"/>
      <c r="AT947" s="62"/>
      <c r="AU947" s="62"/>
      <c r="AV947" s="62"/>
      <c r="AW947" s="62"/>
      <c r="AX947" s="62"/>
      <c r="AY947" s="62"/>
      <c r="AZ947" s="62"/>
    </row>
    <row r="948" spans="1:52" x14ac:dyDescent="0.25">
      <c r="A948" s="62"/>
      <c r="B948" s="68"/>
      <c r="C948" s="86"/>
      <c r="D948" s="60"/>
      <c r="E948" s="60"/>
      <c r="F948" s="60"/>
      <c r="G948" s="60"/>
      <c r="H948" s="62"/>
      <c r="I948" s="62"/>
      <c r="J948" s="62"/>
      <c r="K948" s="61"/>
      <c r="L948" s="62"/>
      <c r="M948" s="62"/>
      <c r="N948" s="68"/>
      <c r="O948" s="86"/>
      <c r="P948" s="71"/>
      <c r="Q948" s="86"/>
      <c r="R948" s="86"/>
      <c r="S948" s="60"/>
      <c r="T948" s="62"/>
      <c r="U948" s="62"/>
      <c r="V948" s="62"/>
      <c r="W948" s="61"/>
      <c r="X948" s="62"/>
      <c r="Y948" s="62"/>
      <c r="Z948" s="68"/>
      <c r="AA948" s="86"/>
      <c r="AB948" s="60"/>
      <c r="AC948" s="60"/>
      <c r="AD948" s="60"/>
      <c r="AE948" s="60"/>
      <c r="AF948" s="62"/>
      <c r="AG948" s="62"/>
      <c r="AH948" s="62"/>
      <c r="AI948" s="61"/>
      <c r="AJ948" s="62"/>
      <c r="AK948" s="62"/>
      <c r="AL948" s="62"/>
      <c r="AM948" s="62"/>
      <c r="AN948" s="62"/>
      <c r="AO948" s="62"/>
      <c r="AP948" s="62"/>
      <c r="AQ948" s="62"/>
      <c r="AR948" s="62"/>
      <c r="AS948" s="62"/>
      <c r="AT948" s="62"/>
      <c r="AU948" s="62"/>
      <c r="AV948" s="62"/>
      <c r="AW948" s="62"/>
      <c r="AX948" s="62"/>
      <c r="AY948" s="62"/>
      <c r="AZ948" s="62"/>
    </row>
    <row r="949" spans="1:52" x14ac:dyDescent="0.25">
      <c r="A949" s="62"/>
      <c r="B949" s="68"/>
      <c r="C949" s="86"/>
      <c r="D949" s="60"/>
      <c r="E949" s="60"/>
      <c r="F949" s="60"/>
      <c r="G949" s="60"/>
      <c r="H949" s="62"/>
      <c r="I949" s="62"/>
      <c r="J949" s="62"/>
      <c r="K949" s="61"/>
      <c r="L949" s="62"/>
      <c r="M949" s="62"/>
      <c r="N949" s="68"/>
      <c r="O949" s="86"/>
      <c r="P949" s="71"/>
      <c r="Q949" s="86"/>
      <c r="R949" s="86"/>
      <c r="S949" s="60"/>
      <c r="T949" s="62"/>
      <c r="U949" s="62"/>
      <c r="V949" s="62"/>
      <c r="W949" s="61"/>
      <c r="X949" s="62"/>
      <c r="Y949" s="62"/>
      <c r="Z949" s="68"/>
      <c r="AA949" s="86"/>
      <c r="AB949" s="60"/>
      <c r="AC949" s="60"/>
      <c r="AD949" s="60"/>
      <c r="AE949" s="60"/>
      <c r="AF949" s="62"/>
      <c r="AG949" s="62"/>
      <c r="AH949" s="62"/>
      <c r="AI949" s="61"/>
      <c r="AJ949" s="62"/>
      <c r="AK949" s="62"/>
      <c r="AL949" s="62"/>
      <c r="AM949" s="62"/>
      <c r="AN949" s="62"/>
      <c r="AO949" s="62"/>
      <c r="AP949" s="62"/>
      <c r="AQ949" s="62"/>
      <c r="AR949" s="62"/>
      <c r="AS949" s="62"/>
      <c r="AT949" s="62"/>
      <c r="AU949" s="62"/>
      <c r="AV949" s="62"/>
      <c r="AW949" s="62"/>
      <c r="AX949" s="62"/>
      <c r="AY949" s="62"/>
      <c r="AZ949" s="62"/>
    </row>
    <row r="950" spans="1:52" x14ac:dyDescent="0.25">
      <c r="A950" s="62"/>
      <c r="B950" s="68"/>
      <c r="C950" s="86"/>
      <c r="D950" s="60"/>
      <c r="E950" s="60"/>
      <c r="F950" s="60"/>
      <c r="G950" s="60"/>
      <c r="H950" s="62"/>
      <c r="I950" s="62"/>
      <c r="J950" s="62"/>
      <c r="K950" s="61"/>
      <c r="L950" s="62"/>
      <c r="M950" s="62"/>
      <c r="N950" s="68"/>
      <c r="O950" s="86"/>
      <c r="P950" s="71"/>
      <c r="Q950" s="86"/>
      <c r="R950" s="86"/>
      <c r="S950" s="60"/>
      <c r="T950" s="62"/>
      <c r="U950" s="62"/>
      <c r="V950" s="62"/>
      <c r="W950" s="61"/>
      <c r="X950" s="62"/>
      <c r="Y950" s="62"/>
      <c r="Z950" s="68"/>
      <c r="AA950" s="86"/>
      <c r="AB950" s="60"/>
      <c r="AC950" s="60"/>
      <c r="AD950" s="60"/>
      <c r="AE950" s="60"/>
      <c r="AF950" s="62"/>
      <c r="AG950" s="62"/>
      <c r="AH950" s="62"/>
      <c r="AI950" s="61"/>
      <c r="AJ950" s="62"/>
      <c r="AK950" s="62"/>
      <c r="AL950" s="62"/>
      <c r="AM950" s="62"/>
      <c r="AN950" s="62"/>
      <c r="AO950" s="62"/>
      <c r="AP950" s="62"/>
      <c r="AQ950" s="62"/>
      <c r="AR950" s="62"/>
      <c r="AS950" s="62"/>
      <c r="AT950" s="62"/>
      <c r="AU950" s="62"/>
      <c r="AV950" s="62"/>
      <c r="AW950" s="62"/>
      <c r="AX950" s="62"/>
      <c r="AY950" s="62"/>
      <c r="AZ950" s="62"/>
    </row>
    <row r="951" spans="1:52" x14ac:dyDescent="0.25">
      <c r="A951" s="62"/>
      <c r="B951" s="68"/>
      <c r="C951" s="86"/>
      <c r="D951" s="60"/>
      <c r="E951" s="60"/>
      <c r="F951" s="60"/>
      <c r="G951" s="60"/>
      <c r="H951" s="62"/>
      <c r="I951" s="62"/>
      <c r="J951" s="62"/>
      <c r="K951" s="61"/>
      <c r="L951" s="62"/>
      <c r="M951" s="62"/>
      <c r="N951" s="68"/>
      <c r="O951" s="86"/>
      <c r="P951" s="71"/>
      <c r="Q951" s="86"/>
      <c r="R951" s="86"/>
      <c r="S951" s="60"/>
      <c r="T951" s="62"/>
      <c r="U951" s="62"/>
      <c r="V951" s="62"/>
      <c r="W951" s="61"/>
      <c r="X951" s="62"/>
      <c r="Y951" s="62"/>
      <c r="Z951" s="68"/>
      <c r="AA951" s="86"/>
      <c r="AB951" s="60"/>
      <c r="AC951" s="60"/>
      <c r="AD951" s="60"/>
      <c r="AE951" s="60"/>
      <c r="AF951" s="62"/>
      <c r="AG951" s="62"/>
      <c r="AH951" s="62"/>
      <c r="AI951" s="61"/>
      <c r="AJ951" s="62"/>
      <c r="AK951" s="62"/>
      <c r="AL951" s="62"/>
      <c r="AM951" s="62"/>
      <c r="AN951" s="62"/>
      <c r="AO951" s="62"/>
      <c r="AP951" s="62"/>
      <c r="AQ951" s="62"/>
      <c r="AR951" s="62"/>
      <c r="AS951" s="62"/>
      <c r="AT951" s="62"/>
      <c r="AU951" s="62"/>
      <c r="AV951" s="62"/>
      <c r="AW951" s="62"/>
      <c r="AX951" s="62"/>
      <c r="AY951" s="62"/>
      <c r="AZ951" s="62"/>
    </row>
    <row r="952" spans="1:52" x14ac:dyDescent="0.25">
      <c r="A952" s="62"/>
      <c r="B952" s="68"/>
      <c r="C952" s="86"/>
      <c r="D952" s="60"/>
      <c r="E952" s="60"/>
      <c r="F952" s="60"/>
      <c r="G952" s="60"/>
      <c r="H952" s="62"/>
      <c r="I952" s="62"/>
      <c r="J952" s="62"/>
      <c r="K952" s="61"/>
      <c r="L952" s="62"/>
      <c r="M952" s="62"/>
      <c r="N952" s="68"/>
      <c r="O952" s="86"/>
      <c r="P952" s="71"/>
      <c r="Q952" s="86"/>
      <c r="R952" s="86"/>
      <c r="S952" s="60"/>
      <c r="T952" s="62"/>
      <c r="U952" s="62"/>
      <c r="V952" s="62"/>
      <c r="W952" s="61"/>
      <c r="X952" s="62"/>
      <c r="Y952" s="62"/>
      <c r="Z952" s="68"/>
      <c r="AA952" s="86"/>
      <c r="AB952" s="60"/>
      <c r="AC952" s="60"/>
      <c r="AD952" s="60"/>
      <c r="AE952" s="60"/>
      <c r="AF952" s="62"/>
      <c r="AG952" s="62"/>
      <c r="AH952" s="62"/>
      <c r="AI952" s="61"/>
      <c r="AJ952" s="62"/>
      <c r="AK952" s="62"/>
      <c r="AL952" s="62"/>
      <c r="AM952" s="62"/>
      <c r="AN952" s="62"/>
      <c r="AO952" s="62"/>
      <c r="AP952" s="62"/>
      <c r="AQ952" s="62"/>
      <c r="AR952" s="62"/>
      <c r="AS952" s="62"/>
      <c r="AT952" s="62"/>
      <c r="AU952" s="62"/>
      <c r="AV952" s="62"/>
      <c r="AW952" s="62"/>
      <c r="AX952" s="62"/>
      <c r="AY952" s="62"/>
      <c r="AZ952" s="62"/>
    </row>
    <row r="953" spans="1:52" x14ac:dyDescent="0.25">
      <c r="A953" s="62"/>
      <c r="B953" s="68"/>
      <c r="C953" s="86"/>
      <c r="D953" s="60"/>
      <c r="E953" s="60"/>
      <c r="F953" s="60"/>
      <c r="G953" s="60"/>
      <c r="H953" s="62"/>
      <c r="I953" s="62"/>
      <c r="J953" s="62"/>
      <c r="K953" s="61"/>
      <c r="L953" s="62"/>
      <c r="M953" s="62"/>
      <c r="N953" s="68"/>
      <c r="O953" s="86"/>
      <c r="P953" s="71"/>
      <c r="Q953" s="86"/>
      <c r="R953" s="86"/>
      <c r="S953" s="60"/>
      <c r="T953" s="62"/>
      <c r="U953" s="62"/>
      <c r="V953" s="62"/>
      <c r="W953" s="61"/>
      <c r="X953" s="62"/>
      <c r="Y953" s="62"/>
      <c r="Z953" s="68"/>
      <c r="AA953" s="86"/>
      <c r="AB953" s="60"/>
      <c r="AC953" s="60"/>
      <c r="AD953" s="60"/>
      <c r="AE953" s="60"/>
      <c r="AF953" s="62"/>
      <c r="AG953" s="62"/>
      <c r="AH953" s="62"/>
      <c r="AI953" s="61"/>
      <c r="AJ953" s="62"/>
      <c r="AK953" s="62"/>
      <c r="AL953" s="62"/>
      <c r="AM953" s="62"/>
      <c r="AN953" s="62"/>
      <c r="AO953" s="62"/>
      <c r="AP953" s="62"/>
      <c r="AQ953" s="62"/>
      <c r="AR953" s="62"/>
      <c r="AS953" s="62"/>
      <c r="AT953" s="62"/>
      <c r="AU953" s="62"/>
      <c r="AV953" s="62"/>
      <c r="AW953" s="62"/>
      <c r="AX953" s="62"/>
      <c r="AY953" s="62"/>
      <c r="AZ953" s="62"/>
    </row>
    <row r="954" spans="1:52" x14ac:dyDescent="0.25">
      <c r="A954" s="62"/>
      <c r="B954" s="68"/>
      <c r="C954" s="86"/>
      <c r="D954" s="60"/>
      <c r="E954" s="60"/>
      <c r="F954" s="60"/>
      <c r="G954" s="60"/>
      <c r="H954" s="62"/>
      <c r="I954" s="62"/>
      <c r="J954" s="62"/>
      <c r="K954" s="61"/>
      <c r="L954" s="62"/>
      <c r="M954" s="62"/>
      <c r="N954" s="68"/>
      <c r="O954" s="86"/>
      <c r="P954" s="71"/>
      <c r="Q954" s="86"/>
      <c r="R954" s="86"/>
      <c r="S954" s="60"/>
      <c r="T954" s="62"/>
      <c r="U954" s="62"/>
      <c r="V954" s="62"/>
      <c r="W954" s="61"/>
      <c r="X954" s="62"/>
      <c r="Y954" s="62"/>
      <c r="Z954" s="68"/>
      <c r="AA954" s="86"/>
      <c r="AB954" s="60"/>
      <c r="AC954" s="60"/>
      <c r="AD954" s="60"/>
      <c r="AE954" s="60"/>
      <c r="AF954" s="62"/>
      <c r="AG954" s="62"/>
      <c r="AH954" s="62"/>
      <c r="AI954" s="61"/>
      <c r="AJ954" s="62"/>
      <c r="AK954" s="62"/>
      <c r="AL954" s="62"/>
      <c r="AM954" s="62"/>
      <c r="AN954" s="62"/>
      <c r="AO954" s="62"/>
      <c r="AP954" s="62"/>
      <c r="AQ954" s="62"/>
      <c r="AR954" s="62"/>
      <c r="AS954" s="62"/>
      <c r="AT954" s="62"/>
      <c r="AU954" s="62"/>
      <c r="AV954" s="62"/>
      <c r="AW954" s="62"/>
      <c r="AX954" s="62"/>
      <c r="AY954" s="62"/>
      <c r="AZ954" s="62"/>
    </row>
    <row r="955" spans="1:52" x14ac:dyDescent="0.25">
      <c r="A955" s="62"/>
      <c r="B955" s="68"/>
      <c r="C955" s="86"/>
      <c r="D955" s="60"/>
      <c r="E955" s="60"/>
      <c r="F955" s="60"/>
      <c r="G955" s="60"/>
      <c r="H955" s="62"/>
      <c r="I955" s="62"/>
      <c r="J955" s="62"/>
      <c r="K955" s="61"/>
      <c r="L955" s="62"/>
      <c r="M955" s="62"/>
      <c r="N955" s="68"/>
      <c r="O955" s="62"/>
      <c r="P955" s="71"/>
      <c r="Q955" s="86"/>
      <c r="R955" s="86"/>
      <c r="S955" s="60"/>
      <c r="T955" s="62"/>
      <c r="U955" s="62"/>
      <c r="V955" s="62"/>
      <c r="W955" s="61"/>
      <c r="X955" s="62"/>
      <c r="Y955" s="62"/>
      <c r="Z955" s="68"/>
      <c r="AA955" s="86"/>
      <c r="AB955" s="60"/>
      <c r="AC955" s="60"/>
      <c r="AD955" s="60"/>
      <c r="AE955" s="60"/>
      <c r="AF955" s="62"/>
      <c r="AG955" s="62"/>
      <c r="AH955" s="62"/>
      <c r="AI955" s="61"/>
      <c r="AJ955" s="62"/>
      <c r="AK955" s="62"/>
      <c r="AL955" s="62"/>
      <c r="AM955" s="62"/>
      <c r="AN955" s="62"/>
      <c r="AO955" s="62"/>
      <c r="AP955" s="62"/>
      <c r="AQ955" s="62"/>
      <c r="AR955" s="62"/>
      <c r="AS955" s="62"/>
      <c r="AT955" s="62"/>
      <c r="AU955" s="62"/>
      <c r="AV955" s="62"/>
      <c r="AW955" s="62"/>
      <c r="AX955" s="62"/>
      <c r="AY955" s="62"/>
      <c r="AZ955" s="62"/>
    </row>
    <row r="956" spans="1:52" x14ac:dyDescent="0.25">
      <c r="A956" s="62"/>
      <c r="B956" s="68"/>
      <c r="C956" s="86"/>
      <c r="D956" s="60"/>
      <c r="E956" s="60"/>
      <c r="F956" s="60"/>
      <c r="G956" s="60"/>
      <c r="H956" s="62"/>
      <c r="I956" s="62"/>
      <c r="J956" s="62"/>
      <c r="K956" s="61"/>
      <c r="L956" s="62"/>
      <c r="M956" s="62"/>
      <c r="N956" s="68"/>
      <c r="O956" s="86"/>
      <c r="P956" s="71"/>
      <c r="Q956" s="86"/>
      <c r="R956" s="86"/>
      <c r="S956" s="60"/>
      <c r="T956" s="62"/>
      <c r="U956" s="62"/>
      <c r="V956" s="62"/>
      <c r="W956" s="61"/>
      <c r="X956" s="62"/>
      <c r="Y956" s="62"/>
      <c r="Z956" s="68"/>
      <c r="AA956" s="86"/>
      <c r="AB956" s="60"/>
      <c r="AC956" s="60"/>
      <c r="AD956" s="60"/>
      <c r="AE956" s="60"/>
      <c r="AF956" s="62"/>
      <c r="AG956" s="62"/>
      <c r="AH956" s="62"/>
      <c r="AI956" s="61"/>
      <c r="AJ956" s="62"/>
      <c r="AK956" s="62"/>
      <c r="AL956" s="62"/>
      <c r="AM956" s="62"/>
      <c r="AN956" s="62"/>
      <c r="AO956" s="62"/>
      <c r="AP956" s="62"/>
      <c r="AQ956" s="62"/>
      <c r="AR956" s="62"/>
      <c r="AS956" s="62"/>
      <c r="AT956" s="62"/>
      <c r="AU956" s="62"/>
      <c r="AV956" s="62"/>
      <c r="AW956" s="62"/>
      <c r="AX956" s="62"/>
      <c r="AY956" s="62"/>
      <c r="AZ956" s="62"/>
    </row>
    <row r="957" spans="1:52" x14ac:dyDescent="0.25">
      <c r="A957" s="62"/>
      <c r="B957" s="68"/>
      <c r="C957" s="68"/>
      <c r="D957" s="60"/>
      <c r="E957" s="60"/>
      <c r="F957" s="60"/>
      <c r="G957" s="60"/>
      <c r="H957" s="62"/>
      <c r="I957" s="62"/>
      <c r="J957" s="62"/>
      <c r="K957" s="61"/>
      <c r="L957" s="62"/>
      <c r="M957" s="62"/>
      <c r="N957" s="86"/>
      <c r="O957" s="86"/>
      <c r="P957" s="86"/>
      <c r="Q957" s="86"/>
      <c r="R957" s="86"/>
      <c r="S957" s="86"/>
      <c r="T957" s="62"/>
      <c r="U957" s="62"/>
      <c r="V957" s="62"/>
      <c r="W957" s="61"/>
      <c r="X957" s="62"/>
      <c r="Y957" s="62"/>
      <c r="Z957" s="68"/>
      <c r="AA957" s="68"/>
      <c r="AB957" s="60"/>
      <c r="AC957" s="60"/>
      <c r="AD957" s="60"/>
      <c r="AE957" s="60"/>
      <c r="AF957" s="62"/>
      <c r="AG957" s="62"/>
      <c r="AH957" s="62"/>
      <c r="AI957" s="61"/>
      <c r="AJ957" s="62"/>
      <c r="AK957" s="62"/>
      <c r="AL957" s="62"/>
      <c r="AM957" s="62"/>
      <c r="AN957" s="62"/>
      <c r="AO957" s="62"/>
      <c r="AP957" s="62"/>
      <c r="AQ957" s="62"/>
      <c r="AR957" s="62"/>
      <c r="AS957" s="62"/>
      <c r="AT957" s="62"/>
      <c r="AU957" s="62"/>
      <c r="AV957" s="62"/>
      <c r="AW957" s="62"/>
      <c r="AX957" s="62"/>
      <c r="AY957" s="62"/>
      <c r="AZ957" s="62"/>
    </row>
    <row r="958" spans="1:52" x14ac:dyDescent="0.25">
      <c r="A958" s="62"/>
      <c r="B958" s="86"/>
      <c r="C958" s="86"/>
      <c r="D958" s="86"/>
      <c r="E958" s="86"/>
      <c r="F958" s="86"/>
      <c r="G958" s="86"/>
      <c r="H958" s="62"/>
      <c r="I958" s="62"/>
      <c r="J958" s="62"/>
      <c r="K958" s="62"/>
      <c r="L958" s="62"/>
      <c r="M958" s="62"/>
      <c r="N958" s="86"/>
      <c r="O958" s="86"/>
      <c r="P958" s="86"/>
      <c r="Q958" s="86"/>
      <c r="R958" s="86"/>
      <c r="S958" s="86"/>
      <c r="T958" s="62"/>
      <c r="U958" s="62"/>
      <c r="V958" s="62"/>
      <c r="W958" s="62"/>
      <c r="X958" s="62"/>
      <c r="Y958" s="62"/>
      <c r="Z958" s="86"/>
      <c r="AA958" s="86"/>
      <c r="AB958" s="86"/>
      <c r="AC958" s="86"/>
      <c r="AD958" s="86"/>
      <c r="AE958" s="86"/>
      <c r="AF958" s="62"/>
      <c r="AG958" s="62"/>
      <c r="AH958" s="62"/>
      <c r="AI958" s="62"/>
      <c r="AJ958" s="62"/>
      <c r="AK958" s="62"/>
      <c r="AL958" s="62"/>
      <c r="AM958" s="62"/>
      <c r="AN958" s="62"/>
      <c r="AO958" s="62"/>
      <c r="AP958" s="62"/>
      <c r="AQ958" s="62"/>
      <c r="AR958" s="62"/>
      <c r="AS958" s="62"/>
      <c r="AT958" s="62"/>
      <c r="AU958" s="62"/>
      <c r="AV958" s="62"/>
      <c r="AW958" s="62"/>
      <c r="AX958" s="62"/>
      <c r="AY958" s="62"/>
      <c r="AZ958" s="62"/>
    </row>
    <row r="959" spans="1:52" x14ac:dyDescent="0.25">
      <c r="A959" s="62"/>
      <c r="B959" s="86"/>
      <c r="C959" s="86"/>
      <c r="D959" s="72"/>
      <c r="E959" s="72"/>
      <c r="F959" s="72"/>
      <c r="G959" s="72"/>
      <c r="H959" s="64"/>
      <c r="I959" s="72"/>
      <c r="J959" s="72"/>
      <c r="K959" s="72"/>
      <c r="L959" s="62"/>
      <c r="M959" s="62"/>
      <c r="N959" s="86"/>
      <c r="O959" s="86"/>
      <c r="P959" s="72"/>
      <c r="Q959" s="72"/>
      <c r="R959" s="72"/>
      <c r="S959" s="72"/>
      <c r="T959" s="64"/>
      <c r="U959" s="73"/>
      <c r="V959" s="73"/>
      <c r="W959" s="73"/>
      <c r="X959" s="62"/>
      <c r="Y959" s="62"/>
      <c r="Z959" s="86"/>
      <c r="AA959" s="86"/>
      <c r="AB959" s="72"/>
      <c r="AC959" s="72"/>
      <c r="AD959" s="72"/>
      <c r="AE959" s="72"/>
      <c r="AF959" s="64"/>
      <c r="AG959" s="72"/>
      <c r="AH959" s="72"/>
      <c r="AI959" s="72"/>
      <c r="AJ959" s="62"/>
      <c r="AK959" s="62"/>
      <c r="AL959" s="62"/>
      <c r="AM959" s="62"/>
      <c r="AN959" s="62"/>
      <c r="AO959" s="62"/>
      <c r="AP959" s="62"/>
      <c r="AQ959" s="62"/>
      <c r="AR959" s="62"/>
      <c r="AS959" s="62"/>
      <c r="AT959" s="62"/>
      <c r="AU959" s="62"/>
      <c r="AV959" s="62"/>
      <c r="AW959" s="62"/>
      <c r="AX959" s="62"/>
      <c r="AY959" s="62"/>
      <c r="AZ959" s="62"/>
    </row>
    <row r="960" spans="1:52" x14ac:dyDescent="0.25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  <c r="AI960" s="62"/>
      <c r="AJ960" s="62"/>
      <c r="AK960" s="62"/>
      <c r="AL960" s="62"/>
      <c r="AM960" s="62"/>
      <c r="AN960" s="62"/>
      <c r="AO960" s="62"/>
      <c r="AP960" s="62"/>
      <c r="AQ960" s="62"/>
      <c r="AR960" s="62"/>
      <c r="AS960" s="62"/>
      <c r="AT960" s="62"/>
      <c r="AU960" s="62"/>
      <c r="AV960" s="62"/>
      <c r="AW960" s="62"/>
      <c r="AX960" s="62"/>
      <c r="AY960" s="62"/>
      <c r="AZ960" s="62"/>
    </row>
    <row r="961" spans="1:52" x14ac:dyDescent="0.25">
      <c r="A961" s="62"/>
      <c r="B961" s="86"/>
      <c r="C961" s="86"/>
      <c r="D961" s="86"/>
      <c r="E961" s="86"/>
      <c r="F961" s="86"/>
      <c r="G961" s="86"/>
      <c r="H961" s="62"/>
      <c r="I961" s="62"/>
      <c r="J961" s="62"/>
      <c r="K961" s="62"/>
      <c r="L961" s="62"/>
      <c r="M961" s="62"/>
      <c r="N961" s="86"/>
      <c r="O961" s="86"/>
      <c r="P961" s="86"/>
      <c r="Q961" s="86"/>
      <c r="R961" s="86"/>
      <c r="S961" s="86"/>
      <c r="T961" s="62"/>
      <c r="U961" s="62"/>
      <c r="V961" s="62"/>
      <c r="W961" s="62"/>
      <c r="X961" s="62"/>
      <c r="Y961" s="62"/>
      <c r="Z961" s="86"/>
      <c r="AA961" s="86"/>
      <c r="AB961" s="86"/>
      <c r="AC961" s="86"/>
      <c r="AD961" s="86"/>
      <c r="AE961" s="86"/>
      <c r="AF961" s="62"/>
      <c r="AG961" s="62"/>
      <c r="AH961" s="62"/>
      <c r="AI961" s="62"/>
      <c r="AJ961" s="62"/>
      <c r="AK961" s="62"/>
      <c r="AL961" s="62"/>
      <c r="AM961" s="62"/>
      <c r="AN961" s="62"/>
      <c r="AO961" s="62"/>
      <c r="AP961" s="62"/>
      <c r="AQ961" s="62"/>
      <c r="AR961" s="62"/>
      <c r="AS961" s="62"/>
      <c r="AT961" s="62"/>
      <c r="AU961" s="62"/>
      <c r="AV961" s="62"/>
      <c r="AW961" s="62"/>
      <c r="AX961" s="62"/>
      <c r="AY961" s="62"/>
      <c r="AZ961" s="62"/>
    </row>
    <row r="962" spans="1:52" x14ac:dyDescent="0.25">
      <c r="A962" s="62"/>
      <c r="B962" s="86"/>
      <c r="C962" s="86"/>
      <c r="D962" s="86"/>
      <c r="E962" s="86"/>
      <c r="F962" s="86"/>
      <c r="G962" s="86"/>
      <c r="H962" s="62"/>
      <c r="I962" s="62"/>
      <c r="J962" s="62"/>
      <c r="K962" s="62"/>
      <c r="L962" s="62"/>
      <c r="M962" s="62"/>
      <c r="N962" s="86"/>
      <c r="O962" s="86"/>
      <c r="P962" s="86"/>
      <c r="Q962" s="86"/>
      <c r="R962" s="86"/>
      <c r="S962" s="86"/>
      <c r="T962" s="62"/>
      <c r="U962" s="62"/>
      <c r="V962" s="62"/>
      <c r="W962" s="62"/>
      <c r="X962" s="62"/>
      <c r="Y962" s="62"/>
      <c r="Z962" s="86"/>
      <c r="AA962" s="86"/>
      <c r="AB962" s="86"/>
      <c r="AC962" s="86"/>
      <c r="AD962" s="86"/>
      <c r="AE962" s="86"/>
      <c r="AF962" s="62"/>
      <c r="AG962" s="62"/>
      <c r="AH962" s="62"/>
      <c r="AI962" s="62"/>
      <c r="AJ962" s="62"/>
      <c r="AK962" s="62"/>
      <c r="AL962" s="62"/>
      <c r="AM962" s="62"/>
      <c r="AN962" s="62"/>
      <c r="AO962" s="62"/>
      <c r="AP962" s="62"/>
      <c r="AQ962" s="62"/>
      <c r="AR962" s="62"/>
      <c r="AS962" s="62"/>
      <c r="AT962" s="62"/>
      <c r="AU962" s="62"/>
      <c r="AV962" s="62"/>
      <c r="AW962" s="62"/>
      <c r="AX962" s="62"/>
      <c r="AY962" s="62"/>
      <c r="AZ962" s="62"/>
    </row>
    <row r="963" spans="1:52" x14ac:dyDescent="0.25">
      <c r="A963" s="62"/>
      <c r="B963" s="86"/>
      <c r="C963" s="86"/>
      <c r="D963" s="86"/>
      <c r="E963" s="86"/>
      <c r="F963" s="86"/>
      <c r="G963" s="86"/>
      <c r="H963" s="62"/>
      <c r="I963" s="62"/>
      <c r="J963" s="62"/>
      <c r="K963" s="62"/>
      <c r="L963" s="62"/>
      <c r="M963" s="62"/>
      <c r="N963" s="86"/>
      <c r="O963" s="86"/>
      <c r="P963" s="86"/>
      <c r="Q963" s="86"/>
      <c r="R963" s="86"/>
      <c r="S963" s="86"/>
      <c r="T963" s="62"/>
      <c r="U963" s="62"/>
      <c r="V963" s="62"/>
      <c r="W963" s="62"/>
      <c r="X963" s="62"/>
      <c r="Y963" s="62"/>
      <c r="Z963" s="86"/>
      <c r="AA963" s="86"/>
      <c r="AB963" s="86"/>
      <c r="AC963" s="86"/>
      <c r="AD963" s="86"/>
      <c r="AE963" s="86"/>
      <c r="AF963" s="62"/>
      <c r="AG963" s="62"/>
      <c r="AH963" s="62"/>
      <c r="AI963" s="62"/>
      <c r="AJ963" s="62"/>
      <c r="AK963" s="62"/>
      <c r="AL963" s="62"/>
      <c r="AM963" s="62"/>
      <c r="AN963" s="62"/>
      <c r="AO963" s="62"/>
      <c r="AP963" s="62"/>
      <c r="AQ963" s="62"/>
      <c r="AR963" s="62"/>
      <c r="AS963" s="62"/>
      <c r="AT963" s="62"/>
      <c r="AU963" s="62"/>
      <c r="AV963" s="62"/>
      <c r="AW963" s="62"/>
      <c r="AX963" s="62"/>
      <c r="AY963" s="62"/>
      <c r="AZ963" s="62"/>
    </row>
    <row r="964" spans="1:52" x14ac:dyDescent="0.25">
      <c r="A964" s="64"/>
      <c r="B964" s="86"/>
      <c r="C964" s="86"/>
      <c r="D964" s="86"/>
      <c r="E964" s="86"/>
      <c r="F964" s="86"/>
      <c r="G964" s="86"/>
      <c r="H964" s="62"/>
      <c r="I964" s="62"/>
      <c r="J964" s="62"/>
      <c r="K964" s="62"/>
      <c r="L964" s="62"/>
      <c r="M964" s="64"/>
      <c r="N964" s="86"/>
      <c r="O964" s="86"/>
      <c r="P964" s="86"/>
      <c r="Q964" s="86"/>
      <c r="R964" s="86"/>
      <c r="S964" s="86"/>
      <c r="T964" s="62"/>
      <c r="U964" s="62"/>
      <c r="V964" s="62"/>
      <c r="W964" s="62"/>
      <c r="X964" s="62"/>
      <c r="Y964" s="64"/>
      <c r="Z964" s="86"/>
      <c r="AA964" s="86"/>
      <c r="AB964" s="86"/>
      <c r="AC964" s="86"/>
      <c r="AD964" s="86"/>
      <c r="AE964" s="86"/>
      <c r="AF964" s="62"/>
      <c r="AG964" s="62"/>
      <c r="AH964" s="62"/>
      <c r="AI964" s="62"/>
      <c r="AJ964" s="62"/>
      <c r="AK964" s="62"/>
      <c r="AL964" s="62"/>
      <c r="AM964" s="62"/>
      <c r="AN964" s="62"/>
      <c r="AO964" s="62"/>
      <c r="AP964" s="62"/>
      <c r="AQ964" s="62"/>
      <c r="AR964" s="62"/>
      <c r="AS964" s="62"/>
      <c r="AT964" s="62"/>
      <c r="AU964" s="62"/>
      <c r="AV964" s="62"/>
      <c r="AW964" s="62"/>
      <c r="AX964" s="62"/>
      <c r="AY964" s="62"/>
      <c r="AZ964" s="62"/>
    </row>
    <row r="965" spans="1:52" x14ac:dyDescent="0.25">
      <c r="A965" s="62"/>
      <c r="B965" s="86"/>
      <c r="C965" s="86"/>
      <c r="D965" s="86"/>
      <c r="E965" s="86"/>
      <c r="F965" s="86"/>
      <c r="G965" s="86"/>
      <c r="H965" s="62"/>
      <c r="I965" s="62"/>
      <c r="J965" s="62"/>
      <c r="K965" s="62"/>
      <c r="L965" s="62"/>
      <c r="M965" s="62"/>
      <c r="N965" s="86"/>
      <c r="O965" s="86"/>
      <c r="P965" s="86"/>
      <c r="Q965" s="86"/>
      <c r="R965" s="86"/>
      <c r="S965" s="86"/>
      <c r="T965" s="62"/>
      <c r="U965" s="62"/>
      <c r="V965" s="62"/>
      <c r="W965" s="62"/>
      <c r="X965" s="62"/>
      <c r="Y965" s="62"/>
      <c r="Z965" s="86"/>
      <c r="AA965" s="86"/>
      <c r="AB965" s="86"/>
      <c r="AC965" s="86"/>
      <c r="AD965" s="86"/>
      <c r="AE965" s="86"/>
      <c r="AF965" s="62"/>
      <c r="AG965" s="62"/>
      <c r="AH965" s="62"/>
      <c r="AI965" s="62"/>
      <c r="AJ965" s="62"/>
      <c r="AK965" s="62"/>
      <c r="AL965" s="62"/>
      <c r="AM965" s="62"/>
      <c r="AN965" s="62"/>
      <c r="AO965" s="62"/>
      <c r="AP965" s="62"/>
      <c r="AQ965" s="62"/>
      <c r="AR965" s="62"/>
      <c r="AS965" s="62"/>
      <c r="AT965" s="62"/>
      <c r="AU965" s="62"/>
      <c r="AV965" s="62"/>
      <c r="AW965" s="62"/>
      <c r="AX965" s="62"/>
      <c r="AY965" s="62"/>
      <c r="AZ965" s="62"/>
    </row>
    <row r="966" spans="1:52" ht="15.75" x14ac:dyDescent="0.25">
      <c r="A966" s="62"/>
      <c r="B966" s="86"/>
      <c r="C966" s="86"/>
      <c r="D966" s="86"/>
      <c r="E966" s="86"/>
      <c r="F966" s="86"/>
      <c r="G966" s="86"/>
      <c r="H966" s="62"/>
      <c r="I966" s="86"/>
      <c r="J966" s="77"/>
      <c r="K966" s="62"/>
      <c r="L966" s="62"/>
      <c r="M966" s="62"/>
      <c r="N966" s="86"/>
      <c r="O966" s="86"/>
      <c r="P966" s="86"/>
      <c r="Q966" s="86"/>
      <c r="R966" s="86"/>
      <c r="S966" s="86"/>
      <c r="T966" s="62"/>
      <c r="U966" s="86"/>
      <c r="V966" s="77"/>
      <c r="W966" s="62"/>
      <c r="X966" s="62"/>
      <c r="Y966" s="62"/>
      <c r="Z966" s="86"/>
      <c r="AA966" s="86"/>
      <c r="AB966" s="86"/>
      <c r="AC966" s="86"/>
      <c r="AD966" s="86"/>
      <c r="AE966" s="86"/>
      <c r="AF966" s="62"/>
      <c r="AG966" s="86"/>
      <c r="AH966" s="86"/>
      <c r="AI966" s="62"/>
      <c r="AJ966" s="62"/>
      <c r="AK966" s="62"/>
      <c r="AL966" s="62"/>
      <c r="AM966" s="62"/>
      <c r="AN966" s="62"/>
      <c r="AO966" s="62"/>
      <c r="AP966" s="62"/>
      <c r="AQ966" s="62"/>
      <c r="AR966" s="62"/>
      <c r="AS966" s="62"/>
      <c r="AT966" s="62"/>
      <c r="AU966" s="62"/>
      <c r="AV966" s="62"/>
      <c r="AW966" s="62"/>
      <c r="AX966" s="62"/>
      <c r="AY966" s="62"/>
      <c r="AZ966" s="62"/>
    </row>
    <row r="967" spans="1:52" x14ac:dyDescent="0.25">
      <c r="A967" s="65"/>
      <c r="B967" s="86"/>
      <c r="C967" s="86"/>
      <c r="D967" s="86"/>
      <c r="E967" s="86"/>
      <c r="F967" s="86"/>
      <c r="G967" s="86"/>
      <c r="H967" s="62"/>
      <c r="I967" s="66"/>
      <c r="J967" s="66"/>
      <c r="K967" s="62"/>
      <c r="L967" s="62"/>
      <c r="M967" s="65"/>
      <c r="N967" s="86"/>
      <c r="O967" s="86"/>
      <c r="P967" s="86"/>
      <c r="Q967" s="86"/>
      <c r="R967" s="86"/>
      <c r="S967" s="86"/>
      <c r="T967" s="62"/>
      <c r="U967" s="66"/>
      <c r="V967" s="66"/>
      <c r="W967" s="62"/>
      <c r="X967" s="62"/>
      <c r="Y967" s="65"/>
      <c r="Z967" s="86"/>
      <c r="AA967" s="86"/>
      <c r="AB967" s="86"/>
      <c r="AC967" s="86"/>
      <c r="AD967" s="86"/>
      <c r="AE967" s="86"/>
      <c r="AF967" s="62"/>
      <c r="AG967" s="66"/>
      <c r="AH967" s="66"/>
      <c r="AI967" s="62"/>
      <c r="AJ967" s="62"/>
      <c r="AK967" s="62"/>
      <c r="AL967" s="62"/>
      <c r="AM967" s="62"/>
      <c r="AN967" s="62"/>
      <c r="AO967" s="62"/>
      <c r="AP967" s="62"/>
      <c r="AQ967" s="62"/>
      <c r="AR967" s="62"/>
      <c r="AS967" s="62"/>
      <c r="AT967" s="62"/>
      <c r="AU967" s="62"/>
      <c r="AV967" s="62"/>
      <c r="AW967" s="62"/>
      <c r="AX967" s="62"/>
      <c r="AY967" s="62"/>
      <c r="AZ967" s="62"/>
    </row>
    <row r="968" spans="1:52" x14ac:dyDescent="0.25">
      <c r="A968" s="62"/>
      <c r="B968" s="86"/>
      <c r="C968" s="86"/>
      <c r="D968" s="86"/>
      <c r="E968" s="86"/>
      <c r="F968" s="86"/>
      <c r="G968" s="86"/>
      <c r="H968" s="62"/>
      <c r="I968" s="62"/>
      <c r="J968" s="62"/>
      <c r="K968" s="62"/>
      <c r="L968" s="62"/>
      <c r="M968" s="62"/>
      <c r="N968" s="86"/>
      <c r="O968" s="86"/>
      <c r="P968" s="86"/>
      <c r="Q968" s="86"/>
      <c r="R968" s="86"/>
      <c r="S968" s="86"/>
      <c r="T968" s="62"/>
      <c r="U968" s="62"/>
      <c r="V968" s="62"/>
      <c r="W968" s="62"/>
      <c r="X968" s="62"/>
      <c r="Y968" s="62"/>
      <c r="Z968" s="86"/>
      <c r="AA968" s="86"/>
      <c r="AB968" s="86"/>
      <c r="AC968" s="86"/>
      <c r="AD968" s="86"/>
      <c r="AE968" s="86"/>
      <c r="AF968" s="62"/>
      <c r="AG968" s="62"/>
      <c r="AH968" s="62"/>
      <c r="AI968" s="62"/>
      <c r="AJ968" s="62"/>
      <c r="AK968" s="62"/>
      <c r="AL968" s="62"/>
      <c r="AM968" s="62"/>
      <c r="AN968" s="62"/>
      <c r="AO968" s="62"/>
      <c r="AP968" s="62"/>
      <c r="AQ968" s="62"/>
      <c r="AR968" s="62"/>
      <c r="AS968" s="62"/>
      <c r="AT968" s="62"/>
      <c r="AU968" s="62"/>
      <c r="AV968" s="62"/>
      <c r="AW968" s="62"/>
      <c r="AX968" s="62"/>
      <c r="AY968" s="62"/>
      <c r="AZ968" s="62"/>
    </row>
    <row r="969" spans="1:52" x14ac:dyDescent="0.25">
      <c r="A969" s="62"/>
      <c r="B969" s="66"/>
      <c r="C969" s="86"/>
      <c r="D969" s="116"/>
      <c r="E969" s="116"/>
      <c r="F969" s="86"/>
      <c r="G969" s="86"/>
      <c r="H969" s="62"/>
      <c r="I969" s="116"/>
      <c r="J969" s="116"/>
      <c r="K969" s="115"/>
      <c r="L969" s="62"/>
      <c r="M969" s="62"/>
      <c r="N969" s="66"/>
      <c r="O969" s="86"/>
      <c r="P969" s="116"/>
      <c r="Q969" s="116"/>
      <c r="R969" s="86"/>
      <c r="S969" s="86"/>
      <c r="T969" s="62"/>
      <c r="U969" s="116"/>
      <c r="V969" s="116"/>
      <c r="W969" s="115"/>
      <c r="X969" s="62"/>
      <c r="Y969" s="62"/>
      <c r="Z969" s="66"/>
      <c r="AA969" s="86"/>
      <c r="AB969" s="116"/>
      <c r="AC969" s="116"/>
      <c r="AD969" s="86"/>
      <c r="AE969" s="86"/>
      <c r="AF969" s="62"/>
      <c r="AG969" s="116"/>
      <c r="AH969" s="116"/>
      <c r="AI969" s="115"/>
      <c r="AJ969" s="62"/>
      <c r="AK969" s="62"/>
      <c r="AL969" s="62"/>
      <c r="AM969" s="62"/>
      <c r="AN969" s="62"/>
      <c r="AO969" s="62"/>
      <c r="AP969" s="62"/>
      <c r="AQ969" s="62"/>
      <c r="AR969" s="62"/>
      <c r="AS969" s="62"/>
      <c r="AT969" s="62"/>
      <c r="AU969" s="62"/>
      <c r="AV969" s="62"/>
      <c r="AW969" s="62"/>
      <c r="AX969" s="62"/>
      <c r="AY969" s="62"/>
      <c r="AZ969" s="62"/>
    </row>
    <row r="970" spans="1:52" x14ac:dyDescent="0.25">
      <c r="A970" s="62"/>
      <c r="B970" s="86"/>
      <c r="C970" s="86"/>
      <c r="D970" s="87"/>
      <c r="E970" s="88"/>
      <c r="F970" s="89"/>
      <c r="G970" s="89"/>
      <c r="H970" s="62"/>
      <c r="I970" s="85"/>
      <c r="J970" s="85"/>
      <c r="K970" s="115"/>
      <c r="L970" s="62"/>
      <c r="M970" s="62"/>
      <c r="N970" s="86"/>
      <c r="O970" s="86"/>
      <c r="P970" s="87"/>
      <c r="Q970" s="89"/>
      <c r="R970" s="89"/>
      <c r="S970" s="89"/>
      <c r="T970" s="62"/>
      <c r="U970" s="85"/>
      <c r="V970" s="85"/>
      <c r="W970" s="115"/>
      <c r="X970" s="62"/>
      <c r="Y970" s="62"/>
      <c r="Z970" s="86"/>
      <c r="AA970" s="86"/>
      <c r="AB970" s="87"/>
      <c r="AC970" s="88"/>
      <c r="AD970" s="89"/>
      <c r="AE970" s="89"/>
      <c r="AF970" s="62"/>
      <c r="AG970" s="85"/>
      <c r="AH970" s="85"/>
      <c r="AI970" s="115"/>
      <c r="AJ970" s="62"/>
      <c r="AK970" s="62"/>
      <c r="AL970" s="62"/>
      <c r="AM970" s="62"/>
      <c r="AN970" s="62"/>
      <c r="AO970" s="62"/>
      <c r="AP970" s="62"/>
      <c r="AQ970" s="62"/>
      <c r="AR970" s="62"/>
      <c r="AS970" s="62"/>
      <c r="AT970" s="62"/>
      <c r="AU970" s="62"/>
      <c r="AV970" s="62"/>
      <c r="AW970" s="62"/>
      <c r="AX970" s="62"/>
      <c r="AY970" s="62"/>
      <c r="AZ970" s="62"/>
    </row>
    <row r="971" spans="1:52" x14ac:dyDescent="0.25">
      <c r="A971" s="62"/>
      <c r="B971" s="68"/>
      <c r="C971" s="86"/>
      <c r="D971" s="60"/>
      <c r="E971" s="60"/>
      <c r="F971" s="60"/>
      <c r="G971" s="60"/>
      <c r="H971" s="61"/>
      <c r="I971" s="61"/>
      <c r="J971" s="61"/>
      <c r="K971" s="61"/>
      <c r="L971" s="62"/>
      <c r="M971" s="62"/>
      <c r="N971" s="68"/>
      <c r="O971" s="86"/>
      <c r="P971" s="60"/>
      <c r="Q971" s="60"/>
      <c r="R971" s="60"/>
      <c r="S971" s="60"/>
      <c r="T971" s="61"/>
      <c r="U971" s="61"/>
      <c r="V971" s="61"/>
      <c r="W971" s="61"/>
      <c r="X971" s="62"/>
      <c r="Y971" s="62"/>
      <c r="Z971" s="68"/>
      <c r="AA971" s="86"/>
      <c r="AB971" s="60"/>
      <c r="AC971" s="60"/>
      <c r="AD971" s="60"/>
      <c r="AE971" s="60"/>
      <c r="AF971" s="61"/>
      <c r="AG971" s="61"/>
      <c r="AH971" s="61"/>
      <c r="AI971" s="61"/>
      <c r="AJ971" s="62"/>
      <c r="AK971" s="62"/>
      <c r="AL971" s="62"/>
      <c r="AM971" s="62"/>
      <c r="AN971" s="62"/>
      <c r="AO971" s="62"/>
      <c r="AP971" s="62"/>
      <c r="AQ971" s="62"/>
      <c r="AR971" s="62"/>
      <c r="AS971" s="62"/>
      <c r="AT971" s="62"/>
      <c r="AU971" s="62"/>
      <c r="AV971" s="62"/>
      <c r="AW971" s="62"/>
      <c r="AX971" s="62"/>
      <c r="AY971" s="62"/>
      <c r="AZ971" s="62"/>
    </row>
    <row r="972" spans="1:52" x14ac:dyDescent="0.25">
      <c r="A972" s="62"/>
      <c r="B972" s="68"/>
      <c r="C972" s="86"/>
      <c r="D972" s="60"/>
      <c r="E972" s="60"/>
      <c r="F972" s="60"/>
      <c r="G972" s="60"/>
      <c r="H972" s="61"/>
      <c r="I972" s="61"/>
      <c r="J972" s="61"/>
      <c r="K972" s="61"/>
      <c r="L972" s="62"/>
      <c r="M972" s="62"/>
      <c r="N972" s="68"/>
      <c r="O972" s="86"/>
      <c r="P972" s="60"/>
      <c r="Q972" s="60"/>
      <c r="R972" s="60"/>
      <c r="S972" s="60"/>
      <c r="T972" s="61"/>
      <c r="U972" s="61"/>
      <c r="V972" s="61"/>
      <c r="W972" s="61"/>
      <c r="X972" s="62"/>
      <c r="Y972" s="62"/>
      <c r="Z972" s="68"/>
      <c r="AA972" s="86"/>
      <c r="AB972" s="60"/>
      <c r="AC972" s="60"/>
      <c r="AD972" s="60"/>
      <c r="AE972" s="60"/>
      <c r="AF972" s="61"/>
      <c r="AG972" s="61"/>
      <c r="AH972" s="61"/>
      <c r="AI972" s="61"/>
      <c r="AJ972" s="62"/>
      <c r="AK972" s="62"/>
      <c r="AL972" s="62"/>
      <c r="AM972" s="62"/>
      <c r="AN972" s="62"/>
      <c r="AO972" s="62"/>
      <c r="AP972" s="62"/>
      <c r="AQ972" s="62"/>
      <c r="AR972" s="62"/>
      <c r="AS972" s="62"/>
      <c r="AT972" s="62"/>
      <c r="AU972" s="62"/>
      <c r="AV972" s="62"/>
      <c r="AW972" s="62"/>
      <c r="AX972" s="62"/>
      <c r="AY972" s="62"/>
      <c r="AZ972" s="62"/>
    </row>
    <row r="973" spans="1:52" x14ac:dyDescent="0.25">
      <c r="A973" s="62"/>
      <c r="B973" s="68"/>
      <c r="C973" s="86"/>
      <c r="D973" s="60"/>
      <c r="E973" s="60"/>
      <c r="F973" s="60"/>
      <c r="G973" s="60"/>
      <c r="H973" s="61"/>
      <c r="I973" s="61"/>
      <c r="J973" s="61"/>
      <c r="K973" s="61"/>
      <c r="L973" s="62"/>
      <c r="M973" s="62"/>
      <c r="N973" s="68"/>
      <c r="O973" s="86"/>
      <c r="P973" s="60"/>
      <c r="Q973" s="60"/>
      <c r="R973" s="60"/>
      <c r="S973" s="60"/>
      <c r="T973" s="61"/>
      <c r="U973" s="61"/>
      <c r="V973" s="61"/>
      <c r="W973" s="61"/>
      <c r="X973" s="62"/>
      <c r="Y973" s="62"/>
      <c r="Z973" s="68"/>
      <c r="AA973" s="86"/>
      <c r="AB973" s="60"/>
      <c r="AC973" s="60"/>
      <c r="AD973" s="60"/>
      <c r="AE973" s="60"/>
      <c r="AF973" s="61"/>
      <c r="AG973" s="61"/>
      <c r="AH973" s="61"/>
      <c r="AI973" s="61"/>
      <c r="AJ973" s="62"/>
      <c r="AK973" s="62"/>
      <c r="AL973" s="62"/>
      <c r="AM973" s="62"/>
      <c r="AN973" s="62"/>
      <c r="AO973" s="62"/>
      <c r="AP973" s="62"/>
      <c r="AQ973" s="62"/>
      <c r="AR973" s="62"/>
      <c r="AS973" s="62"/>
      <c r="AT973" s="62"/>
      <c r="AU973" s="62"/>
      <c r="AV973" s="62"/>
      <c r="AW973" s="62"/>
      <c r="AX973" s="62"/>
      <c r="AY973" s="62"/>
      <c r="AZ973" s="62"/>
    </row>
    <row r="974" spans="1:52" x14ac:dyDescent="0.25">
      <c r="A974" s="62"/>
      <c r="B974" s="68"/>
      <c r="C974" s="86"/>
      <c r="D974" s="60"/>
      <c r="E974" s="60"/>
      <c r="F974" s="60"/>
      <c r="G974" s="60"/>
      <c r="H974" s="61"/>
      <c r="I974" s="61"/>
      <c r="J974" s="61"/>
      <c r="K974" s="61"/>
      <c r="L974" s="62"/>
      <c r="M974" s="62"/>
      <c r="N974" s="68"/>
      <c r="O974" s="86"/>
      <c r="P974" s="60"/>
      <c r="Q974" s="60"/>
      <c r="R974" s="60"/>
      <c r="S974" s="60"/>
      <c r="T974" s="61"/>
      <c r="U974" s="61"/>
      <c r="V974" s="61"/>
      <c r="W974" s="61"/>
      <c r="X974" s="62"/>
      <c r="Y974" s="62"/>
      <c r="Z974" s="68"/>
      <c r="AA974" s="86"/>
      <c r="AB974" s="60"/>
      <c r="AC974" s="60"/>
      <c r="AD974" s="60"/>
      <c r="AE974" s="60"/>
      <c r="AF974" s="61"/>
      <c r="AG974" s="61"/>
      <c r="AH974" s="61"/>
      <c r="AI974" s="61"/>
      <c r="AJ974" s="62"/>
      <c r="AK974" s="62"/>
      <c r="AL974" s="62"/>
      <c r="AM974" s="62"/>
      <c r="AN974" s="62"/>
      <c r="AO974" s="62"/>
      <c r="AP974" s="62"/>
      <c r="AQ974" s="62"/>
      <c r="AR974" s="62"/>
      <c r="AS974" s="62"/>
      <c r="AT974" s="62"/>
      <c r="AU974" s="62"/>
      <c r="AV974" s="62"/>
      <c r="AW974" s="62"/>
      <c r="AX974" s="62"/>
      <c r="AY974" s="62"/>
      <c r="AZ974" s="62"/>
    </row>
    <row r="975" spans="1:52" x14ac:dyDescent="0.25">
      <c r="A975" s="62"/>
      <c r="B975" s="68"/>
      <c r="C975" s="86"/>
      <c r="D975" s="60"/>
      <c r="E975" s="60"/>
      <c r="F975" s="60"/>
      <c r="G975" s="60"/>
      <c r="H975" s="61"/>
      <c r="I975" s="61"/>
      <c r="J975" s="61"/>
      <c r="K975" s="61"/>
      <c r="L975" s="62"/>
      <c r="M975" s="62"/>
      <c r="N975" s="68"/>
      <c r="O975" s="86"/>
      <c r="P975" s="60"/>
      <c r="Q975" s="60"/>
      <c r="R975" s="60"/>
      <c r="S975" s="60"/>
      <c r="T975" s="61"/>
      <c r="U975" s="61"/>
      <c r="V975" s="61"/>
      <c r="W975" s="61"/>
      <c r="X975" s="62"/>
      <c r="Y975" s="62"/>
      <c r="Z975" s="68"/>
      <c r="AA975" s="86"/>
      <c r="AB975" s="60"/>
      <c r="AC975" s="60"/>
      <c r="AD975" s="60"/>
      <c r="AE975" s="60"/>
      <c r="AF975" s="61"/>
      <c r="AG975" s="61"/>
      <c r="AH975" s="61"/>
      <c r="AI975" s="61"/>
      <c r="AJ975" s="62"/>
      <c r="AK975" s="62"/>
      <c r="AL975" s="62"/>
      <c r="AM975" s="62"/>
      <c r="AN975" s="62"/>
      <c r="AO975" s="62"/>
      <c r="AP975" s="62"/>
      <c r="AQ975" s="62"/>
      <c r="AR975" s="62"/>
      <c r="AS975" s="62"/>
      <c r="AT975" s="62"/>
      <c r="AU975" s="62"/>
      <c r="AV975" s="62"/>
      <c r="AW975" s="62"/>
      <c r="AX975" s="62"/>
      <c r="AY975" s="62"/>
      <c r="AZ975" s="62"/>
    </row>
    <row r="976" spans="1:52" x14ac:dyDescent="0.25">
      <c r="A976" s="62"/>
      <c r="B976" s="68"/>
      <c r="C976" s="86"/>
      <c r="D976" s="60"/>
      <c r="E976" s="60"/>
      <c r="F976" s="60"/>
      <c r="G976" s="60"/>
      <c r="H976" s="61"/>
      <c r="I976" s="61"/>
      <c r="J976" s="61"/>
      <c r="K976" s="61"/>
      <c r="L976" s="62"/>
      <c r="M976" s="62"/>
      <c r="N976" s="68"/>
      <c r="O976" s="86"/>
      <c r="P976" s="60"/>
      <c r="Q976" s="60"/>
      <c r="R976" s="60"/>
      <c r="S976" s="60"/>
      <c r="T976" s="61"/>
      <c r="U976" s="61"/>
      <c r="V976" s="62"/>
      <c r="W976" s="61"/>
      <c r="X976" s="62"/>
      <c r="Y976" s="62"/>
      <c r="Z976" s="68"/>
      <c r="AA976" s="86"/>
      <c r="AB976" s="60"/>
      <c r="AC976" s="60"/>
      <c r="AD976" s="60"/>
      <c r="AE976" s="60"/>
      <c r="AF976" s="61"/>
      <c r="AG976" s="61"/>
      <c r="AH976" s="61"/>
      <c r="AI976" s="61"/>
      <c r="AJ976" s="62"/>
      <c r="AK976" s="62"/>
      <c r="AL976" s="62"/>
      <c r="AM976" s="62"/>
      <c r="AN976" s="62"/>
      <c r="AO976" s="62"/>
      <c r="AP976" s="62"/>
      <c r="AQ976" s="62"/>
      <c r="AR976" s="62"/>
      <c r="AS976" s="62"/>
      <c r="AT976" s="62"/>
      <c r="AU976" s="62"/>
      <c r="AV976" s="62"/>
      <c r="AW976" s="62"/>
      <c r="AX976" s="62"/>
      <c r="AY976" s="62"/>
      <c r="AZ976" s="62"/>
    </row>
    <row r="977" spans="1:52" x14ac:dyDescent="0.25">
      <c r="A977" s="62"/>
      <c r="B977" s="68"/>
      <c r="C977" s="86"/>
      <c r="D977" s="60"/>
      <c r="E977" s="60"/>
      <c r="F977" s="60"/>
      <c r="G977" s="60"/>
      <c r="H977" s="61"/>
      <c r="I977" s="61"/>
      <c r="J977" s="61"/>
      <c r="K977" s="61"/>
      <c r="L977" s="62"/>
      <c r="M977" s="62"/>
      <c r="N977" s="68"/>
      <c r="O977" s="86"/>
      <c r="P977" s="60"/>
      <c r="Q977" s="60"/>
      <c r="R977" s="60"/>
      <c r="S977" s="60"/>
      <c r="T977" s="61"/>
      <c r="U977" s="61"/>
      <c r="V977" s="61"/>
      <c r="W977" s="61"/>
      <c r="X977" s="62"/>
      <c r="Y977" s="62"/>
      <c r="Z977" s="68"/>
      <c r="AA977" s="86"/>
      <c r="AB977" s="60"/>
      <c r="AC977" s="60"/>
      <c r="AD977" s="60"/>
      <c r="AE977" s="60"/>
      <c r="AF977" s="61"/>
      <c r="AG977" s="61"/>
      <c r="AH977" s="61"/>
      <c r="AI977" s="61"/>
      <c r="AJ977" s="62"/>
      <c r="AK977" s="62"/>
      <c r="AL977" s="62"/>
      <c r="AM977" s="62"/>
      <c r="AN977" s="62"/>
      <c r="AO977" s="62"/>
      <c r="AP977" s="62"/>
      <c r="AQ977" s="62"/>
      <c r="AR977" s="62"/>
      <c r="AS977" s="62"/>
      <c r="AT977" s="62"/>
      <c r="AU977" s="62"/>
      <c r="AV977" s="62"/>
      <c r="AW977" s="62"/>
      <c r="AX977" s="62"/>
      <c r="AY977" s="62"/>
      <c r="AZ977" s="62"/>
    </row>
    <row r="978" spans="1:52" x14ac:dyDescent="0.25">
      <c r="A978" s="62"/>
      <c r="B978" s="68"/>
      <c r="C978" s="86"/>
      <c r="D978" s="60"/>
      <c r="E978" s="60"/>
      <c r="F978" s="60"/>
      <c r="G978" s="60"/>
      <c r="H978" s="61"/>
      <c r="I978" s="61"/>
      <c r="J978" s="61"/>
      <c r="K978" s="61"/>
      <c r="L978" s="62"/>
      <c r="M978" s="62"/>
      <c r="N978" s="68"/>
      <c r="O978" s="86"/>
      <c r="P978" s="60"/>
      <c r="Q978" s="60"/>
      <c r="R978" s="60"/>
      <c r="S978" s="60"/>
      <c r="T978" s="61"/>
      <c r="U978" s="61"/>
      <c r="V978" s="61"/>
      <c r="W978" s="61"/>
      <c r="X978" s="62"/>
      <c r="Y978" s="62"/>
      <c r="Z978" s="68"/>
      <c r="AA978" s="86"/>
      <c r="AB978" s="60"/>
      <c r="AC978" s="60"/>
      <c r="AD978" s="60"/>
      <c r="AE978" s="60"/>
      <c r="AF978" s="61"/>
      <c r="AG978" s="61"/>
      <c r="AH978" s="61"/>
      <c r="AI978" s="61"/>
      <c r="AJ978" s="62"/>
      <c r="AK978" s="62"/>
      <c r="AL978" s="62"/>
      <c r="AM978" s="62"/>
      <c r="AN978" s="62"/>
      <c r="AO978" s="62"/>
      <c r="AP978" s="62"/>
      <c r="AQ978" s="62"/>
      <c r="AR978" s="62"/>
      <c r="AS978" s="62"/>
      <c r="AT978" s="62"/>
      <c r="AU978" s="62"/>
      <c r="AV978" s="62"/>
      <c r="AW978" s="62"/>
      <c r="AX978" s="62"/>
      <c r="AY978" s="62"/>
      <c r="AZ978" s="62"/>
    </row>
    <row r="979" spans="1:52" x14ac:dyDescent="0.25">
      <c r="A979" s="62"/>
      <c r="B979" s="68"/>
      <c r="C979" s="86"/>
      <c r="D979" s="60"/>
      <c r="E979" s="60"/>
      <c r="F979" s="60"/>
      <c r="G979" s="60"/>
      <c r="H979" s="61"/>
      <c r="I979" s="61"/>
      <c r="J979" s="61"/>
      <c r="K979" s="61"/>
      <c r="L979" s="62"/>
      <c r="M979" s="62"/>
      <c r="N979" s="68"/>
      <c r="O979" s="86"/>
      <c r="P979" s="60"/>
      <c r="Q979" s="60"/>
      <c r="R979" s="60"/>
      <c r="S979" s="60"/>
      <c r="T979" s="61"/>
      <c r="U979" s="61"/>
      <c r="V979" s="61"/>
      <c r="W979" s="61"/>
      <c r="X979" s="62"/>
      <c r="Y979" s="62"/>
      <c r="Z979" s="68"/>
      <c r="AA979" s="66"/>
      <c r="AB979" s="60"/>
      <c r="AC979" s="60"/>
      <c r="AD979" s="60"/>
      <c r="AE979" s="60"/>
      <c r="AF979" s="61"/>
      <c r="AG979" s="61"/>
      <c r="AH979" s="61"/>
      <c r="AI979" s="61"/>
      <c r="AJ979" s="62"/>
      <c r="AK979" s="62"/>
      <c r="AL979" s="62"/>
      <c r="AM979" s="62"/>
      <c r="AN979" s="62"/>
      <c r="AO979" s="62"/>
      <c r="AP979" s="62"/>
      <c r="AQ979" s="62"/>
      <c r="AR979" s="62"/>
      <c r="AS979" s="62"/>
      <c r="AT979" s="62"/>
      <c r="AU979" s="62"/>
      <c r="AV979" s="62"/>
      <c r="AW979" s="62"/>
      <c r="AX979" s="62"/>
      <c r="AY979" s="62"/>
      <c r="AZ979" s="62"/>
    </row>
    <row r="980" spans="1:52" x14ac:dyDescent="0.25">
      <c r="A980" s="62"/>
      <c r="B980" s="68"/>
      <c r="C980" s="86"/>
      <c r="D980" s="60"/>
      <c r="E980" s="60"/>
      <c r="F980" s="60"/>
      <c r="G980" s="60"/>
      <c r="H980" s="61"/>
      <c r="I980" s="61"/>
      <c r="J980" s="61"/>
      <c r="K980" s="61"/>
      <c r="L980" s="62"/>
      <c r="M980" s="62"/>
      <c r="N980" s="68"/>
      <c r="O980" s="86"/>
      <c r="P980" s="60"/>
      <c r="Q980" s="60"/>
      <c r="R980" s="60"/>
      <c r="S980" s="60"/>
      <c r="T980" s="61"/>
      <c r="U980" s="61"/>
      <c r="V980" s="61"/>
      <c r="W980" s="61"/>
      <c r="X980" s="62"/>
      <c r="Y980" s="62"/>
      <c r="Z980" s="68"/>
      <c r="AA980" s="86"/>
      <c r="AB980" s="60"/>
      <c r="AC980" s="60"/>
      <c r="AD980" s="60"/>
      <c r="AE980" s="60"/>
      <c r="AF980" s="61"/>
      <c r="AG980" s="61"/>
      <c r="AH980" s="61"/>
      <c r="AI980" s="61"/>
      <c r="AJ980" s="62"/>
      <c r="AK980" s="62"/>
      <c r="AL980" s="62"/>
      <c r="AM980" s="62"/>
      <c r="AN980" s="62"/>
      <c r="AO980" s="62"/>
      <c r="AP980" s="62"/>
      <c r="AQ980" s="62"/>
      <c r="AR980" s="62"/>
      <c r="AS980" s="62"/>
      <c r="AT980" s="62"/>
      <c r="AU980" s="62"/>
      <c r="AV980" s="62"/>
      <c r="AW980" s="62"/>
      <c r="AX980" s="62"/>
      <c r="AY980" s="62"/>
      <c r="AZ980" s="62"/>
    </row>
    <row r="981" spans="1:52" x14ac:dyDescent="0.25">
      <c r="A981" s="62"/>
      <c r="B981" s="68"/>
      <c r="C981" s="86"/>
      <c r="D981" s="60"/>
      <c r="E981" s="60"/>
      <c r="F981" s="60"/>
      <c r="G981" s="60"/>
      <c r="H981" s="61"/>
      <c r="I981" s="61"/>
      <c r="J981" s="61"/>
      <c r="K981" s="61"/>
      <c r="L981" s="62"/>
      <c r="M981" s="62"/>
      <c r="N981" s="68"/>
      <c r="O981" s="86"/>
      <c r="P981" s="60"/>
      <c r="Q981" s="60"/>
      <c r="R981" s="60"/>
      <c r="S981" s="60"/>
      <c r="T981" s="61"/>
      <c r="U981" s="61"/>
      <c r="V981" s="61"/>
      <c r="W981" s="61"/>
      <c r="X981" s="62"/>
      <c r="Y981" s="62"/>
      <c r="Z981" s="68"/>
      <c r="AA981" s="62"/>
      <c r="AB981" s="60"/>
      <c r="AC981" s="60"/>
      <c r="AD981" s="60"/>
      <c r="AE981" s="60"/>
      <c r="AF981" s="61"/>
      <c r="AG981" s="61"/>
      <c r="AH981" s="61"/>
      <c r="AI981" s="61"/>
      <c r="AJ981" s="62"/>
      <c r="AK981" s="62"/>
      <c r="AL981" s="62"/>
      <c r="AM981" s="62"/>
      <c r="AN981" s="62"/>
      <c r="AO981" s="62"/>
      <c r="AP981" s="62"/>
      <c r="AQ981" s="62"/>
      <c r="AR981" s="62"/>
      <c r="AS981" s="62"/>
      <c r="AT981" s="62"/>
      <c r="AU981" s="62"/>
      <c r="AV981" s="62"/>
      <c r="AW981" s="62"/>
      <c r="AX981" s="62"/>
      <c r="AY981" s="62"/>
      <c r="AZ981" s="62"/>
    </row>
    <row r="982" spans="1:52" x14ac:dyDescent="0.25">
      <c r="A982" s="62"/>
      <c r="B982" s="68"/>
      <c r="C982" s="86"/>
      <c r="D982" s="60"/>
      <c r="E982" s="60"/>
      <c r="F982" s="60"/>
      <c r="G982" s="60"/>
      <c r="H982" s="61"/>
      <c r="I982" s="61"/>
      <c r="J982" s="62"/>
      <c r="K982" s="61"/>
      <c r="L982" s="62"/>
      <c r="M982" s="62"/>
      <c r="N982" s="68"/>
      <c r="O982" s="86"/>
      <c r="P982" s="60"/>
      <c r="Q982" s="60"/>
      <c r="R982" s="60"/>
      <c r="S982" s="60"/>
      <c r="T982" s="61"/>
      <c r="U982" s="61"/>
      <c r="V982" s="61"/>
      <c r="W982" s="61"/>
      <c r="X982" s="62"/>
      <c r="Y982" s="62"/>
      <c r="Z982" s="68"/>
      <c r="AA982" s="86"/>
      <c r="AB982" s="60"/>
      <c r="AC982" s="60"/>
      <c r="AD982" s="60"/>
      <c r="AE982" s="60"/>
      <c r="AF982" s="61"/>
      <c r="AG982" s="61"/>
      <c r="AH982" s="62"/>
      <c r="AI982" s="61"/>
      <c r="AJ982" s="62"/>
      <c r="AK982" s="62"/>
      <c r="AL982" s="62"/>
      <c r="AM982" s="62"/>
      <c r="AN982" s="62"/>
      <c r="AO982" s="62"/>
      <c r="AP982" s="62"/>
      <c r="AQ982" s="62"/>
      <c r="AR982" s="62"/>
      <c r="AS982" s="62"/>
      <c r="AT982" s="62"/>
      <c r="AU982" s="62"/>
      <c r="AV982" s="62"/>
      <c r="AW982" s="62"/>
      <c r="AX982" s="62"/>
      <c r="AY982" s="62"/>
      <c r="AZ982" s="62"/>
    </row>
    <row r="983" spans="1:52" x14ac:dyDescent="0.25">
      <c r="A983" s="62"/>
      <c r="B983" s="68"/>
      <c r="C983" s="86"/>
      <c r="D983" s="60"/>
      <c r="E983" s="60"/>
      <c r="F983" s="60"/>
      <c r="G983" s="60"/>
      <c r="H983" s="61"/>
      <c r="I983" s="61"/>
      <c r="J983" s="61"/>
      <c r="K983" s="61"/>
      <c r="L983" s="62"/>
      <c r="M983" s="62"/>
      <c r="N983" s="68"/>
      <c r="O983" s="86"/>
      <c r="P983" s="60"/>
      <c r="Q983" s="60"/>
      <c r="R983" s="60"/>
      <c r="S983" s="60"/>
      <c r="T983" s="61"/>
      <c r="U983" s="61"/>
      <c r="V983" s="61"/>
      <c r="W983" s="61"/>
      <c r="X983" s="62"/>
      <c r="Y983" s="62"/>
      <c r="Z983" s="68"/>
      <c r="AA983" s="86"/>
      <c r="AB983" s="60"/>
      <c r="AC983" s="60"/>
      <c r="AD983" s="60"/>
      <c r="AE983" s="60"/>
      <c r="AF983" s="61"/>
      <c r="AG983" s="61"/>
      <c r="AH983" s="61"/>
      <c r="AI983" s="61"/>
      <c r="AJ983" s="62"/>
      <c r="AK983" s="62"/>
      <c r="AL983" s="62"/>
      <c r="AM983" s="62"/>
      <c r="AN983" s="62"/>
      <c r="AO983" s="62"/>
      <c r="AP983" s="62"/>
      <c r="AQ983" s="62"/>
      <c r="AR983" s="62"/>
      <c r="AS983" s="62"/>
      <c r="AT983" s="62"/>
      <c r="AU983" s="62"/>
      <c r="AV983" s="62"/>
      <c r="AW983" s="62"/>
      <c r="AX983" s="62"/>
      <c r="AY983" s="62"/>
      <c r="AZ983" s="62"/>
    </row>
    <row r="984" spans="1:52" x14ac:dyDescent="0.25">
      <c r="A984" s="62"/>
      <c r="B984" s="68"/>
      <c r="C984" s="86"/>
      <c r="D984" s="60"/>
      <c r="E984" s="60"/>
      <c r="F984" s="60"/>
      <c r="G984" s="60"/>
      <c r="H984" s="61"/>
      <c r="I984" s="61"/>
      <c r="J984" s="61"/>
      <c r="K984" s="61"/>
      <c r="L984" s="62"/>
      <c r="M984" s="62"/>
      <c r="N984" s="68"/>
      <c r="O984" s="86"/>
      <c r="P984" s="60"/>
      <c r="Q984" s="60"/>
      <c r="R984" s="60"/>
      <c r="S984" s="60"/>
      <c r="T984" s="61"/>
      <c r="U984" s="61"/>
      <c r="V984" s="61"/>
      <c r="W984" s="61"/>
      <c r="X984" s="62"/>
      <c r="Y984" s="62"/>
      <c r="Z984" s="68"/>
      <c r="AA984" s="86"/>
      <c r="AB984" s="60"/>
      <c r="AC984" s="60"/>
      <c r="AD984" s="60"/>
      <c r="AE984" s="60"/>
      <c r="AF984" s="61"/>
      <c r="AG984" s="61"/>
      <c r="AH984" s="61"/>
      <c r="AI984" s="61"/>
      <c r="AJ984" s="62"/>
      <c r="AK984" s="62"/>
      <c r="AL984" s="62"/>
      <c r="AM984" s="62"/>
      <c r="AN984" s="62"/>
      <c r="AO984" s="62"/>
      <c r="AP984" s="62"/>
      <c r="AQ984" s="62"/>
      <c r="AR984" s="62"/>
      <c r="AS984" s="62"/>
      <c r="AT984" s="62"/>
      <c r="AU984" s="62"/>
      <c r="AV984" s="62"/>
      <c r="AW984" s="62"/>
      <c r="AX984" s="62"/>
      <c r="AY984" s="62"/>
      <c r="AZ984" s="62"/>
    </row>
    <row r="985" spans="1:52" x14ac:dyDescent="0.25">
      <c r="A985" s="62"/>
      <c r="B985" s="68"/>
      <c r="C985" s="86"/>
      <c r="D985" s="60"/>
      <c r="E985" s="60"/>
      <c r="F985" s="60"/>
      <c r="G985" s="60"/>
      <c r="H985" s="61"/>
      <c r="I985" s="61"/>
      <c r="J985" s="61"/>
      <c r="K985" s="61"/>
      <c r="L985" s="62"/>
      <c r="M985" s="62"/>
      <c r="N985" s="68"/>
      <c r="O985" s="86"/>
      <c r="P985" s="60"/>
      <c r="Q985" s="60"/>
      <c r="R985" s="60"/>
      <c r="S985" s="60"/>
      <c r="T985" s="61"/>
      <c r="U985" s="61"/>
      <c r="V985" s="61"/>
      <c r="W985" s="61"/>
      <c r="X985" s="62"/>
      <c r="Y985" s="62"/>
      <c r="Z985" s="68"/>
      <c r="AA985" s="86"/>
      <c r="AB985" s="60"/>
      <c r="AC985" s="60"/>
      <c r="AD985" s="60"/>
      <c r="AE985" s="60"/>
      <c r="AF985" s="61"/>
      <c r="AG985" s="61"/>
      <c r="AH985" s="61"/>
      <c r="AI985" s="61"/>
      <c r="AJ985" s="62"/>
      <c r="AK985" s="62"/>
      <c r="AL985" s="62"/>
      <c r="AM985" s="62"/>
      <c r="AN985" s="62"/>
      <c r="AO985" s="62"/>
      <c r="AP985" s="62"/>
      <c r="AQ985" s="62"/>
      <c r="AR985" s="62"/>
      <c r="AS985" s="62"/>
      <c r="AT985" s="62"/>
      <c r="AU985" s="62"/>
      <c r="AV985" s="62"/>
      <c r="AW985" s="62"/>
      <c r="AX985" s="62"/>
      <c r="AY985" s="62"/>
      <c r="AZ985" s="62"/>
    </row>
    <row r="986" spans="1:52" x14ac:dyDescent="0.25">
      <c r="A986" s="62"/>
      <c r="B986" s="68"/>
      <c r="C986" s="86"/>
      <c r="D986" s="60"/>
      <c r="E986" s="60"/>
      <c r="F986" s="60"/>
      <c r="G986" s="60"/>
      <c r="H986" s="61"/>
      <c r="I986" s="61"/>
      <c r="J986" s="61"/>
      <c r="K986" s="61"/>
      <c r="L986" s="62"/>
      <c r="M986" s="62"/>
      <c r="N986" s="68"/>
      <c r="O986" s="86"/>
      <c r="P986" s="60"/>
      <c r="Q986" s="60"/>
      <c r="R986" s="60"/>
      <c r="S986" s="60"/>
      <c r="T986" s="61"/>
      <c r="U986" s="61"/>
      <c r="V986" s="61"/>
      <c r="W986" s="61"/>
      <c r="X986" s="62"/>
      <c r="Y986" s="62"/>
      <c r="Z986" s="68"/>
      <c r="AA986" s="86"/>
      <c r="AB986" s="60"/>
      <c r="AC986" s="60"/>
      <c r="AD986" s="60"/>
      <c r="AE986" s="60"/>
      <c r="AF986" s="61"/>
      <c r="AG986" s="61"/>
      <c r="AH986" s="61"/>
      <c r="AI986" s="61"/>
      <c r="AJ986" s="62"/>
      <c r="AK986" s="62"/>
      <c r="AL986" s="62"/>
      <c r="AM986" s="62"/>
      <c r="AN986" s="62"/>
      <c r="AO986" s="62"/>
      <c r="AP986" s="62"/>
      <c r="AQ986" s="62"/>
      <c r="AR986" s="62"/>
      <c r="AS986" s="62"/>
      <c r="AT986" s="62"/>
      <c r="AU986" s="62"/>
      <c r="AV986" s="62"/>
      <c r="AW986" s="62"/>
      <c r="AX986" s="62"/>
      <c r="AY986" s="62"/>
      <c r="AZ986" s="62"/>
    </row>
    <row r="987" spans="1:52" x14ac:dyDescent="0.25">
      <c r="A987" s="62"/>
      <c r="B987" s="68"/>
      <c r="C987" s="86"/>
      <c r="D987" s="60"/>
      <c r="E987" s="60"/>
      <c r="F987" s="60"/>
      <c r="G987" s="60"/>
      <c r="H987" s="61"/>
      <c r="I987" s="61"/>
      <c r="J987" s="61"/>
      <c r="K987" s="61"/>
      <c r="L987" s="62"/>
      <c r="M987" s="62"/>
      <c r="N987" s="68"/>
      <c r="O987" s="66"/>
      <c r="P987" s="60"/>
      <c r="Q987" s="60"/>
      <c r="R987" s="60"/>
      <c r="S987" s="60"/>
      <c r="T987" s="61"/>
      <c r="U987" s="61"/>
      <c r="V987" s="61"/>
      <c r="W987" s="61"/>
      <c r="X987" s="62"/>
      <c r="Y987" s="62"/>
      <c r="Z987" s="68"/>
      <c r="AA987" s="86"/>
      <c r="AB987" s="60"/>
      <c r="AC987" s="60"/>
      <c r="AD987" s="60"/>
      <c r="AE987" s="60"/>
      <c r="AF987" s="61"/>
      <c r="AG987" s="61"/>
      <c r="AH987" s="61"/>
      <c r="AI987" s="61"/>
      <c r="AJ987" s="62"/>
      <c r="AK987" s="62"/>
      <c r="AL987" s="62"/>
      <c r="AM987" s="62"/>
      <c r="AN987" s="62"/>
      <c r="AO987" s="62"/>
      <c r="AP987" s="62"/>
      <c r="AQ987" s="62"/>
      <c r="AR987" s="62"/>
      <c r="AS987" s="62"/>
      <c r="AT987" s="62"/>
      <c r="AU987" s="62"/>
      <c r="AV987" s="62"/>
      <c r="AW987" s="62"/>
      <c r="AX987" s="62"/>
      <c r="AY987" s="62"/>
      <c r="AZ987" s="62"/>
    </row>
    <row r="988" spans="1:52" x14ac:dyDescent="0.25">
      <c r="A988" s="62"/>
      <c r="B988" s="68"/>
      <c r="C988" s="86"/>
      <c r="D988" s="60"/>
      <c r="E988" s="60"/>
      <c r="F988" s="60"/>
      <c r="G988" s="60"/>
      <c r="H988" s="61"/>
      <c r="I988" s="61"/>
      <c r="J988" s="61"/>
      <c r="K988" s="61"/>
      <c r="L988" s="62"/>
      <c r="M988" s="62"/>
      <c r="N988" s="68"/>
      <c r="O988" s="86"/>
      <c r="P988" s="60"/>
      <c r="Q988" s="60"/>
      <c r="R988" s="60"/>
      <c r="S988" s="60"/>
      <c r="T988" s="61"/>
      <c r="U988" s="61"/>
      <c r="V988" s="61"/>
      <c r="W988" s="61"/>
      <c r="X988" s="62"/>
      <c r="Y988" s="62"/>
      <c r="Z988" s="68"/>
      <c r="AA988" s="86"/>
      <c r="AB988" s="60"/>
      <c r="AC988" s="60"/>
      <c r="AD988" s="60"/>
      <c r="AE988" s="60"/>
      <c r="AF988" s="61"/>
      <c r="AG988" s="61"/>
      <c r="AH988" s="61"/>
      <c r="AI988" s="61"/>
      <c r="AJ988" s="62"/>
      <c r="AK988" s="62"/>
      <c r="AL988" s="62"/>
      <c r="AM988" s="62"/>
      <c r="AN988" s="62"/>
      <c r="AO988" s="62"/>
      <c r="AP988" s="62"/>
      <c r="AQ988" s="62"/>
      <c r="AR988" s="62"/>
      <c r="AS988" s="62"/>
      <c r="AT988" s="62"/>
      <c r="AU988" s="62"/>
      <c r="AV988" s="62"/>
      <c r="AW988" s="62"/>
      <c r="AX988" s="62"/>
      <c r="AY988" s="62"/>
      <c r="AZ988" s="62"/>
    </row>
    <row r="989" spans="1:52" x14ac:dyDescent="0.25">
      <c r="A989" s="62"/>
      <c r="B989" s="68"/>
      <c r="C989" s="86"/>
      <c r="D989" s="60"/>
      <c r="E989" s="60"/>
      <c r="F989" s="60"/>
      <c r="G989" s="60"/>
      <c r="H989" s="61"/>
      <c r="I989" s="61"/>
      <c r="J989" s="61"/>
      <c r="K989" s="61"/>
      <c r="L989" s="62"/>
      <c r="M989" s="62"/>
      <c r="N989" s="68"/>
      <c r="O989" s="86"/>
      <c r="P989" s="60"/>
      <c r="Q989" s="60"/>
      <c r="R989" s="60"/>
      <c r="S989" s="60"/>
      <c r="T989" s="61"/>
      <c r="U989" s="61"/>
      <c r="V989" s="61"/>
      <c r="W989" s="61"/>
      <c r="X989" s="62"/>
      <c r="Y989" s="62"/>
      <c r="Z989" s="68"/>
      <c r="AA989" s="86"/>
      <c r="AB989" s="60"/>
      <c r="AC989" s="60"/>
      <c r="AD989" s="60"/>
      <c r="AE989" s="60"/>
      <c r="AF989" s="61"/>
      <c r="AG989" s="61"/>
      <c r="AH989" s="61"/>
      <c r="AI989" s="61"/>
      <c r="AJ989" s="62"/>
      <c r="AK989" s="62"/>
      <c r="AL989" s="62"/>
      <c r="AM989" s="62"/>
      <c r="AN989" s="62"/>
      <c r="AO989" s="62"/>
      <c r="AP989" s="62"/>
      <c r="AQ989" s="62"/>
      <c r="AR989" s="62"/>
      <c r="AS989" s="62"/>
      <c r="AT989" s="62"/>
      <c r="AU989" s="62"/>
      <c r="AV989" s="62"/>
      <c r="AW989" s="62"/>
      <c r="AX989" s="62"/>
      <c r="AY989" s="62"/>
      <c r="AZ989" s="62"/>
    </row>
    <row r="990" spans="1:52" x14ac:dyDescent="0.25">
      <c r="A990" s="62"/>
      <c r="B990" s="68"/>
      <c r="C990" s="86"/>
      <c r="D990" s="60"/>
      <c r="E990" s="60"/>
      <c r="F990" s="60"/>
      <c r="G990" s="60"/>
      <c r="H990" s="61"/>
      <c r="I990" s="61"/>
      <c r="J990" s="61"/>
      <c r="K990" s="61"/>
      <c r="L990" s="62"/>
      <c r="M990" s="62"/>
      <c r="N990" s="68"/>
      <c r="O990" s="86"/>
      <c r="P990" s="60"/>
      <c r="Q990" s="60"/>
      <c r="R990" s="60"/>
      <c r="S990" s="60"/>
      <c r="T990" s="61"/>
      <c r="U990" s="61"/>
      <c r="V990" s="61"/>
      <c r="W990" s="61"/>
      <c r="X990" s="62"/>
      <c r="Y990" s="62"/>
      <c r="Z990" s="68"/>
      <c r="AA990" s="86"/>
      <c r="AB990" s="60"/>
      <c r="AC990" s="60"/>
      <c r="AD990" s="60"/>
      <c r="AE990" s="60"/>
      <c r="AF990" s="61"/>
      <c r="AG990" s="61"/>
      <c r="AH990" s="61"/>
      <c r="AI990" s="61"/>
      <c r="AJ990" s="62"/>
      <c r="AK990" s="62"/>
      <c r="AL990" s="62"/>
      <c r="AM990" s="62"/>
      <c r="AN990" s="62"/>
      <c r="AO990" s="62"/>
      <c r="AP990" s="62"/>
      <c r="AQ990" s="62"/>
      <c r="AR990" s="62"/>
      <c r="AS990" s="62"/>
      <c r="AT990" s="62"/>
      <c r="AU990" s="62"/>
      <c r="AV990" s="62"/>
      <c r="AW990" s="62"/>
      <c r="AX990" s="62"/>
      <c r="AY990" s="62"/>
      <c r="AZ990" s="62"/>
    </row>
    <row r="991" spans="1:52" x14ac:dyDescent="0.25">
      <c r="A991" s="62"/>
      <c r="B991" s="68"/>
      <c r="C991" s="86"/>
      <c r="D991" s="60"/>
      <c r="E991" s="60"/>
      <c r="F991" s="60"/>
      <c r="G991" s="60"/>
      <c r="H991" s="62"/>
      <c r="I991" s="62"/>
      <c r="J991" s="62"/>
      <c r="K991" s="61"/>
      <c r="L991" s="62"/>
      <c r="M991" s="62"/>
      <c r="N991" s="68"/>
      <c r="O991" s="86"/>
      <c r="P991" s="69"/>
      <c r="Q991" s="86"/>
      <c r="R991" s="86"/>
      <c r="S991" s="60"/>
      <c r="T991" s="62"/>
      <c r="U991" s="62"/>
      <c r="V991" s="62"/>
      <c r="W991" s="61"/>
      <c r="X991" s="62"/>
      <c r="Y991" s="62"/>
      <c r="Z991" s="68"/>
      <c r="AA991" s="62"/>
      <c r="AB991" s="60"/>
      <c r="AC991" s="60"/>
      <c r="AD991" s="60"/>
      <c r="AE991" s="60"/>
      <c r="AF991" s="62"/>
      <c r="AG991" s="62"/>
      <c r="AH991" s="62"/>
      <c r="AI991" s="61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</row>
    <row r="992" spans="1:52" x14ac:dyDescent="0.25">
      <c r="A992" s="62"/>
      <c r="B992" s="68"/>
      <c r="C992" s="86"/>
      <c r="D992" s="60"/>
      <c r="E992" s="60"/>
      <c r="F992" s="60"/>
      <c r="G992" s="60"/>
      <c r="H992" s="62"/>
      <c r="I992" s="62"/>
      <c r="J992" s="62"/>
      <c r="K992" s="61"/>
      <c r="L992" s="62"/>
      <c r="M992" s="62"/>
      <c r="N992" s="68"/>
      <c r="O992" s="86"/>
      <c r="P992" s="70"/>
      <c r="Q992" s="86"/>
      <c r="R992" s="86"/>
      <c r="S992" s="60"/>
      <c r="T992" s="62"/>
      <c r="U992" s="62"/>
      <c r="V992" s="62"/>
      <c r="W992" s="61"/>
      <c r="X992" s="62"/>
      <c r="Y992" s="62"/>
      <c r="Z992" s="68"/>
      <c r="AA992" s="86"/>
      <c r="AB992" s="60"/>
      <c r="AC992" s="60"/>
      <c r="AD992" s="60"/>
      <c r="AE992" s="60"/>
      <c r="AF992" s="62"/>
      <c r="AG992" s="62"/>
      <c r="AH992" s="62"/>
      <c r="AI992" s="61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</row>
    <row r="993" spans="1:52" x14ac:dyDescent="0.25">
      <c r="A993" s="62"/>
      <c r="B993" s="68"/>
      <c r="C993" s="86"/>
      <c r="D993" s="60"/>
      <c r="E993" s="60"/>
      <c r="F993" s="60"/>
      <c r="G993" s="60"/>
      <c r="H993" s="62"/>
      <c r="I993" s="62"/>
      <c r="J993" s="61"/>
      <c r="K993" s="61"/>
      <c r="L993" s="62"/>
      <c r="M993" s="62"/>
      <c r="N993" s="68"/>
      <c r="O993" s="86"/>
      <c r="P993" s="71"/>
      <c r="Q993" s="62"/>
      <c r="R993" s="62"/>
      <c r="S993" s="60"/>
      <c r="T993" s="62"/>
      <c r="U993" s="62"/>
      <c r="V993" s="62"/>
      <c r="W993" s="61"/>
      <c r="X993" s="62"/>
      <c r="Y993" s="62"/>
      <c r="Z993" s="68"/>
      <c r="AA993" s="86"/>
      <c r="AB993" s="60"/>
      <c r="AC993" s="60"/>
      <c r="AD993" s="60"/>
      <c r="AE993" s="60"/>
      <c r="AF993" s="62"/>
      <c r="AG993" s="62"/>
      <c r="AH993" s="61"/>
      <c r="AI993" s="61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</row>
    <row r="994" spans="1:52" x14ac:dyDescent="0.25">
      <c r="A994" s="62"/>
      <c r="B994" s="68"/>
      <c r="C994" s="86"/>
      <c r="D994" s="60"/>
      <c r="E994" s="60"/>
      <c r="F994" s="60"/>
      <c r="G994" s="60"/>
      <c r="H994" s="62"/>
      <c r="I994" s="62"/>
      <c r="J994" s="62"/>
      <c r="K994" s="61"/>
      <c r="L994" s="62"/>
      <c r="M994" s="62"/>
      <c r="N994" s="68"/>
      <c r="O994" s="86"/>
      <c r="P994" s="71"/>
      <c r="Q994" s="86"/>
      <c r="R994" s="86"/>
      <c r="S994" s="60"/>
      <c r="T994" s="62"/>
      <c r="U994" s="62"/>
      <c r="V994" s="62"/>
      <c r="W994" s="61"/>
      <c r="X994" s="62"/>
      <c r="Y994" s="62"/>
      <c r="Z994" s="68"/>
      <c r="AA994" s="86"/>
      <c r="AB994" s="60"/>
      <c r="AC994" s="60"/>
      <c r="AD994" s="60"/>
      <c r="AE994" s="60"/>
      <c r="AF994" s="62"/>
      <c r="AG994" s="62"/>
      <c r="AH994" s="62"/>
      <c r="AI994" s="61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</row>
    <row r="995" spans="1:52" x14ac:dyDescent="0.25">
      <c r="A995" s="62"/>
      <c r="B995" s="68"/>
      <c r="C995" s="86"/>
      <c r="D995" s="60"/>
      <c r="E995" s="60"/>
      <c r="F995" s="60"/>
      <c r="G995" s="60"/>
      <c r="H995" s="62"/>
      <c r="I995" s="62"/>
      <c r="J995" s="62"/>
      <c r="K995" s="61"/>
      <c r="L995" s="62"/>
      <c r="M995" s="62"/>
      <c r="N995" s="68"/>
      <c r="O995" s="86"/>
      <c r="P995" s="71"/>
      <c r="Q995" s="86"/>
      <c r="R995" s="86"/>
      <c r="S995" s="60"/>
      <c r="T995" s="62"/>
      <c r="U995" s="62"/>
      <c r="V995" s="62"/>
      <c r="W995" s="61"/>
      <c r="X995" s="62"/>
      <c r="Y995" s="62"/>
      <c r="Z995" s="68"/>
      <c r="AA995" s="86"/>
      <c r="AB995" s="60"/>
      <c r="AC995" s="60"/>
      <c r="AD995" s="60"/>
      <c r="AE995" s="60"/>
      <c r="AF995" s="62"/>
      <c r="AG995" s="62"/>
      <c r="AH995" s="62"/>
      <c r="AI995" s="61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</row>
    <row r="996" spans="1:52" x14ac:dyDescent="0.25">
      <c r="A996" s="62"/>
      <c r="B996" s="68"/>
      <c r="C996" s="86"/>
      <c r="D996" s="60"/>
      <c r="E996" s="60"/>
      <c r="F996" s="60"/>
      <c r="G996" s="60"/>
      <c r="H996" s="62"/>
      <c r="I996" s="62"/>
      <c r="J996" s="62"/>
      <c r="K996" s="61"/>
      <c r="L996" s="62"/>
      <c r="M996" s="62"/>
      <c r="N996" s="68"/>
      <c r="O996" s="86"/>
      <c r="P996" s="71"/>
      <c r="Q996" s="86"/>
      <c r="R996" s="86"/>
      <c r="S996" s="60"/>
      <c r="T996" s="62"/>
      <c r="U996" s="62"/>
      <c r="V996" s="62"/>
      <c r="W996" s="61"/>
      <c r="X996" s="62"/>
      <c r="Y996" s="62"/>
      <c r="Z996" s="68"/>
      <c r="AA996" s="86"/>
      <c r="AB996" s="60"/>
      <c r="AC996" s="60"/>
      <c r="AD996" s="60"/>
      <c r="AE996" s="60"/>
      <c r="AF996" s="62"/>
      <c r="AG996" s="62"/>
      <c r="AH996" s="62"/>
      <c r="AI996" s="61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</row>
    <row r="997" spans="1:52" x14ac:dyDescent="0.25">
      <c r="A997" s="62"/>
      <c r="B997" s="68"/>
      <c r="C997" s="66"/>
      <c r="D997" s="60"/>
      <c r="E997" s="60"/>
      <c r="F997" s="60"/>
      <c r="G997" s="60"/>
      <c r="H997" s="62"/>
      <c r="I997" s="62"/>
      <c r="J997" s="62"/>
      <c r="K997" s="61"/>
      <c r="L997" s="62"/>
      <c r="M997" s="62"/>
      <c r="N997" s="68"/>
      <c r="O997" s="86"/>
      <c r="P997" s="71"/>
      <c r="Q997" s="86"/>
      <c r="R997" s="86"/>
      <c r="S997" s="60"/>
      <c r="T997" s="62"/>
      <c r="U997" s="62"/>
      <c r="V997" s="62"/>
      <c r="W997" s="61"/>
      <c r="X997" s="62"/>
      <c r="Y997" s="62"/>
      <c r="Z997" s="68"/>
      <c r="AA997" s="86"/>
      <c r="AB997" s="60"/>
      <c r="AC997" s="60"/>
      <c r="AD997" s="60"/>
      <c r="AE997" s="60"/>
      <c r="AF997" s="62"/>
      <c r="AG997" s="62"/>
      <c r="AH997" s="62"/>
      <c r="AI997" s="61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</row>
    <row r="998" spans="1:52" x14ac:dyDescent="0.25">
      <c r="A998" s="62"/>
      <c r="B998" s="68"/>
      <c r="C998" s="86"/>
      <c r="D998" s="60"/>
      <c r="E998" s="60"/>
      <c r="F998" s="60"/>
      <c r="G998" s="60"/>
      <c r="H998" s="62"/>
      <c r="I998" s="62"/>
      <c r="J998" s="62"/>
      <c r="K998" s="61"/>
      <c r="L998" s="62"/>
      <c r="M998" s="62"/>
      <c r="N998" s="68"/>
      <c r="O998" s="62"/>
      <c r="P998" s="71"/>
      <c r="Q998" s="86"/>
      <c r="R998" s="86"/>
      <c r="S998" s="60"/>
      <c r="T998" s="62"/>
      <c r="U998" s="62"/>
      <c r="V998" s="62"/>
      <c r="W998" s="61"/>
      <c r="X998" s="62"/>
      <c r="Y998" s="62"/>
      <c r="Z998" s="68"/>
      <c r="AA998" s="86"/>
      <c r="AB998" s="60"/>
      <c r="AC998" s="60"/>
      <c r="AD998" s="60"/>
      <c r="AE998" s="60"/>
      <c r="AF998" s="62"/>
      <c r="AG998" s="62"/>
      <c r="AH998" s="62"/>
      <c r="AI998" s="61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</row>
    <row r="999" spans="1:52" x14ac:dyDescent="0.25">
      <c r="A999" s="62"/>
      <c r="B999" s="68"/>
      <c r="C999" s="86"/>
      <c r="D999" s="60"/>
      <c r="E999" s="60"/>
      <c r="F999" s="60"/>
      <c r="G999" s="60"/>
      <c r="H999" s="62"/>
      <c r="I999" s="62"/>
      <c r="J999" s="62"/>
      <c r="K999" s="61"/>
      <c r="L999" s="62"/>
      <c r="M999" s="62"/>
      <c r="N999" s="68"/>
      <c r="O999" s="86"/>
      <c r="P999" s="71"/>
      <c r="Q999" s="86"/>
      <c r="R999" s="86"/>
      <c r="S999" s="60"/>
      <c r="T999" s="62"/>
      <c r="U999" s="62"/>
      <c r="V999" s="62"/>
      <c r="W999" s="61"/>
      <c r="X999" s="62"/>
      <c r="Y999" s="62"/>
      <c r="Z999" s="68"/>
      <c r="AA999" s="86"/>
      <c r="AB999" s="60"/>
      <c r="AC999" s="60"/>
      <c r="AD999" s="60"/>
      <c r="AE999" s="60"/>
      <c r="AF999" s="62"/>
      <c r="AG999" s="62"/>
      <c r="AH999" s="62"/>
      <c r="AI999" s="61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</row>
    <row r="1000" spans="1:52" x14ac:dyDescent="0.25">
      <c r="A1000" s="62"/>
      <c r="B1000" s="68"/>
      <c r="C1000" s="86"/>
      <c r="D1000" s="60"/>
      <c r="E1000" s="60"/>
      <c r="F1000" s="60"/>
      <c r="G1000" s="60"/>
      <c r="H1000" s="62"/>
      <c r="I1000" s="62"/>
      <c r="J1000" s="62"/>
      <c r="K1000" s="61"/>
      <c r="L1000" s="62"/>
      <c r="M1000" s="62"/>
      <c r="N1000" s="68"/>
      <c r="O1000" s="86"/>
      <c r="P1000" s="71"/>
      <c r="Q1000" s="86"/>
      <c r="R1000" s="86"/>
      <c r="S1000" s="60"/>
      <c r="T1000" s="62"/>
      <c r="U1000" s="62"/>
      <c r="V1000" s="62"/>
      <c r="W1000" s="61"/>
      <c r="X1000" s="62"/>
      <c r="Y1000" s="62"/>
      <c r="Z1000" s="68"/>
      <c r="AA1000" s="86"/>
      <c r="AB1000" s="60"/>
      <c r="AC1000" s="60"/>
      <c r="AD1000" s="60"/>
      <c r="AE1000" s="60"/>
      <c r="AF1000" s="62"/>
      <c r="AG1000" s="62"/>
      <c r="AH1000" s="62"/>
      <c r="AI1000" s="61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</row>
    <row r="1001" spans="1:52" x14ac:dyDescent="0.25">
      <c r="A1001" s="62"/>
      <c r="B1001" s="68"/>
      <c r="C1001" s="86"/>
      <c r="D1001" s="60"/>
      <c r="E1001" s="60"/>
      <c r="F1001" s="60"/>
      <c r="G1001" s="60"/>
      <c r="H1001" s="62"/>
      <c r="I1001" s="62"/>
      <c r="J1001" s="62"/>
      <c r="K1001" s="61"/>
      <c r="L1001" s="62"/>
      <c r="M1001" s="62"/>
      <c r="N1001" s="68"/>
      <c r="O1001" s="62"/>
      <c r="P1001" s="71"/>
      <c r="Q1001" s="86"/>
      <c r="R1001" s="86"/>
      <c r="S1001" s="60"/>
      <c r="T1001" s="62"/>
      <c r="U1001" s="62"/>
      <c r="V1001" s="62"/>
      <c r="W1001" s="61"/>
      <c r="X1001" s="62"/>
      <c r="Y1001" s="62"/>
      <c r="Z1001" s="68"/>
      <c r="AA1001" s="62"/>
      <c r="AB1001" s="60"/>
      <c r="AC1001" s="60"/>
      <c r="AD1001" s="60"/>
      <c r="AE1001" s="60"/>
      <c r="AF1001" s="62"/>
      <c r="AG1001" s="62"/>
      <c r="AH1001" s="62"/>
      <c r="AI1001" s="61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</row>
    <row r="1002" spans="1:52" x14ac:dyDescent="0.25">
      <c r="A1002" s="62"/>
      <c r="B1002" s="68"/>
      <c r="C1002" s="86"/>
      <c r="D1002" s="60"/>
      <c r="E1002" s="60"/>
      <c r="F1002" s="60"/>
      <c r="G1002" s="60"/>
      <c r="H1002" s="62"/>
      <c r="I1002" s="62"/>
      <c r="J1002" s="62"/>
      <c r="K1002" s="61"/>
      <c r="L1002" s="62"/>
      <c r="M1002" s="62"/>
      <c r="N1002" s="68"/>
      <c r="O1002" s="86"/>
      <c r="P1002" s="71"/>
      <c r="Q1002" s="86"/>
      <c r="R1002" s="86"/>
      <c r="S1002" s="60"/>
      <c r="T1002" s="62"/>
      <c r="U1002" s="62"/>
      <c r="V1002" s="62"/>
      <c r="W1002" s="61"/>
      <c r="X1002" s="62"/>
      <c r="Y1002" s="62"/>
      <c r="Z1002" s="68"/>
      <c r="AA1002" s="86"/>
      <c r="AB1002" s="60"/>
      <c r="AC1002" s="60"/>
      <c r="AD1002" s="60"/>
      <c r="AE1002" s="60"/>
      <c r="AF1002" s="62"/>
      <c r="AG1002" s="62"/>
      <c r="AH1002" s="62"/>
      <c r="AI1002" s="61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</row>
    <row r="1003" spans="1:52" x14ac:dyDescent="0.25">
      <c r="A1003" s="62"/>
      <c r="B1003" s="68"/>
      <c r="C1003" s="86"/>
      <c r="D1003" s="60"/>
      <c r="E1003" s="60"/>
      <c r="F1003" s="60"/>
      <c r="G1003" s="60"/>
      <c r="H1003" s="62"/>
      <c r="I1003" s="62"/>
      <c r="J1003" s="62"/>
      <c r="K1003" s="61"/>
      <c r="L1003" s="62"/>
      <c r="M1003" s="62"/>
      <c r="N1003" s="68"/>
      <c r="O1003" s="86"/>
      <c r="P1003" s="71"/>
      <c r="Q1003" s="86"/>
      <c r="R1003" s="86"/>
      <c r="S1003" s="60"/>
      <c r="T1003" s="62"/>
      <c r="U1003" s="62"/>
      <c r="V1003" s="62"/>
      <c r="W1003" s="61"/>
      <c r="X1003" s="62"/>
      <c r="Y1003" s="62"/>
      <c r="Z1003" s="68"/>
      <c r="AA1003" s="86"/>
      <c r="AB1003" s="60"/>
      <c r="AC1003" s="60"/>
      <c r="AD1003" s="60"/>
      <c r="AE1003" s="60"/>
      <c r="AF1003" s="62"/>
      <c r="AG1003" s="62"/>
      <c r="AH1003" s="62"/>
      <c r="AI1003" s="61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</row>
    <row r="1004" spans="1:52" x14ac:dyDescent="0.25">
      <c r="A1004" s="62"/>
      <c r="B1004" s="68"/>
      <c r="C1004" s="66"/>
      <c r="D1004" s="60"/>
      <c r="E1004" s="60"/>
      <c r="F1004" s="60"/>
      <c r="G1004" s="60"/>
      <c r="H1004" s="62"/>
      <c r="I1004" s="62"/>
      <c r="J1004" s="62"/>
      <c r="K1004" s="61"/>
      <c r="L1004" s="62"/>
      <c r="M1004" s="62"/>
      <c r="N1004" s="68"/>
      <c r="O1004" s="86"/>
      <c r="P1004" s="71"/>
      <c r="Q1004" s="86"/>
      <c r="R1004" s="86"/>
      <c r="S1004" s="60"/>
      <c r="T1004" s="62"/>
      <c r="U1004" s="62"/>
      <c r="V1004" s="62"/>
      <c r="W1004" s="61"/>
      <c r="X1004" s="62"/>
      <c r="Y1004" s="62"/>
      <c r="Z1004" s="68"/>
      <c r="AA1004" s="86"/>
      <c r="AB1004" s="60"/>
      <c r="AC1004" s="60"/>
      <c r="AD1004" s="60"/>
      <c r="AE1004" s="60"/>
      <c r="AF1004" s="62"/>
      <c r="AG1004" s="62"/>
      <c r="AH1004" s="62"/>
      <c r="AI1004" s="61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</row>
    <row r="1005" spans="1:52" x14ac:dyDescent="0.25">
      <c r="A1005" s="62"/>
      <c r="B1005" s="68"/>
      <c r="C1005" s="86"/>
      <c r="D1005" s="60"/>
      <c r="E1005" s="60"/>
      <c r="F1005" s="60"/>
      <c r="G1005" s="60"/>
      <c r="H1005" s="62"/>
      <c r="I1005" s="62"/>
      <c r="J1005" s="62"/>
      <c r="K1005" s="61"/>
      <c r="L1005" s="62"/>
      <c r="M1005" s="62"/>
      <c r="N1005" s="68"/>
      <c r="O1005" s="86"/>
      <c r="P1005" s="71"/>
      <c r="Q1005" s="86"/>
      <c r="R1005" s="86"/>
      <c r="S1005" s="60"/>
      <c r="T1005" s="62"/>
      <c r="U1005" s="62"/>
      <c r="V1005" s="62"/>
      <c r="W1005" s="61"/>
      <c r="X1005" s="62"/>
      <c r="Y1005" s="62"/>
      <c r="Z1005" s="68"/>
      <c r="AA1005" s="86"/>
      <c r="AB1005" s="60"/>
      <c r="AC1005" s="60"/>
      <c r="AD1005" s="60"/>
      <c r="AE1005" s="60"/>
      <c r="AF1005" s="62"/>
      <c r="AG1005" s="62"/>
      <c r="AH1005" s="62"/>
      <c r="AI1005" s="61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</row>
    <row r="1006" spans="1:52" x14ac:dyDescent="0.25">
      <c r="A1006" s="62"/>
      <c r="B1006" s="68"/>
      <c r="C1006" s="86"/>
      <c r="D1006" s="60"/>
      <c r="E1006" s="60"/>
      <c r="F1006" s="60"/>
      <c r="G1006" s="60"/>
      <c r="H1006" s="62"/>
      <c r="I1006" s="62"/>
      <c r="J1006" s="62"/>
      <c r="K1006" s="61"/>
      <c r="L1006" s="62"/>
      <c r="M1006" s="62"/>
      <c r="N1006" s="68"/>
      <c r="O1006" s="86"/>
      <c r="P1006" s="71"/>
      <c r="Q1006" s="86"/>
      <c r="R1006" s="86"/>
      <c r="S1006" s="60"/>
      <c r="T1006" s="62"/>
      <c r="U1006" s="62"/>
      <c r="V1006" s="62"/>
      <c r="W1006" s="61"/>
      <c r="X1006" s="62"/>
      <c r="Y1006" s="62"/>
      <c r="Z1006" s="68"/>
      <c r="AA1006" s="86"/>
      <c r="AB1006" s="60"/>
      <c r="AC1006" s="60"/>
      <c r="AD1006" s="60"/>
      <c r="AE1006" s="60"/>
      <c r="AF1006" s="62"/>
      <c r="AG1006" s="62"/>
      <c r="AH1006" s="62"/>
      <c r="AI1006" s="61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</row>
    <row r="1007" spans="1:52" x14ac:dyDescent="0.25">
      <c r="A1007" s="62"/>
      <c r="B1007" s="68"/>
      <c r="C1007" s="86"/>
      <c r="D1007" s="60"/>
      <c r="E1007" s="60"/>
      <c r="F1007" s="60"/>
      <c r="G1007" s="60"/>
      <c r="H1007" s="62"/>
      <c r="I1007" s="62"/>
      <c r="J1007" s="62"/>
      <c r="K1007" s="61"/>
      <c r="L1007" s="62"/>
      <c r="M1007" s="62"/>
      <c r="N1007" s="68"/>
      <c r="O1007" s="86"/>
      <c r="P1007" s="71"/>
      <c r="Q1007" s="86"/>
      <c r="R1007" s="86"/>
      <c r="S1007" s="60"/>
      <c r="T1007" s="62"/>
      <c r="U1007" s="62"/>
      <c r="V1007" s="62"/>
      <c r="W1007" s="61"/>
      <c r="X1007" s="62"/>
      <c r="Y1007" s="62"/>
      <c r="Z1007" s="68"/>
      <c r="AA1007" s="86"/>
      <c r="AB1007" s="60"/>
      <c r="AC1007" s="60"/>
      <c r="AD1007" s="60"/>
      <c r="AE1007" s="60"/>
      <c r="AF1007" s="62"/>
      <c r="AG1007" s="62"/>
      <c r="AH1007" s="62"/>
      <c r="AI1007" s="61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</row>
    <row r="1008" spans="1:52" x14ac:dyDescent="0.25">
      <c r="A1008" s="62"/>
      <c r="B1008" s="68"/>
      <c r="C1008" s="86"/>
      <c r="D1008" s="60"/>
      <c r="E1008" s="60"/>
      <c r="F1008" s="60"/>
      <c r="G1008" s="60"/>
      <c r="H1008" s="62"/>
      <c r="I1008" s="62"/>
      <c r="J1008" s="62"/>
      <c r="K1008" s="61"/>
      <c r="L1008" s="62"/>
      <c r="M1008" s="62"/>
      <c r="N1008" s="68"/>
      <c r="O1008" s="86"/>
      <c r="P1008" s="71"/>
      <c r="Q1008" s="86"/>
      <c r="R1008" s="86"/>
      <c r="S1008" s="60"/>
      <c r="T1008" s="62"/>
      <c r="U1008" s="62"/>
      <c r="V1008" s="62"/>
      <c r="W1008" s="61"/>
      <c r="X1008" s="62"/>
      <c r="Y1008" s="62"/>
      <c r="Z1008" s="68"/>
      <c r="AA1008" s="86"/>
      <c r="AB1008" s="60"/>
      <c r="AC1008" s="60"/>
      <c r="AD1008" s="60"/>
      <c r="AE1008" s="60"/>
      <c r="AF1008" s="62"/>
      <c r="AG1008" s="62"/>
      <c r="AH1008" s="62"/>
      <c r="AI1008" s="61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</row>
    <row r="1009" spans="1:52" x14ac:dyDescent="0.25">
      <c r="A1009" s="62"/>
      <c r="B1009" s="68"/>
      <c r="C1009" s="86"/>
      <c r="D1009" s="60"/>
      <c r="E1009" s="60"/>
      <c r="F1009" s="60"/>
      <c r="G1009" s="60"/>
      <c r="H1009" s="62"/>
      <c r="I1009" s="62"/>
      <c r="J1009" s="62"/>
      <c r="K1009" s="61"/>
      <c r="L1009" s="62"/>
      <c r="M1009" s="62"/>
      <c r="N1009" s="68"/>
      <c r="O1009" s="86"/>
      <c r="P1009" s="71"/>
      <c r="Q1009" s="86"/>
      <c r="R1009" s="86"/>
      <c r="S1009" s="60"/>
      <c r="T1009" s="62"/>
      <c r="U1009" s="62"/>
      <c r="V1009" s="62"/>
      <c r="W1009" s="61"/>
      <c r="X1009" s="62"/>
      <c r="Y1009" s="62"/>
      <c r="Z1009" s="68"/>
      <c r="AA1009" s="86"/>
      <c r="AB1009" s="60"/>
      <c r="AC1009" s="60"/>
      <c r="AD1009" s="60"/>
      <c r="AE1009" s="60"/>
      <c r="AF1009" s="62"/>
      <c r="AG1009" s="62"/>
      <c r="AH1009" s="62"/>
      <c r="AI1009" s="61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</row>
    <row r="1010" spans="1:52" x14ac:dyDescent="0.25">
      <c r="A1010" s="62"/>
      <c r="B1010" s="68"/>
      <c r="C1010" s="86"/>
      <c r="D1010" s="60"/>
      <c r="E1010" s="60"/>
      <c r="F1010" s="60"/>
      <c r="G1010" s="60"/>
      <c r="H1010" s="62"/>
      <c r="I1010" s="62"/>
      <c r="J1010" s="62"/>
      <c r="K1010" s="61"/>
      <c r="L1010" s="62"/>
      <c r="M1010" s="62"/>
      <c r="N1010" s="68"/>
      <c r="O1010" s="86"/>
      <c r="P1010" s="71"/>
      <c r="Q1010" s="86"/>
      <c r="R1010" s="86"/>
      <c r="S1010" s="60"/>
      <c r="T1010" s="62"/>
      <c r="U1010" s="62"/>
      <c r="V1010" s="62"/>
      <c r="W1010" s="61"/>
      <c r="X1010" s="62"/>
      <c r="Y1010" s="62"/>
      <c r="Z1010" s="68"/>
      <c r="AA1010" s="86"/>
      <c r="AB1010" s="60"/>
      <c r="AC1010" s="60"/>
      <c r="AD1010" s="60"/>
      <c r="AE1010" s="60"/>
      <c r="AF1010" s="62"/>
      <c r="AG1010" s="62"/>
      <c r="AH1010" s="62"/>
      <c r="AI1010" s="61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</row>
    <row r="1011" spans="1:52" x14ac:dyDescent="0.25">
      <c r="A1011" s="62"/>
      <c r="B1011" s="68"/>
      <c r="C1011" s="86"/>
      <c r="D1011" s="60"/>
      <c r="E1011" s="60"/>
      <c r="F1011" s="60"/>
      <c r="G1011" s="60"/>
      <c r="H1011" s="62"/>
      <c r="I1011" s="62"/>
      <c r="J1011" s="62"/>
      <c r="K1011" s="61"/>
      <c r="L1011" s="62"/>
      <c r="M1011" s="62"/>
      <c r="N1011" s="68"/>
      <c r="O1011" s="86"/>
      <c r="P1011" s="71"/>
      <c r="Q1011" s="86"/>
      <c r="R1011" s="86"/>
      <c r="S1011" s="60"/>
      <c r="T1011" s="62"/>
      <c r="U1011" s="62"/>
      <c r="V1011" s="62"/>
      <c r="W1011" s="61"/>
      <c r="X1011" s="62"/>
      <c r="Y1011" s="62"/>
      <c r="Z1011" s="68"/>
      <c r="AA1011" s="86"/>
      <c r="AB1011" s="60"/>
      <c r="AC1011" s="60"/>
      <c r="AD1011" s="60"/>
      <c r="AE1011" s="60"/>
      <c r="AF1011" s="62"/>
      <c r="AG1011" s="62"/>
      <c r="AH1011" s="62"/>
      <c r="AI1011" s="61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</row>
    <row r="1012" spans="1:52" x14ac:dyDescent="0.25">
      <c r="A1012" s="62"/>
      <c r="B1012" s="68"/>
      <c r="C1012" s="86"/>
      <c r="D1012" s="60"/>
      <c r="E1012" s="60"/>
      <c r="F1012" s="60"/>
      <c r="G1012" s="60"/>
      <c r="H1012" s="62"/>
      <c r="I1012" s="62"/>
      <c r="J1012" s="62"/>
      <c r="K1012" s="61"/>
      <c r="L1012" s="62"/>
      <c r="M1012" s="62"/>
      <c r="N1012" s="68"/>
      <c r="O1012" s="86"/>
      <c r="P1012" s="71"/>
      <c r="Q1012" s="86"/>
      <c r="R1012" s="86"/>
      <c r="S1012" s="60"/>
      <c r="T1012" s="62"/>
      <c r="U1012" s="62"/>
      <c r="V1012" s="62"/>
      <c r="W1012" s="61"/>
      <c r="X1012" s="62"/>
      <c r="Y1012" s="62"/>
      <c r="Z1012" s="68"/>
      <c r="AA1012" s="86"/>
      <c r="AB1012" s="60"/>
      <c r="AC1012" s="60"/>
      <c r="AD1012" s="60"/>
      <c r="AE1012" s="60"/>
      <c r="AF1012" s="62"/>
      <c r="AG1012" s="62"/>
      <c r="AH1012" s="62"/>
      <c r="AI1012" s="61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</row>
    <row r="1013" spans="1:52" x14ac:dyDescent="0.25">
      <c r="A1013" s="62"/>
      <c r="B1013" s="68"/>
      <c r="C1013" s="86"/>
      <c r="D1013" s="60"/>
      <c r="E1013" s="60"/>
      <c r="F1013" s="60"/>
      <c r="G1013" s="60"/>
      <c r="H1013" s="62"/>
      <c r="I1013" s="62"/>
      <c r="J1013" s="62"/>
      <c r="K1013" s="61"/>
      <c r="L1013" s="62"/>
      <c r="M1013" s="62"/>
      <c r="N1013" s="68"/>
      <c r="O1013" s="86"/>
      <c r="P1013" s="71"/>
      <c r="Q1013" s="86"/>
      <c r="R1013" s="86"/>
      <c r="S1013" s="60"/>
      <c r="T1013" s="62"/>
      <c r="U1013" s="62"/>
      <c r="V1013" s="62"/>
      <c r="W1013" s="61"/>
      <c r="X1013" s="62"/>
      <c r="Y1013" s="62"/>
      <c r="Z1013" s="68"/>
      <c r="AA1013" s="86"/>
      <c r="AB1013" s="60"/>
      <c r="AC1013" s="60"/>
      <c r="AD1013" s="60"/>
      <c r="AE1013" s="60"/>
      <c r="AF1013" s="62"/>
      <c r="AG1013" s="62"/>
      <c r="AH1013" s="62"/>
      <c r="AI1013" s="61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</row>
    <row r="1014" spans="1:52" x14ac:dyDescent="0.25">
      <c r="A1014" s="62"/>
      <c r="B1014" s="68"/>
      <c r="C1014" s="86"/>
      <c r="D1014" s="60"/>
      <c r="E1014" s="60"/>
      <c r="F1014" s="60"/>
      <c r="G1014" s="60"/>
      <c r="H1014" s="62"/>
      <c r="I1014" s="62"/>
      <c r="J1014" s="62"/>
      <c r="K1014" s="61"/>
      <c r="L1014" s="62"/>
      <c r="M1014" s="62"/>
      <c r="N1014" s="68"/>
      <c r="O1014" s="86"/>
      <c r="P1014" s="71"/>
      <c r="Q1014" s="86"/>
      <c r="R1014" s="86"/>
      <c r="S1014" s="60"/>
      <c r="T1014" s="62"/>
      <c r="U1014" s="62"/>
      <c r="V1014" s="62"/>
      <c r="W1014" s="61"/>
      <c r="X1014" s="62"/>
      <c r="Y1014" s="62"/>
      <c r="Z1014" s="68"/>
      <c r="AA1014" s="86"/>
      <c r="AB1014" s="60"/>
      <c r="AC1014" s="60"/>
      <c r="AD1014" s="60"/>
      <c r="AE1014" s="60"/>
      <c r="AF1014" s="62"/>
      <c r="AG1014" s="62"/>
      <c r="AH1014" s="62"/>
      <c r="AI1014" s="61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</row>
    <row r="1015" spans="1:52" x14ac:dyDescent="0.25">
      <c r="A1015" s="62"/>
      <c r="B1015" s="68"/>
      <c r="C1015" s="86"/>
      <c r="D1015" s="60"/>
      <c r="E1015" s="60"/>
      <c r="F1015" s="60"/>
      <c r="G1015" s="60"/>
      <c r="H1015" s="62"/>
      <c r="I1015" s="62"/>
      <c r="J1015" s="62"/>
      <c r="K1015" s="61"/>
      <c r="L1015" s="62"/>
      <c r="M1015" s="62"/>
      <c r="N1015" s="68"/>
      <c r="O1015" s="86"/>
      <c r="P1015" s="71"/>
      <c r="Q1015" s="86"/>
      <c r="R1015" s="86"/>
      <c r="S1015" s="60"/>
      <c r="T1015" s="62"/>
      <c r="U1015" s="62"/>
      <c r="V1015" s="62"/>
      <c r="W1015" s="61"/>
      <c r="X1015" s="62"/>
      <c r="Y1015" s="62"/>
      <c r="Z1015" s="68"/>
      <c r="AA1015" s="86"/>
      <c r="AB1015" s="60"/>
      <c r="AC1015" s="60"/>
      <c r="AD1015" s="60"/>
      <c r="AE1015" s="60"/>
      <c r="AF1015" s="62"/>
      <c r="AG1015" s="62"/>
      <c r="AH1015" s="62"/>
      <c r="AI1015" s="61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</row>
    <row r="1016" spans="1:52" x14ac:dyDescent="0.25">
      <c r="A1016" s="62"/>
      <c r="B1016" s="68"/>
      <c r="C1016" s="86"/>
      <c r="D1016" s="60"/>
      <c r="E1016" s="60"/>
      <c r="F1016" s="60"/>
      <c r="G1016" s="60"/>
      <c r="H1016" s="62"/>
      <c r="I1016" s="62"/>
      <c r="J1016" s="62"/>
      <c r="K1016" s="61"/>
      <c r="L1016" s="62"/>
      <c r="M1016" s="62"/>
      <c r="N1016" s="68"/>
      <c r="O1016" s="86"/>
      <c r="P1016" s="71"/>
      <c r="Q1016" s="86"/>
      <c r="R1016" s="86"/>
      <c r="S1016" s="60"/>
      <c r="T1016" s="62"/>
      <c r="U1016" s="62"/>
      <c r="V1016" s="62"/>
      <c r="W1016" s="61"/>
      <c r="X1016" s="62"/>
      <c r="Y1016" s="62"/>
      <c r="Z1016" s="68"/>
      <c r="AA1016" s="86"/>
      <c r="AB1016" s="60"/>
      <c r="AC1016" s="60"/>
      <c r="AD1016" s="60"/>
      <c r="AE1016" s="60"/>
      <c r="AF1016" s="62"/>
      <c r="AG1016" s="62"/>
      <c r="AH1016" s="62"/>
      <c r="AI1016" s="61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</row>
    <row r="1017" spans="1:52" x14ac:dyDescent="0.25">
      <c r="A1017" s="62"/>
      <c r="B1017" s="68"/>
      <c r="C1017" s="86"/>
      <c r="D1017" s="60"/>
      <c r="E1017" s="60"/>
      <c r="F1017" s="60"/>
      <c r="G1017" s="60"/>
      <c r="H1017" s="62"/>
      <c r="I1017" s="62"/>
      <c r="J1017" s="62"/>
      <c r="K1017" s="61"/>
      <c r="L1017" s="62"/>
      <c r="M1017" s="62"/>
      <c r="N1017" s="68"/>
      <c r="O1017" s="86"/>
      <c r="P1017" s="71"/>
      <c r="Q1017" s="86"/>
      <c r="R1017" s="86"/>
      <c r="S1017" s="60"/>
      <c r="T1017" s="62"/>
      <c r="U1017" s="62"/>
      <c r="V1017" s="62"/>
      <c r="W1017" s="61"/>
      <c r="X1017" s="62"/>
      <c r="Y1017" s="62"/>
      <c r="Z1017" s="68"/>
      <c r="AA1017" s="86"/>
      <c r="AB1017" s="60"/>
      <c r="AC1017" s="60"/>
      <c r="AD1017" s="60"/>
      <c r="AE1017" s="60"/>
      <c r="AF1017" s="62"/>
      <c r="AG1017" s="62"/>
      <c r="AH1017" s="62"/>
      <c r="AI1017" s="61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</row>
    <row r="1018" spans="1:52" x14ac:dyDescent="0.25">
      <c r="A1018" s="62"/>
      <c r="B1018" s="68"/>
      <c r="C1018" s="86"/>
      <c r="D1018" s="60"/>
      <c r="E1018" s="60"/>
      <c r="F1018" s="60"/>
      <c r="G1018" s="60"/>
      <c r="H1018" s="62"/>
      <c r="I1018" s="62"/>
      <c r="J1018" s="62"/>
      <c r="K1018" s="61"/>
      <c r="L1018" s="62"/>
      <c r="M1018" s="62"/>
      <c r="N1018" s="68"/>
      <c r="O1018" s="62"/>
      <c r="P1018" s="71"/>
      <c r="Q1018" s="86"/>
      <c r="R1018" s="86"/>
      <c r="S1018" s="60"/>
      <c r="T1018" s="62"/>
      <c r="U1018" s="62"/>
      <c r="V1018" s="62"/>
      <c r="W1018" s="61"/>
      <c r="X1018" s="62"/>
      <c r="Y1018" s="62"/>
      <c r="Z1018" s="68"/>
      <c r="AA1018" s="86"/>
      <c r="AB1018" s="60"/>
      <c r="AC1018" s="60"/>
      <c r="AD1018" s="60"/>
      <c r="AE1018" s="60"/>
      <c r="AF1018" s="62"/>
      <c r="AG1018" s="62"/>
      <c r="AH1018" s="62"/>
      <c r="AI1018" s="61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</row>
    <row r="1019" spans="1:52" x14ac:dyDescent="0.25">
      <c r="A1019" s="62"/>
      <c r="B1019" s="68"/>
      <c r="C1019" s="86"/>
      <c r="D1019" s="60"/>
      <c r="E1019" s="60"/>
      <c r="F1019" s="60"/>
      <c r="G1019" s="60"/>
      <c r="H1019" s="62"/>
      <c r="I1019" s="62"/>
      <c r="J1019" s="62"/>
      <c r="K1019" s="61"/>
      <c r="L1019" s="62"/>
      <c r="M1019" s="62"/>
      <c r="N1019" s="68"/>
      <c r="O1019" s="86"/>
      <c r="P1019" s="71"/>
      <c r="Q1019" s="86"/>
      <c r="R1019" s="86"/>
      <c r="S1019" s="60"/>
      <c r="T1019" s="62"/>
      <c r="U1019" s="62"/>
      <c r="V1019" s="62"/>
      <c r="W1019" s="61"/>
      <c r="X1019" s="62"/>
      <c r="Y1019" s="62"/>
      <c r="Z1019" s="68"/>
      <c r="AA1019" s="86"/>
      <c r="AB1019" s="60"/>
      <c r="AC1019" s="60"/>
      <c r="AD1019" s="60"/>
      <c r="AE1019" s="60"/>
      <c r="AF1019" s="62"/>
      <c r="AG1019" s="62"/>
      <c r="AH1019" s="62"/>
      <c r="AI1019" s="61"/>
      <c r="AJ1019" s="62"/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</row>
    <row r="1020" spans="1:52" x14ac:dyDescent="0.25">
      <c r="A1020" s="62"/>
      <c r="B1020" s="68"/>
      <c r="C1020" s="68"/>
      <c r="D1020" s="60"/>
      <c r="E1020" s="60"/>
      <c r="F1020" s="60"/>
      <c r="G1020" s="60"/>
      <c r="H1020" s="62"/>
      <c r="I1020" s="62"/>
      <c r="J1020" s="62"/>
      <c r="K1020" s="61"/>
      <c r="L1020" s="62"/>
      <c r="M1020" s="62"/>
      <c r="N1020" s="86"/>
      <c r="O1020" s="86"/>
      <c r="P1020" s="86"/>
      <c r="Q1020" s="86"/>
      <c r="R1020" s="86"/>
      <c r="S1020" s="86"/>
      <c r="T1020" s="62"/>
      <c r="U1020" s="62"/>
      <c r="V1020" s="62"/>
      <c r="W1020" s="61"/>
      <c r="X1020" s="62"/>
      <c r="Y1020" s="62"/>
      <c r="Z1020" s="68"/>
      <c r="AA1020" s="68"/>
      <c r="AB1020" s="60"/>
      <c r="AC1020" s="60"/>
      <c r="AD1020" s="60"/>
      <c r="AE1020" s="60"/>
      <c r="AF1020" s="62"/>
      <c r="AG1020" s="62"/>
      <c r="AH1020" s="62"/>
      <c r="AI1020" s="61"/>
      <c r="AJ1020" s="62"/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</row>
    <row r="1021" spans="1:52" x14ac:dyDescent="0.25">
      <c r="A1021" s="62"/>
      <c r="B1021" s="86"/>
      <c r="C1021" s="86"/>
      <c r="D1021" s="86"/>
      <c r="E1021" s="86"/>
      <c r="F1021" s="86"/>
      <c r="G1021" s="86"/>
      <c r="H1021" s="62"/>
      <c r="I1021" s="62"/>
      <c r="J1021" s="62"/>
      <c r="K1021" s="62"/>
      <c r="L1021" s="62"/>
      <c r="M1021" s="62"/>
      <c r="N1021" s="86"/>
      <c r="O1021" s="86"/>
      <c r="P1021" s="86"/>
      <c r="Q1021" s="86"/>
      <c r="R1021" s="86"/>
      <c r="S1021" s="86"/>
      <c r="T1021" s="62"/>
      <c r="U1021" s="62"/>
      <c r="V1021" s="62"/>
      <c r="W1021" s="62"/>
      <c r="X1021" s="62"/>
      <c r="Y1021" s="62"/>
      <c r="Z1021" s="86"/>
      <c r="AA1021" s="86"/>
      <c r="AB1021" s="86"/>
      <c r="AC1021" s="86"/>
      <c r="AD1021" s="86"/>
      <c r="AE1021" s="86"/>
      <c r="AF1021" s="62"/>
      <c r="AG1021" s="62"/>
      <c r="AH1021" s="62"/>
      <c r="AI1021" s="62"/>
      <c r="AJ1021" s="62"/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</row>
    <row r="1022" spans="1:52" x14ac:dyDescent="0.25">
      <c r="A1022" s="62"/>
      <c r="B1022" s="86"/>
      <c r="C1022" s="86"/>
      <c r="D1022" s="72"/>
      <c r="E1022" s="72"/>
      <c r="F1022" s="72"/>
      <c r="G1022" s="72"/>
      <c r="H1022" s="64"/>
      <c r="I1022" s="72"/>
      <c r="J1022" s="72"/>
      <c r="K1022" s="72"/>
      <c r="L1022" s="62"/>
      <c r="M1022" s="62"/>
      <c r="N1022" s="86"/>
      <c r="O1022" s="86"/>
      <c r="P1022" s="72"/>
      <c r="Q1022" s="72"/>
      <c r="R1022" s="72"/>
      <c r="S1022" s="72"/>
      <c r="T1022" s="64"/>
      <c r="U1022" s="73"/>
      <c r="V1022" s="73"/>
      <c r="W1022" s="73"/>
      <c r="X1022" s="62"/>
      <c r="Y1022" s="62"/>
      <c r="Z1022" s="86"/>
      <c r="AA1022" s="86"/>
      <c r="AB1022" s="72"/>
      <c r="AC1022" s="72"/>
      <c r="AD1022" s="72"/>
      <c r="AE1022" s="72"/>
      <c r="AF1022" s="64"/>
      <c r="AG1022" s="72"/>
      <c r="AH1022" s="72"/>
      <c r="AI1022" s="72"/>
      <c r="AJ1022" s="62"/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</row>
    <row r="1023" spans="1:52" x14ac:dyDescent="0.25">
      <c r="A1023" s="62"/>
      <c r="B1023" s="62"/>
      <c r="C1023" s="62"/>
      <c r="D1023" s="62"/>
      <c r="E1023" s="62"/>
      <c r="F1023" s="62"/>
      <c r="G1023" s="62"/>
      <c r="H1023" s="62"/>
      <c r="I1023" s="62"/>
      <c r="J1023" s="62"/>
      <c r="K1023" s="62"/>
      <c r="L1023" s="62"/>
      <c r="M1023" s="62"/>
      <c r="N1023" s="62"/>
      <c r="O1023" s="62"/>
      <c r="P1023" s="62"/>
      <c r="Q1023" s="62"/>
      <c r="R1023" s="62"/>
      <c r="S1023" s="62"/>
      <c r="T1023" s="62"/>
      <c r="U1023" s="62"/>
      <c r="V1023" s="62"/>
      <c r="W1023" s="62"/>
      <c r="X1023" s="62"/>
      <c r="Y1023" s="62"/>
      <c r="Z1023" s="62"/>
      <c r="AA1023" s="62"/>
      <c r="AB1023" s="62"/>
      <c r="AC1023" s="62"/>
      <c r="AD1023" s="62"/>
      <c r="AE1023" s="62"/>
      <c r="AF1023" s="62"/>
      <c r="AG1023" s="62"/>
      <c r="AH1023" s="62"/>
      <c r="AI1023" s="62"/>
      <c r="AJ1023" s="62"/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</row>
    <row r="1024" spans="1:52" x14ac:dyDescent="0.25">
      <c r="A1024" s="62"/>
      <c r="B1024" s="86"/>
      <c r="C1024" s="86"/>
      <c r="D1024" s="86"/>
      <c r="E1024" s="86"/>
      <c r="F1024" s="86"/>
      <c r="G1024" s="86"/>
      <c r="H1024" s="62"/>
      <c r="I1024" s="62"/>
      <c r="J1024" s="62"/>
      <c r="K1024" s="62"/>
      <c r="L1024" s="62"/>
      <c r="M1024" s="62"/>
      <c r="N1024" s="86"/>
      <c r="O1024" s="86"/>
      <c r="P1024" s="86"/>
      <c r="Q1024" s="86"/>
      <c r="R1024" s="86"/>
      <c r="S1024" s="86"/>
      <c r="T1024" s="62"/>
      <c r="U1024" s="62"/>
      <c r="V1024" s="62"/>
      <c r="W1024" s="62"/>
      <c r="X1024" s="62"/>
      <c r="Y1024" s="62"/>
      <c r="Z1024" s="86"/>
      <c r="AA1024" s="86"/>
      <c r="AB1024" s="86"/>
      <c r="AC1024" s="86"/>
      <c r="AD1024" s="86"/>
      <c r="AE1024" s="86"/>
      <c r="AF1024" s="62"/>
      <c r="AG1024" s="62"/>
      <c r="AH1024" s="62"/>
      <c r="AI1024" s="62"/>
      <c r="AJ1024" s="62"/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</row>
    <row r="1025" spans="1:52" x14ac:dyDescent="0.25">
      <c r="A1025" s="62"/>
      <c r="B1025" s="86"/>
      <c r="C1025" s="86"/>
      <c r="D1025" s="86"/>
      <c r="E1025" s="86"/>
      <c r="F1025" s="86"/>
      <c r="G1025" s="86"/>
      <c r="H1025" s="62"/>
      <c r="I1025" s="62"/>
      <c r="J1025" s="62"/>
      <c r="K1025" s="62"/>
      <c r="L1025" s="62"/>
      <c r="M1025" s="62"/>
      <c r="N1025" s="86"/>
      <c r="O1025" s="86"/>
      <c r="P1025" s="86"/>
      <c r="Q1025" s="86"/>
      <c r="R1025" s="86"/>
      <c r="S1025" s="86"/>
      <c r="T1025" s="62"/>
      <c r="U1025" s="62"/>
      <c r="V1025" s="62"/>
      <c r="W1025" s="62"/>
      <c r="X1025" s="62"/>
      <c r="Y1025" s="62"/>
      <c r="Z1025" s="86"/>
      <c r="AA1025" s="86"/>
      <c r="AB1025" s="86"/>
      <c r="AC1025" s="86"/>
      <c r="AD1025" s="86"/>
      <c r="AE1025" s="86"/>
      <c r="AF1025" s="62"/>
      <c r="AG1025" s="62"/>
      <c r="AH1025" s="62"/>
      <c r="AI1025" s="62"/>
      <c r="AJ1025" s="62"/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</row>
    <row r="1026" spans="1:52" x14ac:dyDescent="0.25">
      <c r="A1026" s="62"/>
      <c r="B1026" s="86"/>
      <c r="C1026" s="86"/>
      <c r="D1026" s="86"/>
      <c r="E1026" s="86"/>
      <c r="F1026" s="86"/>
      <c r="G1026" s="86"/>
      <c r="H1026" s="62"/>
      <c r="I1026" s="62"/>
      <c r="J1026" s="62"/>
      <c r="K1026" s="62"/>
      <c r="L1026" s="62"/>
      <c r="M1026" s="62"/>
      <c r="N1026" s="86"/>
      <c r="O1026" s="86"/>
      <c r="P1026" s="86"/>
      <c r="Q1026" s="86"/>
      <c r="R1026" s="86"/>
      <c r="S1026" s="86"/>
      <c r="T1026" s="62"/>
      <c r="U1026" s="62"/>
      <c r="V1026" s="62"/>
      <c r="W1026" s="62"/>
      <c r="X1026" s="62"/>
      <c r="Y1026" s="62"/>
      <c r="Z1026" s="86"/>
      <c r="AA1026" s="86"/>
      <c r="AB1026" s="86"/>
      <c r="AC1026" s="86"/>
      <c r="AD1026" s="86"/>
      <c r="AE1026" s="86"/>
      <c r="AF1026" s="62"/>
      <c r="AG1026" s="62"/>
      <c r="AH1026" s="62"/>
      <c r="AI1026" s="62"/>
      <c r="AJ1026" s="62"/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</row>
    <row r="1027" spans="1:52" x14ac:dyDescent="0.25">
      <c r="A1027" s="64"/>
      <c r="B1027" s="86"/>
      <c r="C1027" s="86"/>
      <c r="D1027" s="86"/>
      <c r="E1027" s="86"/>
      <c r="F1027" s="86"/>
      <c r="G1027" s="86"/>
      <c r="H1027" s="62"/>
      <c r="I1027" s="62"/>
      <c r="J1027" s="62"/>
      <c r="K1027" s="62"/>
      <c r="L1027" s="62"/>
      <c r="M1027" s="64"/>
      <c r="N1027" s="86"/>
      <c r="O1027" s="86"/>
      <c r="P1027" s="86"/>
      <c r="Q1027" s="86"/>
      <c r="R1027" s="86"/>
      <c r="S1027" s="86"/>
      <c r="T1027" s="62"/>
      <c r="U1027" s="62"/>
      <c r="V1027" s="62"/>
      <c r="W1027" s="62"/>
      <c r="X1027" s="62"/>
      <c r="Y1027" s="64"/>
      <c r="Z1027" s="86"/>
      <c r="AA1027" s="86"/>
      <c r="AB1027" s="86"/>
      <c r="AC1027" s="86"/>
      <c r="AD1027" s="86"/>
      <c r="AE1027" s="86"/>
      <c r="AF1027" s="62"/>
      <c r="AG1027" s="62"/>
      <c r="AH1027" s="62"/>
      <c r="AI1027" s="62"/>
      <c r="AJ1027" s="62"/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</row>
    <row r="1028" spans="1:52" x14ac:dyDescent="0.25">
      <c r="A1028" s="62"/>
      <c r="B1028" s="86"/>
      <c r="C1028" s="86"/>
      <c r="D1028" s="86"/>
      <c r="E1028" s="86"/>
      <c r="F1028" s="86"/>
      <c r="G1028" s="86"/>
      <c r="H1028" s="62"/>
      <c r="I1028" s="62"/>
      <c r="J1028" s="62"/>
      <c r="K1028" s="62"/>
      <c r="L1028" s="62"/>
      <c r="M1028" s="62"/>
      <c r="N1028" s="86"/>
      <c r="O1028" s="86"/>
      <c r="P1028" s="86"/>
      <c r="Q1028" s="86"/>
      <c r="R1028" s="86"/>
      <c r="S1028" s="86"/>
      <c r="T1028" s="62"/>
      <c r="U1028" s="62"/>
      <c r="V1028" s="62"/>
      <c r="W1028" s="62"/>
      <c r="X1028" s="62"/>
      <c r="Y1028" s="62"/>
      <c r="Z1028" s="86"/>
      <c r="AA1028" s="86"/>
      <c r="AB1028" s="86"/>
      <c r="AC1028" s="86"/>
      <c r="AD1028" s="86"/>
      <c r="AE1028" s="86"/>
      <c r="AF1028" s="62"/>
      <c r="AG1028" s="62"/>
      <c r="AH1028" s="62"/>
      <c r="AI1028" s="62"/>
      <c r="AJ1028" s="62"/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</row>
    <row r="1029" spans="1:52" ht="15.75" x14ac:dyDescent="0.25">
      <c r="A1029" s="62"/>
      <c r="B1029" s="86"/>
      <c r="C1029" s="86"/>
      <c r="D1029" s="86"/>
      <c r="E1029" s="86"/>
      <c r="F1029" s="86"/>
      <c r="G1029" s="86"/>
      <c r="H1029" s="62"/>
      <c r="I1029" s="86"/>
      <c r="J1029" s="77"/>
      <c r="K1029" s="62"/>
      <c r="L1029" s="62"/>
      <c r="M1029" s="62"/>
      <c r="N1029" s="86"/>
      <c r="O1029" s="86"/>
      <c r="P1029" s="86"/>
      <c r="Q1029" s="86"/>
      <c r="R1029" s="86"/>
      <c r="S1029" s="86"/>
      <c r="T1029" s="62"/>
      <c r="U1029" s="86"/>
      <c r="V1029" s="77"/>
      <c r="W1029" s="62"/>
      <c r="X1029" s="62"/>
      <c r="Y1029" s="62"/>
      <c r="Z1029" s="86"/>
      <c r="AA1029" s="86"/>
      <c r="AB1029" s="86"/>
      <c r="AC1029" s="86"/>
      <c r="AD1029" s="86"/>
      <c r="AE1029" s="86"/>
      <c r="AF1029" s="62"/>
      <c r="AG1029" s="86"/>
      <c r="AH1029" s="86"/>
      <c r="AI1029" s="62"/>
      <c r="AJ1029" s="62"/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</row>
    <row r="1030" spans="1:52" x14ac:dyDescent="0.25">
      <c r="A1030" s="65"/>
      <c r="B1030" s="86"/>
      <c r="C1030" s="86"/>
      <c r="D1030" s="86"/>
      <c r="E1030" s="86"/>
      <c r="F1030" s="86"/>
      <c r="G1030" s="86"/>
      <c r="H1030" s="62"/>
      <c r="I1030" s="66"/>
      <c r="J1030" s="66"/>
      <c r="K1030" s="62"/>
      <c r="L1030" s="62"/>
      <c r="M1030" s="65"/>
      <c r="N1030" s="86"/>
      <c r="O1030" s="86"/>
      <c r="P1030" s="86"/>
      <c r="Q1030" s="86"/>
      <c r="R1030" s="86"/>
      <c r="S1030" s="86"/>
      <c r="T1030" s="62"/>
      <c r="U1030" s="66"/>
      <c r="V1030" s="66"/>
      <c r="W1030" s="62"/>
      <c r="X1030" s="62"/>
      <c r="Y1030" s="65"/>
      <c r="Z1030" s="86"/>
      <c r="AA1030" s="86"/>
      <c r="AB1030" s="86"/>
      <c r="AC1030" s="86"/>
      <c r="AD1030" s="86"/>
      <c r="AE1030" s="86"/>
      <c r="AF1030" s="62"/>
      <c r="AG1030" s="66"/>
      <c r="AH1030" s="66"/>
      <c r="AI1030" s="62"/>
      <c r="AJ1030" s="62"/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</row>
    <row r="1031" spans="1:52" x14ac:dyDescent="0.25">
      <c r="A1031" s="62"/>
      <c r="B1031" s="86"/>
      <c r="C1031" s="86"/>
      <c r="D1031" s="86"/>
      <c r="E1031" s="86"/>
      <c r="F1031" s="86"/>
      <c r="G1031" s="86"/>
      <c r="H1031" s="62"/>
      <c r="I1031" s="62"/>
      <c r="J1031" s="62"/>
      <c r="K1031" s="62"/>
      <c r="L1031" s="62"/>
      <c r="M1031" s="62"/>
      <c r="N1031" s="86"/>
      <c r="O1031" s="86"/>
      <c r="P1031" s="86"/>
      <c r="Q1031" s="86"/>
      <c r="R1031" s="86"/>
      <c r="S1031" s="86"/>
      <c r="T1031" s="62"/>
      <c r="U1031" s="62"/>
      <c r="V1031" s="62"/>
      <c r="W1031" s="62"/>
      <c r="X1031" s="62"/>
      <c r="Y1031" s="62"/>
      <c r="Z1031" s="86"/>
      <c r="AA1031" s="86"/>
      <c r="AB1031" s="86"/>
      <c r="AC1031" s="86"/>
      <c r="AD1031" s="86"/>
      <c r="AE1031" s="86"/>
      <c r="AF1031" s="62"/>
      <c r="AG1031" s="62"/>
      <c r="AH1031" s="62"/>
      <c r="AI1031" s="62"/>
      <c r="AJ1031" s="62"/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</row>
    <row r="1032" spans="1:52" x14ac:dyDescent="0.25">
      <c r="A1032" s="62"/>
      <c r="B1032" s="66"/>
      <c r="C1032" s="86"/>
      <c r="D1032" s="116"/>
      <c r="E1032" s="116"/>
      <c r="F1032" s="86"/>
      <c r="G1032" s="86"/>
      <c r="H1032" s="62"/>
      <c r="I1032" s="116"/>
      <c r="J1032" s="116"/>
      <c r="K1032" s="115"/>
      <c r="L1032" s="62"/>
      <c r="M1032" s="62"/>
      <c r="N1032" s="66"/>
      <c r="O1032" s="86"/>
      <c r="P1032" s="116"/>
      <c r="Q1032" s="116"/>
      <c r="R1032" s="86"/>
      <c r="S1032" s="86"/>
      <c r="T1032" s="62"/>
      <c r="U1032" s="116"/>
      <c r="V1032" s="116"/>
      <c r="W1032" s="115"/>
      <c r="X1032" s="62"/>
      <c r="Y1032" s="62"/>
      <c r="Z1032" s="66"/>
      <c r="AA1032" s="86"/>
      <c r="AB1032" s="116"/>
      <c r="AC1032" s="116"/>
      <c r="AD1032" s="86"/>
      <c r="AE1032" s="86"/>
      <c r="AF1032" s="62"/>
      <c r="AG1032" s="116"/>
      <c r="AH1032" s="116"/>
      <c r="AI1032" s="115"/>
      <c r="AJ1032" s="62"/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</row>
    <row r="1033" spans="1:52" x14ac:dyDescent="0.25">
      <c r="A1033" s="62"/>
      <c r="B1033" s="86"/>
      <c r="C1033" s="86"/>
      <c r="D1033" s="87"/>
      <c r="E1033" s="88"/>
      <c r="F1033" s="89"/>
      <c r="G1033" s="89"/>
      <c r="H1033" s="62"/>
      <c r="I1033" s="85"/>
      <c r="J1033" s="85"/>
      <c r="K1033" s="115"/>
      <c r="L1033" s="62"/>
      <c r="M1033" s="62"/>
      <c r="N1033" s="86"/>
      <c r="O1033" s="86"/>
      <c r="P1033" s="87"/>
      <c r="Q1033" s="89"/>
      <c r="R1033" s="89"/>
      <c r="S1033" s="89"/>
      <c r="T1033" s="62"/>
      <c r="U1033" s="85"/>
      <c r="V1033" s="85"/>
      <c r="W1033" s="115"/>
      <c r="X1033" s="62"/>
      <c r="Y1033" s="62"/>
      <c r="Z1033" s="86"/>
      <c r="AA1033" s="86"/>
      <c r="AB1033" s="87"/>
      <c r="AC1033" s="88"/>
      <c r="AD1033" s="89"/>
      <c r="AE1033" s="89"/>
      <c r="AF1033" s="62"/>
      <c r="AG1033" s="85"/>
      <c r="AH1033" s="85"/>
      <c r="AI1033" s="115"/>
      <c r="AJ1033" s="62"/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</row>
    <row r="1034" spans="1:52" x14ac:dyDescent="0.25">
      <c r="A1034" s="62"/>
      <c r="B1034" s="68"/>
      <c r="C1034" s="86"/>
      <c r="D1034" s="60"/>
      <c r="E1034" s="60"/>
      <c r="F1034" s="60"/>
      <c r="G1034" s="60"/>
      <c r="H1034" s="61"/>
      <c r="I1034" s="61"/>
      <c r="J1034" s="61"/>
      <c r="K1034" s="61"/>
      <c r="L1034" s="62"/>
      <c r="M1034" s="62"/>
      <c r="N1034" s="68"/>
      <c r="O1034" s="86"/>
      <c r="P1034" s="60"/>
      <c r="Q1034" s="60"/>
      <c r="R1034" s="60"/>
      <c r="S1034" s="60"/>
      <c r="T1034" s="61"/>
      <c r="U1034" s="61"/>
      <c r="V1034" s="61"/>
      <c r="W1034" s="61"/>
      <c r="X1034" s="62"/>
      <c r="Y1034" s="62"/>
      <c r="Z1034" s="68"/>
      <c r="AA1034" s="86"/>
      <c r="AB1034" s="60"/>
      <c r="AC1034" s="60"/>
      <c r="AD1034" s="60"/>
      <c r="AE1034" s="60"/>
      <c r="AF1034" s="61"/>
      <c r="AG1034" s="61"/>
      <c r="AH1034" s="61"/>
      <c r="AI1034" s="61"/>
      <c r="AJ1034" s="62"/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</row>
    <row r="1035" spans="1:52" x14ac:dyDescent="0.25">
      <c r="A1035" s="62"/>
      <c r="B1035" s="68"/>
      <c r="C1035" s="86"/>
      <c r="D1035" s="60"/>
      <c r="E1035" s="60"/>
      <c r="F1035" s="60"/>
      <c r="G1035" s="60"/>
      <c r="H1035" s="61"/>
      <c r="I1035" s="61"/>
      <c r="J1035" s="61"/>
      <c r="K1035" s="61"/>
      <c r="L1035" s="62"/>
      <c r="M1035" s="62"/>
      <c r="N1035" s="68"/>
      <c r="O1035" s="86"/>
      <c r="P1035" s="60"/>
      <c r="Q1035" s="60"/>
      <c r="R1035" s="60"/>
      <c r="S1035" s="60"/>
      <c r="T1035" s="61"/>
      <c r="U1035" s="61"/>
      <c r="V1035" s="61"/>
      <c r="W1035" s="61"/>
      <c r="X1035" s="62"/>
      <c r="Y1035" s="62"/>
      <c r="Z1035" s="68"/>
      <c r="AA1035" s="86"/>
      <c r="AB1035" s="60"/>
      <c r="AC1035" s="60"/>
      <c r="AD1035" s="60"/>
      <c r="AE1035" s="60"/>
      <c r="AF1035" s="61"/>
      <c r="AG1035" s="61"/>
      <c r="AH1035" s="61"/>
      <c r="AI1035" s="61"/>
      <c r="AJ1035" s="62"/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</row>
    <row r="1036" spans="1:52" x14ac:dyDescent="0.25">
      <c r="A1036" s="62"/>
      <c r="B1036" s="68"/>
      <c r="C1036" s="86"/>
      <c r="D1036" s="60"/>
      <c r="E1036" s="60"/>
      <c r="F1036" s="60"/>
      <c r="G1036" s="60"/>
      <c r="H1036" s="61"/>
      <c r="I1036" s="61"/>
      <c r="J1036" s="61"/>
      <c r="K1036" s="61"/>
      <c r="L1036" s="62"/>
      <c r="M1036" s="62"/>
      <c r="N1036" s="68"/>
      <c r="O1036" s="86"/>
      <c r="P1036" s="60"/>
      <c r="Q1036" s="60"/>
      <c r="R1036" s="60"/>
      <c r="S1036" s="60"/>
      <c r="T1036" s="61"/>
      <c r="U1036" s="61"/>
      <c r="V1036" s="61"/>
      <c r="W1036" s="61"/>
      <c r="X1036" s="62"/>
      <c r="Y1036" s="62"/>
      <c r="Z1036" s="68"/>
      <c r="AA1036" s="86"/>
      <c r="AB1036" s="60"/>
      <c r="AC1036" s="60"/>
      <c r="AD1036" s="60"/>
      <c r="AE1036" s="60"/>
      <c r="AF1036" s="61"/>
      <c r="AG1036" s="61"/>
      <c r="AH1036" s="61"/>
      <c r="AI1036" s="61"/>
      <c r="AJ1036" s="62"/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</row>
    <row r="1037" spans="1:52" x14ac:dyDescent="0.25">
      <c r="A1037" s="62"/>
      <c r="B1037" s="68"/>
      <c r="C1037" s="86"/>
      <c r="D1037" s="60"/>
      <c r="E1037" s="60"/>
      <c r="F1037" s="60"/>
      <c r="G1037" s="60"/>
      <c r="H1037" s="61"/>
      <c r="I1037" s="61"/>
      <c r="J1037" s="61"/>
      <c r="K1037" s="61"/>
      <c r="L1037" s="62"/>
      <c r="M1037" s="62"/>
      <c r="N1037" s="68"/>
      <c r="O1037" s="86"/>
      <c r="P1037" s="60"/>
      <c r="Q1037" s="60"/>
      <c r="R1037" s="60"/>
      <c r="S1037" s="60"/>
      <c r="T1037" s="61"/>
      <c r="U1037" s="61"/>
      <c r="V1037" s="61"/>
      <c r="W1037" s="61"/>
      <c r="X1037" s="62"/>
      <c r="Y1037" s="62"/>
      <c r="Z1037" s="68"/>
      <c r="AA1037" s="86"/>
      <c r="AB1037" s="60"/>
      <c r="AC1037" s="60"/>
      <c r="AD1037" s="60"/>
      <c r="AE1037" s="60"/>
      <c r="AF1037" s="61"/>
      <c r="AG1037" s="61"/>
      <c r="AH1037" s="61"/>
      <c r="AI1037" s="61"/>
      <c r="AJ1037" s="62"/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</row>
    <row r="1038" spans="1:52" x14ac:dyDescent="0.25">
      <c r="A1038" s="62"/>
      <c r="B1038" s="68"/>
      <c r="C1038" s="86"/>
      <c r="D1038" s="60"/>
      <c r="E1038" s="60"/>
      <c r="F1038" s="60"/>
      <c r="G1038" s="60"/>
      <c r="H1038" s="61"/>
      <c r="I1038" s="61"/>
      <c r="J1038" s="61"/>
      <c r="K1038" s="61"/>
      <c r="L1038" s="62"/>
      <c r="M1038" s="62"/>
      <c r="N1038" s="68"/>
      <c r="O1038" s="86"/>
      <c r="P1038" s="60"/>
      <c r="Q1038" s="60"/>
      <c r="R1038" s="60"/>
      <c r="S1038" s="60"/>
      <c r="T1038" s="61"/>
      <c r="U1038" s="61"/>
      <c r="V1038" s="61"/>
      <c r="W1038" s="61"/>
      <c r="X1038" s="62"/>
      <c r="Y1038" s="62"/>
      <c r="Z1038" s="68"/>
      <c r="AA1038" s="86"/>
      <c r="AB1038" s="60"/>
      <c r="AC1038" s="60"/>
      <c r="AD1038" s="60"/>
      <c r="AE1038" s="60"/>
      <c r="AF1038" s="61"/>
      <c r="AG1038" s="61"/>
      <c r="AH1038" s="61"/>
      <c r="AI1038" s="61"/>
      <c r="AJ1038" s="62"/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</row>
    <row r="1039" spans="1:52" x14ac:dyDescent="0.25">
      <c r="A1039" s="62"/>
      <c r="B1039" s="68"/>
      <c r="C1039" s="86"/>
      <c r="D1039" s="60"/>
      <c r="E1039" s="60"/>
      <c r="F1039" s="60"/>
      <c r="G1039" s="60"/>
      <c r="H1039" s="61"/>
      <c r="I1039" s="61"/>
      <c r="J1039" s="61"/>
      <c r="K1039" s="61"/>
      <c r="L1039" s="62"/>
      <c r="M1039" s="62"/>
      <c r="N1039" s="68"/>
      <c r="O1039" s="86"/>
      <c r="P1039" s="60"/>
      <c r="Q1039" s="60"/>
      <c r="R1039" s="60"/>
      <c r="S1039" s="60"/>
      <c r="T1039" s="61"/>
      <c r="U1039" s="61"/>
      <c r="V1039" s="62"/>
      <c r="W1039" s="61"/>
      <c r="X1039" s="62"/>
      <c r="Y1039" s="62"/>
      <c r="Z1039" s="68"/>
      <c r="AA1039" s="86"/>
      <c r="AB1039" s="60"/>
      <c r="AC1039" s="60"/>
      <c r="AD1039" s="60"/>
      <c r="AE1039" s="60"/>
      <c r="AF1039" s="61"/>
      <c r="AG1039" s="61"/>
      <c r="AH1039" s="61"/>
      <c r="AI1039" s="61"/>
      <c r="AJ1039" s="62"/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</row>
    <row r="1040" spans="1:52" x14ac:dyDescent="0.25">
      <c r="A1040" s="62"/>
      <c r="B1040" s="68"/>
      <c r="C1040" s="86"/>
      <c r="D1040" s="60"/>
      <c r="E1040" s="60"/>
      <c r="F1040" s="60"/>
      <c r="G1040" s="60"/>
      <c r="H1040" s="61"/>
      <c r="I1040" s="61"/>
      <c r="J1040" s="61"/>
      <c r="K1040" s="61"/>
      <c r="L1040" s="62"/>
      <c r="M1040" s="62"/>
      <c r="N1040" s="68"/>
      <c r="O1040" s="66"/>
      <c r="P1040" s="60"/>
      <c r="Q1040" s="60"/>
      <c r="R1040" s="60"/>
      <c r="S1040" s="60"/>
      <c r="T1040" s="61"/>
      <c r="U1040" s="61"/>
      <c r="V1040" s="61"/>
      <c r="W1040" s="61"/>
      <c r="X1040" s="62"/>
      <c r="Y1040" s="62"/>
      <c r="Z1040" s="68"/>
      <c r="AA1040" s="86"/>
      <c r="AB1040" s="60"/>
      <c r="AC1040" s="60"/>
      <c r="AD1040" s="60"/>
      <c r="AE1040" s="60"/>
      <c r="AF1040" s="61"/>
      <c r="AG1040" s="61"/>
      <c r="AH1040" s="61"/>
      <c r="AI1040" s="61"/>
      <c r="AJ1040" s="62"/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</row>
    <row r="1041" spans="1:52" x14ac:dyDescent="0.25">
      <c r="A1041" s="62"/>
      <c r="B1041" s="68"/>
      <c r="C1041" s="86"/>
      <c r="D1041" s="60"/>
      <c r="E1041" s="60"/>
      <c r="F1041" s="60"/>
      <c r="G1041" s="60"/>
      <c r="H1041" s="61"/>
      <c r="I1041" s="61"/>
      <c r="J1041" s="61"/>
      <c r="K1041" s="61"/>
      <c r="L1041" s="62"/>
      <c r="M1041" s="62"/>
      <c r="N1041" s="68"/>
      <c r="O1041" s="86"/>
      <c r="P1041" s="60"/>
      <c r="Q1041" s="60"/>
      <c r="R1041" s="60"/>
      <c r="S1041" s="60"/>
      <c r="T1041" s="61"/>
      <c r="U1041" s="61"/>
      <c r="V1041" s="61"/>
      <c r="W1041" s="61"/>
      <c r="X1041" s="62"/>
      <c r="Y1041" s="62"/>
      <c r="Z1041" s="68"/>
      <c r="AA1041" s="86"/>
      <c r="AB1041" s="60"/>
      <c r="AC1041" s="60"/>
      <c r="AD1041" s="60"/>
      <c r="AE1041" s="60"/>
      <c r="AF1041" s="61"/>
      <c r="AG1041" s="61"/>
      <c r="AH1041" s="61"/>
      <c r="AI1041" s="61"/>
      <c r="AJ1041" s="62"/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</row>
    <row r="1042" spans="1:52" x14ac:dyDescent="0.25">
      <c r="A1042" s="62"/>
      <c r="B1042" s="68"/>
      <c r="C1042" s="86"/>
      <c r="D1042" s="60"/>
      <c r="E1042" s="60"/>
      <c r="F1042" s="60"/>
      <c r="G1042" s="60"/>
      <c r="H1042" s="61"/>
      <c r="I1042" s="61"/>
      <c r="J1042" s="61"/>
      <c r="K1042" s="61"/>
      <c r="L1042" s="62"/>
      <c r="M1042" s="62"/>
      <c r="N1042" s="68"/>
      <c r="O1042" s="86"/>
      <c r="P1042" s="60"/>
      <c r="Q1042" s="60"/>
      <c r="R1042" s="60"/>
      <c r="S1042" s="60"/>
      <c r="T1042" s="61"/>
      <c r="U1042" s="61"/>
      <c r="V1042" s="61"/>
      <c r="W1042" s="61"/>
      <c r="X1042" s="62"/>
      <c r="Y1042" s="62"/>
      <c r="Z1042" s="68"/>
      <c r="AA1042" s="86"/>
      <c r="AB1042" s="60"/>
      <c r="AC1042" s="60"/>
      <c r="AD1042" s="60"/>
      <c r="AE1042" s="60"/>
      <c r="AF1042" s="61"/>
      <c r="AG1042" s="61"/>
      <c r="AH1042" s="61"/>
      <c r="AI1042" s="61"/>
      <c r="AJ1042" s="62"/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</row>
    <row r="1043" spans="1:52" x14ac:dyDescent="0.25">
      <c r="A1043" s="62"/>
      <c r="B1043" s="68"/>
      <c r="C1043" s="86"/>
      <c r="D1043" s="60"/>
      <c r="E1043" s="60"/>
      <c r="F1043" s="60"/>
      <c r="G1043" s="60"/>
      <c r="H1043" s="61"/>
      <c r="I1043" s="61"/>
      <c r="J1043" s="61"/>
      <c r="K1043" s="61"/>
      <c r="L1043" s="62"/>
      <c r="M1043" s="62"/>
      <c r="N1043" s="68"/>
      <c r="O1043" s="86"/>
      <c r="P1043" s="60"/>
      <c r="Q1043" s="60"/>
      <c r="R1043" s="60"/>
      <c r="S1043" s="60"/>
      <c r="T1043" s="61"/>
      <c r="U1043" s="61"/>
      <c r="V1043" s="61"/>
      <c r="W1043" s="61"/>
      <c r="X1043" s="62"/>
      <c r="Y1043" s="62"/>
      <c r="Z1043" s="68"/>
      <c r="AA1043" s="86"/>
      <c r="AB1043" s="60"/>
      <c r="AC1043" s="60"/>
      <c r="AD1043" s="60"/>
      <c r="AE1043" s="60"/>
      <c r="AF1043" s="61"/>
      <c r="AG1043" s="61"/>
      <c r="AH1043" s="61"/>
      <c r="AI1043" s="61"/>
      <c r="AJ1043" s="62"/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</row>
    <row r="1044" spans="1:52" x14ac:dyDescent="0.25">
      <c r="A1044" s="62"/>
      <c r="B1044" s="68"/>
      <c r="C1044" s="86"/>
      <c r="D1044" s="60"/>
      <c r="E1044" s="60"/>
      <c r="F1044" s="60"/>
      <c r="G1044" s="60"/>
      <c r="H1044" s="61"/>
      <c r="I1044" s="61"/>
      <c r="J1044" s="61"/>
      <c r="K1044" s="61"/>
      <c r="L1044" s="62"/>
      <c r="M1044" s="62"/>
      <c r="N1044" s="68"/>
      <c r="O1044" s="86"/>
      <c r="P1044" s="60"/>
      <c r="Q1044" s="60"/>
      <c r="R1044" s="60"/>
      <c r="S1044" s="60"/>
      <c r="T1044" s="61"/>
      <c r="U1044" s="61"/>
      <c r="V1044" s="61"/>
      <c r="W1044" s="61"/>
      <c r="X1044" s="62"/>
      <c r="Y1044" s="62"/>
      <c r="Z1044" s="68"/>
      <c r="AA1044" s="86"/>
      <c r="AB1044" s="60"/>
      <c r="AC1044" s="60"/>
      <c r="AD1044" s="60"/>
      <c r="AE1044" s="60"/>
      <c r="AF1044" s="61"/>
      <c r="AG1044" s="61"/>
      <c r="AH1044" s="61"/>
      <c r="AI1044" s="61"/>
      <c r="AJ1044" s="62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</row>
    <row r="1045" spans="1:52" x14ac:dyDescent="0.25">
      <c r="A1045" s="62"/>
      <c r="B1045" s="68"/>
      <c r="C1045" s="86"/>
      <c r="D1045" s="60"/>
      <c r="E1045" s="60"/>
      <c r="F1045" s="60"/>
      <c r="G1045" s="60"/>
      <c r="H1045" s="61"/>
      <c r="I1045" s="61"/>
      <c r="J1045" s="62"/>
      <c r="K1045" s="61"/>
      <c r="L1045" s="62"/>
      <c r="M1045" s="62"/>
      <c r="N1045" s="68"/>
      <c r="O1045" s="86"/>
      <c r="P1045" s="60"/>
      <c r="Q1045" s="60"/>
      <c r="R1045" s="60"/>
      <c r="S1045" s="60"/>
      <c r="T1045" s="61"/>
      <c r="U1045" s="61"/>
      <c r="V1045" s="61"/>
      <c r="W1045" s="61"/>
      <c r="X1045" s="62"/>
      <c r="Y1045" s="62"/>
      <c r="Z1045" s="68"/>
      <c r="AA1045" s="66"/>
      <c r="AB1045" s="60"/>
      <c r="AC1045" s="60"/>
      <c r="AD1045" s="60"/>
      <c r="AE1045" s="60"/>
      <c r="AF1045" s="61"/>
      <c r="AG1045" s="61"/>
      <c r="AH1045" s="62"/>
      <c r="AI1045" s="61"/>
      <c r="AJ1045" s="62"/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</row>
    <row r="1046" spans="1:52" x14ac:dyDescent="0.25">
      <c r="A1046" s="62"/>
      <c r="B1046" s="68"/>
      <c r="C1046" s="86"/>
      <c r="D1046" s="60"/>
      <c r="E1046" s="60"/>
      <c r="F1046" s="60"/>
      <c r="G1046" s="60"/>
      <c r="H1046" s="61"/>
      <c r="I1046" s="61"/>
      <c r="J1046" s="61"/>
      <c r="K1046" s="61"/>
      <c r="L1046" s="62"/>
      <c r="M1046" s="62"/>
      <c r="N1046" s="68"/>
      <c r="O1046" s="86"/>
      <c r="P1046" s="60"/>
      <c r="Q1046" s="60"/>
      <c r="R1046" s="60"/>
      <c r="S1046" s="60"/>
      <c r="T1046" s="61"/>
      <c r="U1046" s="61"/>
      <c r="V1046" s="61"/>
      <c r="W1046" s="61"/>
      <c r="X1046" s="62"/>
      <c r="Y1046" s="62"/>
      <c r="Z1046" s="68"/>
      <c r="AA1046" s="86"/>
      <c r="AB1046" s="60"/>
      <c r="AC1046" s="60"/>
      <c r="AD1046" s="60"/>
      <c r="AE1046" s="60"/>
      <c r="AF1046" s="61"/>
      <c r="AG1046" s="61"/>
      <c r="AH1046" s="61"/>
      <c r="AI1046" s="61"/>
      <c r="AJ1046" s="62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</row>
    <row r="1047" spans="1:52" x14ac:dyDescent="0.25">
      <c r="A1047" s="62"/>
      <c r="B1047" s="68"/>
      <c r="C1047" s="86"/>
      <c r="D1047" s="60"/>
      <c r="E1047" s="60"/>
      <c r="F1047" s="60"/>
      <c r="G1047" s="60"/>
      <c r="H1047" s="61"/>
      <c r="I1047" s="61"/>
      <c r="J1047" s="61"/>
      <c r="K1047" s="61"/>
      <c r="L1047" s="62"/>
      <c r="M1047" s="62"/>
      <c r="N1047" s="68"/>
      <c r="O1047" s="86"/>
      <c r="P1047" s="60"/>
      <c r="Q1047" s="60"/>
      <c r="R1047" s="60"/>
      <c r="S1047" s="60"/>
      <c r="T1047" s="61"/>
      <c r="U1047" s="61"/>
      <c r="V1047" s="61"/>
      <c r="W1047" s="61"/>
      <c r="X1047" s="62"/>
      <c r="Y1047" s="62"/>
      <c r="Z1047" s="68"/>
      <c r="AA1047" s="86"/>
      <c r="AB1047" s="60"/>
      <c r="AC1047" s="60"/>
      <c r="AD1047" s="60"/>
      <c r="AE1047" s="60"/>
      <c r="AF1047" s="61"/>
      <c r="AG1047" s="61"/>
      <c r="AH1047" s="61"/>
      <c r="AI1047" s="61"/>
      <c r="AJ1047" s="62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  <c r="AU1047" s="62"/>
      <c r="AV1047" s="62"/>
      <c r="AW1047" s="62"/>
      <c r="AX1047" s="62"/>
      <c r="AY1047" s="62"/>
      <c r="AZ1047" s="62"/>
    </row>
    <row r="1048" spans="1:52" x14ac:dyDescent="0.25">
      <c r="A1048" s="62"/>
      <c r="B1048" s="68"/>
      <c r="C1048" s="86"/>
      <c r="D1048" s="60"/>
      <c r="E1048" s="60"/>
      <c r="F1048" s="60"/>
      <c r="G1048" s="60"/>
      <c r="H1048" s="61"/>
      <c r="I1048" s="61"/>
      <c r="J1048" s="61"/>
      <c r="K1048" s="61"/>
      <c r="L1048" s="62"/>
      <c r="M1048" s="62"/>
      <c r="N1048" s="68"/>
      <c r="O1048" s="86"/>
      <c r="P1048" s="60"/>
      <c r="Q1048" s="60"/>
      <c r="R1048" s="60"/>
      <c r="S1048" s="60"/>
      <c r="T1048" s="61"/>
      <c r="U1048" s="61"/>
      <c r="V1048" s="61"/>
      <c r="W1048" s="61"/>
      <c r="X1048" s="62"/>
      <c r="Y1048" s="62"/>
      <c r="Z1048" s="68"/>
      <c r="AA1048" s="86"/>
      <c r="AB1048" s="60"/>
      <c r="AC1048" s="60"/>
      <c r="AD1048" s="60"/>
      <c r="AE1048" s="60"/>
      <c r="AF1048" s="61"/>
      <c r="AG1048" s="61"/>
      <c r="AH1048" s="61"/>
      <c r="AI1048" s="61"/>
      <c r="AJ1048" s="62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</row>
    <row r="1049" spans="1:52" x14ac:dyDescent="0.25">
      <c r="A1049" s="62"/>
      <c r="B1049" s="68"/>
      <c r="C1049" s="86"/>
      <c r="D1049" s="60"/>
      <c r="E1049" s="60"/>
      <c r="F1049" s="60"/>
      <c r="G1049" s="60"/>
      <c r="H1049" s="61"/>
      <c r="I1049" s="61"/>
      <c r="J1049" s="61"/>
      <c r="K1049" s="61"/>
      <c r="L1049" s="62"/>
      <c r="M1049" s="62"/>
      <c r="N1049" s="68"/>
      <c r="O1049" s="86"/>
      <c r="P1049" s="60"/>
      <c r="Q1049" s="60"/>
      <c r="R1049" s="60"/>
      <c r="S1049" s="60"/>
      <c r="T1049" s="61"/>
      <c r="U1049" s="61"/>
      <c r="V1049" s="61"/>
      <c r="W1049" s="61"/>
      <c r="X1049" s="62"/>
      <c r="Y1049" s="62"/>
      <c r="Z1049" s="68"/>
      <c r="AA1049" s="86"/>
      <c r="AB1049" s="60"/>
      <c r="AC1049" s="60"/>
      <c r="AD1049" s="60"/>
      <c r="AE1049" s="60"/>
      <c r="AF1049" s="61"/>
      <c r="AG1049" s="61"/>
      <c r="AH1049" s="61"/>
      <c r="AI1049" s="61"/>
      <c r="AJ1049" s="62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  <c r="AU1049" s="62"/>
      <c r="AV1049" s="62"/>
      <c r="AW1049" s="62"/>
      <c r="AX1049" s="62"/>
      <c r="AY1049" s="62"/>
      <c r="AZ1049" s="62"/>
    </row>
    <row r="1050" spans="1:52" x14ac:dyDescent="0.25">
      <c r="A1050" s="62"/>
      <c r="B1050" s="68"/>
      <c r="C1050" s="86"/>
      <c r="D1050" s="60"/>
      <c r="E1050" s="60"/>
      <c r="F1050" s="60"/>
      <c r="G1050" s="60"/>
      <c r="H1050" s="61"/>
      <c r="I1050" s="61"/>
      <c r="J1050" s="61"/>
      <c r="K1050" s="61"/>
      <c r="L1050" s="62"/>
      <c r="M1050" s="62"/>
      <c r="N1050" s="68"/>
      <c r="O1050" s="62"/>
      <c r="P1050" s="60"/>
      <c r="Q1050" s="60"/>
      <c r="R1050" s="60"/>
      <c r="S1050" s="60"/>
      <c r="T1050" s="61"/>
      <c r="U1050" s="61"/>
      <c r="V1050" s="61"/>
      <c r="W1050" s="61"/>
      <c r="X1050" s="62"/>
      <c r="Y1050" s="62"/>
      <c r="Z1050" s="68"/>
      <c r="AA1050" s="86"/>
      <c r="AB1050" s="60"/>
      <c r="AC1050" s="60"/>
      <c r="AD1050" s="60"/>
      <c r="AE1050" s="60"/>
      <c r="AF1050" s="61"/>
      <c r="AG1050" s="61"/>
      <c r="AH1050" s="61"/>
      <c r="AI1050" s="61"/>
      <c r="AJ1050" s="62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</row>
    <row r="1051" spans="1:52" x14ac:dyDescent="0.25">
      <c r="A1051" s="62"/>
      <c r="B1051" s="68"/>
      <c r="C1051" s="86"/>
      <c r="D1051" s="60"/>
      <c r="E1051" s="60"/>
      <c r="F1051" s="60"/>
      <c r="G1051" s="60"/>
      <c r="H1051" s="61"/>
      <c r="I1051" s="61"/>
      <c r="J1051" s="61"/>
      <c r="K1051" s="61"/>
      <c r="L1051" s="62"/>
      <c r="M1051" s="62"/>
      <c r="N1051" s="68"/>
      <c r="O1051" s="86"/>
      <c r="P1051" s="60"/>
      <c r="Q1051" s="60"/>
      <c r="R1051" s="60"/>
      <c r="S1051" s="60"/>
      <c r="T1051" s="61"/>
      <c r="U1051" s="61"/>
      <c r="V1051" s="61"/>
      <c r="W1051" s="61"/>
      <c r="X1051" s="62"/>
      <c r="Y1051" s="62"/>
      <c r="Z1051" s="68"/>
      <c r="AA1051" s="86"/>
      <c r="AB1051" s="60"/>
      <c r="AC1051" s="60"/>
      <c r="AD1051" s="60"/>
      <c r="AE1051" s="60"/>
      <c r="AF1051" s="61"/>
      <c r="AG1051" s="61"/>
      <c r="AH1051" s="61"/>
      <c r="AI1051" s="61"/>
      <c r="AJ1051" s="62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  <c r="AU1051" s="62"/>
      <c r="AV1051" s="62"/>
      <c r="AW1051" s="62"/>
      <c r="AX1051" s="62"/>
      <c r="AY1051" s="62"/>
      <c r="AZ1051" s="62"/>
    </row>
    <row r="1052" spans="1:52" x14ac:dyDescent="0.25">
      <c r="A1052" s="62"/>
      <c r="B1052" s="68"/>
      <c r="C1052" s="86"/>
      <c r="D1052" s="60"/>
      <c r="E1052" s="60"/>
      <c r="F1052" s="60"/>
      <c r="G1052" s="60"/>
      <c r="H1052" s="61"/>
      <c r="I1052" s="61"/>
      <c r="J1052" s="61"/>
      <c r="K1052" s="61"/>
      <c r="L1052" s="62"/>
      <c r="M1052" s="62"/>
      <c r="N1052" s="68"/>
      <c r="O1052" s="86"/>
      <c r="P1052" s="60"/>
      <c r="Q1052" s="60"/>
      <c r="R1052" s="60"/>
      <c r="S1052" s="60"/>
      <c r="T1052" s="61"/>
      <c r="U1052" s="61"/>
      <c r="V1052" s="61"/>
      <c r="W1052" s="61"/>
      <c r="X1052" s="62"/>
      <c r="Y1052" s="62"/>
      <c r="Z1052" s="68"/>
      <c r="AA1052" s="62"/>
      <c r="AB1052" s="60"/>
      <c r="AC1052" s="60"/>
      <c r="AD1052" s="60"/>
      <c r="AE1052" s="60"/>
      <c r="AF1052" s="61"/>
      <c r="AG1052" s="61"/>
      <c r="AH1052" s="61"/>
      <c r="AI1052" s="61"/>
      <c r="AJ1052" s="62"/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</row>
    <row r="1053" spans="1:52" x14ac:dyDescent="0.25">
      <c r="A1053" s="62"/>
      <c r="B1053" s="68"/>
      <c r="C1053" s="86"/>
      <c r="D1053" s="60"/>
      <c r="E1053" s="60"/>
      <c r="F1053" s="60"/>
      <c r="G1053" s="60"/>
      <c r="H1053" s="61"/>
      <c r="I1053" s="61"/>
      <c r="J1053" s="61"/>
      <c r="K1053" s="61"/>
      <c r="L1053" s="62"/>
      <c r="M1053" s="62"/>
      <c r="N1053" s="68"/>
      <c r="O1053" s="86"/>
      <c r="P1053" s="60"/>
      <c r="Q1053" s="60"/>
      <c r="R1053" s="60"/>
      <c r="S1053" s="60"/>
      <c r="T1053" s="61"/>
      <c r="U1053" s="61"/>
      <c r="V1053" s="61"/>
      <c r="W1053" s="61"/>
      <c r="X1053" s="62"/>
      <c r="Y1053" s="62"/>
      <c r="Z1053" s="68"/>
      <c r="AA1053" s="86"/>
      <c r="AB1053" s="60"/>
      <c r="AC1053" s="60"/>
      <c r="AD1053" s="60"/>
      <c r="AE1053" s="60"/>
      <c r="AF1053" s="61"/>
      <c r="AG1053" s="61"/>
      <c r="AH1053" s="61"/>
      <c r="AI1053" s="61"/>
      <c r="AJ1053" s="62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</row>
    <row r="1054" spans="1:52" x14ac:dyDescent="0.25">
      <c r="A1054" s="62"/>
      <c r="B1054" s="68"/>
      <c r="C1054" s="66"/>
      <c r="D1054" s="60"/>
      <c r="E1054" s="60"/>
      <c r="F1054" s="60"/>
      <c r="G1054" s="60"/>
      <c r="H1054" s="62"/>
      <c r="I1054" s="62"/>
      <c r="J1054" s="62"/>
      <c r="K1054" s="61"/>
      <c r="L1054" s="62"/>
      <c r="M1054" s="62"/>
      <c r="N1054" s="68"/>
      <c r="O1054" s="86"/>
      <c r="P1054" s="69"/>
      <c r="Q1054" s="86"/>
      <c r="R1054" s="86"/>
      <c r="S1054" s="60"/>
      <c r="T1054" s="62"/>
      <c r="U1054" s="62"/>
      <c r="V1054" s="62"/>
      <c r="W1054" s="61"/>
      <c r="X1054" s="62"/>
      <c r="Y1054" s="62"/>
      <c r="Z1054" s="68"/>
      <c r="AA1054" s="62"/>
      <c r="AB1054" s="60"/>
      <c r="AC1054" s="60"/>
      <c r="AD1054" s="60"/>
      <c r="AE1054" s="60"/>
      <c r="AF1054" s="62"/>
      <c r="AG1054" s="62"/>
      <c r="AH1054" s="62"/>
      <c r="AI1054" s="61"/>
      <c r="AJ1054" s="62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  <c r="AU1054" s="62"/>
      <c r="AV1054" s="62"/>
      <c r="AW1054" s="62"/>
      <c r="AX1054" s="62"/>
      <c r="AY1054" s="62"/>
      <c r="AZ1054" s="62"/>
    </row>
    <row r="1055" spans="1:52" x14ac:dyDescent="0.25">
      <c r="A1055" s="62"/>
      <c r="B1055" s="68"/>
      <c r="C1055" s="86"/>
      <c r="D1055" s="60"/>
      <c r="E1055" s="60"/>
      <c r="F1055" s="60"/>
      <c r="G1055" s="60"/>
      <c r="H1055" s="62"/>
      <c r="I1055" s="62"/>
      <c r="J1055" s="62"/>
      <c r="K1055" s="61"/>
      <c r="L1055" s="62"/>
      <c r="M1055" s="62"/>
      <c r="N1055" s="68"/>
      <c r="O1055" s="86"/>
      <c r="P1055" s="70"/>
      <c r="Q1055" s="86"/>
      <c r="R1055" s="86"/>
      <c r="S1055" s="60"/>
      <c r="T1055" s="62"/>
      <c r="U1055" s="62"/>
      <c r="V1055" s="62"/>
      <c r="W1055" s="61"/>
      <c r="X1055" s="62"/>
      <c r="Y1055" s="62"/>
      <c r="Z1055" s="68"/>
      <c r="AA1055" s="86"/>
      <c r="AB1055" s="60"/>
      <c r="AC1055" s="60"/>
      <c r="AD1055" s="60"/>
      <c r="AE1055" s="60"/>
      <c r="AF1055" s="62"/>
      <c r="AG1055" s="62"/>
      <c r="AH1055" s="62"/>
      <c r="AI1055" s="61"/>
      <c r="AJ1055" s="62"/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</row>
    <row r="1056" spans="1:52" x14ac:dyDescent="0.25">
      <c r="A1056" s="62"/>
      <c r="B1056" s="68"/>
      <c r="C1056" s="86"/>
      <c r="D1056" s="60"/>
      <c r="E1056" s="60"/>
      <c r="F1056" s="60"/>
      <c r="G1056" s="60"/>
      <c r="H1056" s="62"/>
      <c r="I1056" s="62"/>
      <c r="J1056" s="61"/>
      <c r="K1056" s="61"/>
      <c r="L1056" s="62"/>
      <c r="M1056" s="62"/>
      <c r="N1056" s="68"/>
      <c r="O1056" s="86"/>
      <c r="P1056" s="71"/>
      <c r="Q1056" s="62"/>
      <c r="R1056" s="62"/>
      <c r="S1056" s="60"/>
      <c r="T1056" s="62"/>
      <c r="U1056" s="62"/>
      <c r="V1056" s="62"/>
      <c r="W1056" s="61"/>
      <c r="X1056" s="62"/>
      <c r="Y1056" s="62"/>
      <c r="Z1056" s="68"/>
      <c r="AA1056" s="86"/>
      <c r="AB1056" s="60"/>
      <c r="AC1056" s="60"/>
      <c r="AD1056" s="60"/>
      <c r="AE1056" s="60"/>
      <c r="AF1056" s="62"/>
      <c r="AG1056" s="62"/>
      <c r="AH1056" s="61"/>
      <c r="AI1056" s="61"/>
      <c r="AJ1056" s="62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</row>
    <row r="1057" spans="1:52" x14ac:dyDescent="0.25">
      <c r="A1057" s="62"/>
      <c r="B1057" s="68"/>
      <c r="C1057" s="86"/>
      <c r="D1057" s="60"/>
      <c r="E1057" s="60"/>
      <c r="F1057" s="60"/>
      <c r="G1057" s="60"/>
      <c r="H1057" s="62"/>
      <c r="I1057" s="62"/>
      <c r="J1057" s="62"/>
      <c r="K1057" s="61"/>
      <c r="L1057" s="62"/>
      <c r="M1057" s="62"/>
      <c r="N1057" s="68"/>
      <c r="O1057" s="86"/>
      <c r="P1057" s="71"/>
      <c r="Q1057" s="86"/>
      <c r="R1057" s="86"/>
      <c r="S1057" s="60"/>
      <c r="T1057" s="62"/>
      <c r="U1057" s="62"/>
      <c r="V1057" s="62"/>
      <c r="W1057" s="61"/>
      <c r="X1057" s="62"/>
      <c r="Y1057" s="62"/>
      <c r="Z1057" s="68"/>
      <c r="AA1057" s="86"/>
      <c r="AB1057" s="60"/>
      <c r="AC1057" s="60"/>
      <c r="AD1057" s="60"/>
      <c r="AE1057" s="60"/>
      <c r="AF1057" s="62"/>
      <c r="AG1057" s="62"/>
      <c r="AH1057" s="62"/>
      <c r="AI1057" s="61"/>
      <c r="AJ1057" s="62"/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</row>
    <row r="1058" spans="1:52" x14ac:dyDescent="0.25">
      <c r="A1058" s="62"/>
      <c r="B1058" s="68"/>
      <c r="C1058" s="86"/>
      <c r="D1058" s="60"/>
      <c r="E1058" s="60"/>
      <c r="F1058" s="60"/>
      <c r="G1058" s="60"/>
      <c r="H1058" s="62"/>
      <c r="I1058" s="62"/>
      <c r="J1058" s="62"/>
      <c r="K1058" s="61"/>
      <c r="L1058" s="62"/>
      <c r="M1058" s="62"/>
      <c r="N1058" s="68"/>
      <c r="O1058" s="86"/>
      <c r="P1058" s="71"/>
      <c r="Q1058" s="86"/>
      <c r="R1058" s="86"/>
      <c r="S1058" s="60"/>
      <c r="T1058" s="62"/>
      <c r="U1058" s="62"/>
      <c r="V1058" s="62"/>
      <c r="W1058" s="61"/>
      <c r="X1058" s="62"/>
      <c r="Y1058" s="62"/>
      <c r="Z1058" s="68"/>
      <c r="AA1058" s="86"/>
      <c r="AB1058" s="60"/>
      <c r="AC1058" s="60"/>
      <c r="AD1058" s="60"/>
      <c r="AE1058" s="60"/>
      <c r="AF1058" s="62"/>
      <c r="AG1058" s="62"/>
      <c r="AH1058" s="62"/>
      <c r="AI1058" s="61"/>
      <c r="AJ1058" s="62"/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</row>
    <row r="1059" spans="1:52" x14ac:dyDescent="0.25">
      <c r="A1059" s="62"/>
      <c r="B1059" s="68"/>
      <c r="C1059" s="86"/>
      <c r="D1059" s="60"/>
      <c r="E1059" s="60"/>
      <c r="F1059" s="60"/>
      <c r="G1059" s="60"/>
      <c r="H1059" s="62"/>
      <c r="I1059" s="62"/>
      <c r="J1059" s="62"/>
      <c r="K1059" s="61"/>
      <c r="L1059" s="62"/>
      <c r="M1059" s="62"/>
      <c r="N1059" s="68"/>
      <c r="O1059" s="86"/>
      <c r="P1059" s="71"/>
      <c r="Q1059" s="86"/>
      <c r="R1059" s="86"/>
      <c r="S1059" s="60"/>
      <c r="T1059" s="62"/>
      <c r="U1059" s="62"/>
      <c r="V1059" s="62"/>
      <c r="W1059" s="61"/>
      <c r="X1059" s="62"/>
      <c r="Y1059" s="62"/>
      <c r="Z1059" s="68"/>
      <c r="AA1059" s="86"/>
      <c r="AB1059" s="60"/>
      <c r="AC1059" s="60"/>
      <c r="AD1059" s="60"/>
      <c r="AE1059" s="60"/>
      <c r="AF1059" s="62"/>
      <c r="AG1059" s="62"/>
      <c r="AH1059" s="62"/>
      <c r="AI1059" s="61"/>
      <c r="AJ1059" s="62"/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</row>
    <row r="1060" spans="1:52" x14ac:dyDescent="0.25">
      <c r="A1060" s="62"/>
      <c r="B1060" s="68"/>
      <c r="C1060" s="86"/>
      <c r="D1060" s="60"/>
      <c r="E1060" s="60"/>
      <c r="F1060" s="60"/>
      <c r="G1060" s="60"/>
      <c r="H1060" s="62"/>
      <c r="I1060" s="62"/>
      <c r="J1060" s="62"/>
      <c r="K1060" s="61"/>
      <c r="L1060" s="62"/>
      <c r="M1060" s="62"/>
      <c r="N1060" s="68"/>
      <c r="O1060" s="86"/>
      <c r="P1060" s="71"/>
      <c r="Q1060" s="86"/>
      <c r="R1060" s="86"/>
      <c r="S1060" s="60"/>
      <c r="T1060" s="62"/>
      <c r="U1060" s="62"/>
      <c r="V1060" s="62"/>
      <c r="W1060" s="61"/>
      <c r="X1060" s="62"/>
      <c r="Y1060" s="62"/>
      <c r="Z1060" s="68"/>
      <c r="AA1060" s="86"/>
      <c r="AB1060" s="60"/>
      <c r="AC1060" s="60"/>
      <c r="AD1060" s="60"/>
      <c r="AE1060" s="60"/>
      <c r="AF1060" s="62"/>
      <c r="AG1060" s="62"/>
      <c r="AH1060" s="62"/>
      <c r="AI1060" s="61"/>
      <c r="AJ1060" s="62"/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</row>
    <row r="1061" spans="1:52" x14ac:dyDescent="0.25">
      <c r="A1061" s="62"/>
      <c r="B1061" s="68"/>
      <c r="C1061" s="86"/>
      <c r="D1061" s="60"/>
      <c r="E1061" s="60"/>
      <c r="F1061" s="60"/>
      <c r="G1061" s="60"/>
      <c r="H1061" s="62"/>
      <c r="I1061" s="62"/>
      <c r="J1061" s="62"/>
      <c r="K1061" s="61"/>
      <c r="L1061" s="62"/>
      <c r="M1061" s="62"/>
      <c r="N1061" s="68"/>
      <c r="O1061" s="62"/>
      <c r="P1061" s="71"/>
      <c r="Q1061" s="86"/>
      <c r="R1061" s="86"/>
      <c r="S1061" s="60"/>
      <c r="T1061" s="62"/>
      <c r="U1061" s="62"/>
      <c r="V1061" s="62"/>
      <c r="W1061" s="61"/>
      <c r="X1061" s="62"/>
      <c r="Y1061" s="62"/>
      <c r="Z1061" s="68"/>
      <c r="AA1061" s="86"/>
      <c r="AB1061" s="60"/>
      <c r="AC1061" s="60"/>
      <c r="AD1061" s="60"/>
      <c r="AE1061" s="60"/>
      <c r="AF1061" s="62"/>
      <c r="AG1061" s="62"/>
      <c r="AH1061" s="62"/>
      <c r="AI1061" s="61"/>
      <c r="AJ1061" s="62"/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</row>
    <row r="1062" spans="1:52" x14ac:dyDescent="0.25">
      <c r="A1062" s="62"/>
      <c r="B1062" s="68"/>
      <c r="C1062" s="86"/>
      <c r="D1062" s="60"/>
      <c r="E1062" s="60"/>
      <c r="F1062" s="60"/>
      <c r="G1062" s="60"/>
      <c r="H1062" s="62"/>
      <c r="I1062" s="62"/>
      <c r="J1062" s="62"/>
      <c r="K1062" s="61"/>
      <c r="L1062" s="62"/>
      <c r="M1062" s="62"/>
      <c r="N1062" s="68"/>
      <c r="O1062" s="86"/>
      <c r="P1062" s="71"/>
      <c r="Q1062" s="86"/>
      <c r="R1062" s="86"/>
      <c r="S1062" s="60"/>
      <c r="T1062" s="62"/>
      <c r="U1062" s="62"/>
      <c r="V1062" s="62"/>
      <c r="W1062" s="61"/>
      <c r="X1062" s="62"/>
      <c r="Y1062" s="62"/>
      <c r="Z1062" s="68"/>
      <c r="AA1062" s="86"/>
      <c r="AB1062" s="60"/>
      <c r="AC1062" s="60"/>
      <c r="AD1062" s="60"/>
      <c r="AE1062" s="60"/>
      <c r="AF1062" s="62"/>
      <c r="AG1062" s="62"/>
      <c r="AH1062" s="62"/>
      <c r="AI1062" s="61"/>
      <c r="AJ1062" s="62"/>
      <c r="AK1062" s="62"/>
      <c r="AL1062" s="62"/>
      <c r="AM1062" s="62"/>
      <c r="AN1062" s="62"/>
      <c r="AO1062" s="62"/>
      <c r="AP1062" s="62"/>
      <c r="AQ1062" s="62"/>
      <c r="AR1062" s="62"/>
      <c r="AS1062" s="62"/>
      <c r="AT1062" s="62"/>
      <c r="AU1062" s="62"/>
      <c r="AV1062" s="62"/>
      <c r="AW1062" s="62"/>
      <c r="AX1062" s="62"/>
      <c r="AY1062" s="62"/>
      <c r="AZ1062" s="62"/>
    </row>
    <row r="1063" spans="1:52" x14ac:dyDescent="0.25">
      <c r="A1063" s="62"/>
      <c r="B1063" s="68"/>
      <c r="C1063" s="86"/>
      <c r="D1063" s="60"/>
      <c r="E1063" s="60"/>
      <c r="F1063" s="60"/>
      <c r="G1063" s="60"/>
      <c r="H1063" s="62"/>
      <c r="I1063" s="62"/>
      <c r="J1063" s="62"/>
      <c r="K1063" s="61"/>
      <c r="L1063" s="62"/>
      <c r="M1063" s="62"/>
      <c r="N1063" s="68"/>
      <c r="O1063" s="86"/>
      <c r="P1063" s="71"/>
      <c r="Q1063" s="86"/>
      <c r="R1063" s="86"/>
      <c r="S1063" s="60"/>
      <c r="T1063" s="62"/>
      <c r="U1063" s="62"/>
      <c r="V1063" s="62"/>
      <c r="W1063" s="61"/>
      <c r="X1063" s="62"/>
      <c r="Y1063" s="62"/>
      <c r="Z1063" s="68"/>
      <c r="AA1063" s="86"/>
      <c r="AB1063" s="60"/>
      <c r="AC1063" s="60"/>
      <c r="AD1063" s="60"/>
      <c r="AE1063" s="60"/>
      <c r="AF1063" s="62"/>
      <c r="AG1063" s="62"/>
      <c r="AH1063" s="62"/>
      <c r="AI1063" s="61"/>
      <c r="AJ1063" s="62"/>
      <c r="AK1063" s="62"/>
      <c r="AL1063" s="62"/>
      <c r="AM1063" s="62"/>
      <c r="AN1063" s="62"/>
      <c r="AO1063" s="62"/>
      <c r="AP1063" s="62"/>
      <c r="AQ1063" s="62"/>
      <c r="AR1063" s="62"/>
      <c r="AS1063" s="62"/>
      <c r="AT1063" s="62"/>
      <c r="AU1063" s="62"/>
      <c r="AV1063" s="62"/>
      <c r="AW1063" s="62"/>
      <c r="AX1063" s="62"/>
      <c r="AY1063" s="62"/>
      <c r="AZ1063" s="62"/>
    </row>
    <row r="1064" spans="1:52" x14ac:dyDescent="0.25">
      <c r="A1064" s="62"/>
      <c r="B1064" s="68"/>
      <c r="C1064" s="86"/>
      <c r="D1064" s="60"/>
      <c r="E1064" s="60"/>
      <c r="F1064" s="60"/>
      <c r="G1064" s="60"/>
      <c r="H1064" s="62"/>
      <c r="I1064" s="62"/>
      <c r="J1064" s="62"/>
      <c r="K1064" s="61"/>
      <c r="L1064" s="62"/>
      <c r="M1064" s="62"/>
      <c r="N1064" s="68"/>
      <c r="O1064" s="62"/>
      <c r="P1064" s="71"/>
      <c r="Q1064" s="86"/>
      <c r="R1064" s="86"/>
      <c r="S1064" s="60"/>
      <c r="T1064" s="62"/>
      <c r="U1064" s="62"/>
      <c r="V1064" s="62"/>
      <c r="W1064" s="61"/>
      <c r="X1064" s="62"/>
      <c r="Y1064" s="62"/>
      <c r="Z1064" s="68"/>
      <c r="AA1064" s="62"/>
      <c r="AB1064" s="60"/>
      <c r="AC1064" s="60"/>
      <c r="AD1064" s="60"/>
      <c r="AE1064" s="60"/>
      <c r="AF1064" s="62"/>
      <c r="AG1064" s="62"/>
      <c r="AH1064" s="62"/>
      <c r="AI1064" s="61"/>
      <c r="AJ1064" s="62"/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  <c r="AU1064" s="62"/>
      <c r="AV1064" s="62"/>
      <c r="AW1064" s="62"/>
      <c r="AX1064" s="62"/>
      <c r="AY1064" s="62"/>
      <c r="AZ1064" s="62"/>
    </row>
    <row r="1065" spans="1:52" x14ac:dyDescent="0.25">
      <c r="A1065" s="62"/>
      <c r="B1065" s="68"/>
      <c r="C1065" s="86"/>
      <c r="D1065" s="60"/>
      <c r="E1065" s="60"/>
      <c r="F1065" s="60"/>
      <c r="G1065" s="60"/>
      <c r="H1065" s="62"/>
      <c r="I1065" s="62"/>
      <c r="J1065" s="62"/>
      <c r="K1065" s="61"/>
      <c r="L1065" s="62"/>
      <c r="M1065" s="62"/>
      <c r="N1065" s="68"/>
      <c r="O1065" s="86"/>
      <c r="P1065" s="71"/>
      <c r="Q1065" s="86"/>
      <c r="R1065" s="86"/>
      <c r="S1065" s="60"/>
      <c r="T1065" s="62"/>
      <c r="U1065" s="62"/>
      <c r="V1065" s="62"/>
      <c r="W1065" s="61"/>
      <c r="X1065" s="62"/>
      <c r="Y1065" s="62"/>
      <c r="Z1065" s="68"/>
      <c r="AA1065" s="86"/>
      <c r="AB1065" s="60"/>
      <c r="AC1065" s="60"/>
      <c r="AD1065" s="60"/>
      <c r="AE1065" s="60"/>
      <c r="AF1065" s="62"/>
      <c r="AG1065" s="62"/>
      <c r="AH1065" s="62"/>
      <c r="AI1065" s="61"/>
      <c r="AJ1065" s="62"/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</row>
    <row r="1066" spans="1:52" x14ac:dyDescent="0.25">
      <c r="A1066" s="62"/>
      <c r="B1066" s="68"/>
      <c r="C1066" s="86"/>
      <c r="D1066" s="60"/>
      <c r="E1066" s="60"/>
      <c r="F1066" s="60"/>
      <c r="G1066" s="60"/>
      <c r="H1066" s="62"/>
      <c r="I1066" s="62"/>
      <c r="J1066" s="62"/>
      <c r="K1066" s="61"/>
      <c r="L1066" s="62"/>
      <c r="M1066" s="62"/>
      <c r="N1066" s="68"/>
      <c r="O1066" s="86"/>
      <c r="P1066" s="71"/>
      <c r="Q1066" s="86"/>
      <c r="R1066" s="86"/>
      <c r="S1066" s="60"/>
      <c r="T1066" s="62"/>
      <c r="U1066" s="62"/>
      <c r="V1066" s="62"/>
      <c r="W1066" s="61"/>
      <c r="X1066" s="62"/>
      <c r="Y1066" s="62"/>
      <c r="Z1066" s="68"/>
      <c r="AA1066" s="86"/>
      <c r="AB1066" s="60"/>
      <c r="AC1066" s="60"/>
      <c r="AD1066" s="60"/>
      <c r="AE1066" s="60"/>
      <c r="AF1066" s="62"/>
      <c r="AG1066" s="62"/>
      <c r="AH1066" s="62"/>
      <c r="AI1066" s="61"/>
      <c r="AJ1066" s="62"/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</row>
    <row r="1067" spans="1:52" x14ac:dyDescent="0.25">
      <c r="A1067" s="62"/>
      <c r="B1067" s="68"/>
      <c r="C1067" s="66"/>
      <c r="D1067" s="60"/>
      <c r="E1067" s="60"/>
      <c r="F1067" s="60"/>
      <c r="G1067" s="60"/>
      <c r="H1067" s="62"/>
      <c r="I1067" s="62"/>
      <c r="J1067" s="62"/>
      <c r="K1067" s="61"/>
      <c r="L1067" s="62"/>
      <c r="M1067" s="62"/>
      <c r="N1067" s="68"/>
      <c r="O1067" s="86"/>
      <c r="P1067" s="71"/>
      <c r="Q1067" s="86"/>
      <c r="R1067" s="86"/>
      <c r="S1067" s="60"/>
      <c r="T1067" s="62"/>
      <c r="U1067" s="62"/>
      <c r="V1067" s="62"/>
      <c r="W1067" s="61"/>
      <c r="X1067" s="62"/>
      <c r="Y1067" s="62"/>
      <c r="Z1067" s="68"/>
      <c r="AA1067" s="86"/>
      <c r="AB1067" s="60"/>
      <c r="AC1067" s="60"/>
      <c r="AD1067" s="60"/>
      <c r="AE1067" s="60"/>
      <c r="AF1067" s="62"/>
      <c r="AG1067" s="62"/>
      <c r="AH1067" s="62"/>
      <c r="AI1067" s="61"/>
      <c r="AJ1067" s="62"/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</row>
    <row r="1068" spans="1:52" x14ac:dyDescent="0.25">
      <c r="A1068" s="62"/>
      <c r="B1068" s="68"/>
      <c r="C1068" s="86"/>
      <c r="D1068" s="60"/>
      <c r="E1068" s="60"/>
      <c r="F1068" s="60"/>
      <c r="G1068" s="60"/>
      <c r="H1068" s="62"/>
      <c r="I1068" s="62"/>
      <c r="J1068" s="62"/>
      <c r="K1068" s="61"/>
      <c r="L1068" s="62"/>
      <c r="M1068" s="62"/>
      <c r="N1068" s="68"/>
      <c r="O1068" s="86"/>
      <c r="P1068" s="71"/>
      <c r="Q1068" s="86"/>
      <c r="R1068" s="86"/>
      <c r="S1068" s="60"/>
      <c r="T1068" s="62"/>
      <c r="U1068" s="62"/>
      <c r="V1068" s="62"/>
      <c r="W1068" s="61"/>
      <c r="X1068" s="62"/>
      <c r="Y1068" s="62"/>
      <c r="Z1068" s="68"/>
      <c r="AA1068" s="86"/>
      <c r="AB1068" s="60"/>
      <c r="AC1068" s="60"/>
      <c r="AD1068" s="60"/>
      <c r="AE1068" s="60"/>
      <c r="AF1068" s="62"/>
      <c r="AG1068" s="62"/>
      <c r="AH1068" s="62"/>
      <c r="AI1068" s="61"/>
      <c r="AJ1068" s="62"/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</row>
    <row r="1069" spans="1:52" x14ac:dyDescent="0.25">
      <c r="A1069" s="62"/>
      <c r="B1069" s="68"/>
      <c r="C1069" s="86"/>
      <c r="D1069" s="60"/>
      <c r="E1069" s="60"/>
      <c r="F1069" s="60"/>
      <c r="G1069" s="60"/>
      <c r="H1069" s="62"/>
      <c r="I1069" s="62"/>
      <c r="J1069" s="62"/>
      <c r="K1069" s="61"/>
      <c r="L1069" s="62"/>
      <c r="M1069" s="62"/>
      <c r="N1069" s="68"/>
      <c r="O1069" s="86"/>
      <c r="P1069" s="71"/>
      <c r="Q1069" s="86"/>
      <c r="R1069" s="86"/>
      <c r="S1069" s="60"/>
      <c r="T1069" s="62"/>
      <c r="U1069" s="62"/>
      <c r="V1069" s="62"/>
      <c r="W1069" s="61"/>
      <c r="X1069" s="62"/>
      <c r="Y1069" s="62"/>
      <c r="Z1069" s="68"/>
      <c r="AA1069" s="86"/>
      <c r="AB1069" s="60"/>
      <c r="AC1069" s="60"/>
      <c r="AD1069" s="60"/>
      <c r="AE1069" s="60"/>
      <c r="AF1069" s="62"/>
      <c r="AG1069" s="62"/>
      <c r="AH1069" s="62"/>
      <c r="AI1069" s="61"/>
      <c r="AJ1069" s="62"/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</row>
    <row r="1070" spans="1:52" x14ac:dyDescent="0.25">
      <c r="A1070" s="62"/>
      <c r="B1070" s="68"/>
      <c r="C1070" s="86"/>
      <c r="D1070" s="60"/>
      <c r="E1070" s="60"/>
      <c r="F1070" s="60"/>
      <c r="G1070" s="60"/>
      <c r="H1070" s="62"/>
      <c r="I1070" s="62"/>
      <c r="J1070" s="62"/>
      <c r="K1070" s="61"/>
      <c r="L1070" s="62"/>
      <c r="M1070" s="62"/>
      <c r="N1070" s="68"/>
      <c r="O1070" s="86"/>
      <c r="P1070" s="71"/>
      <c r="Q1070" s="86"/>
      <c r="R1070" s="86"/>
      <c r="S1070" s="60"/>
      <c r="T1070" s="62"/>
      <c r="U1070" s="62"/>
      <c r="V1070" s="62"/>
      <c r="W1070" s="61"/>
      <c r="X1070" s="62"/>
      <c r="Y1070" s="62"/>
      <c r="Z1070" s="68"/>
      <c r="AA1070" s="86"/>
      <c r="AB1070" s="60"/>
      <c r="AC1070" s="60"/>
      <c r="AD1070" s="60"/>
      <c r="AE1070" s="60"/>
      <c r="AF1070" s="62"/>
      <c r="AG1070" s="62"/>
      <c r="AH1070" s="62"/>
      <c r="AI1070" s="61"/>
      <c r="AJ1070" s="62"/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</row>
    <row r="1071" spans="1:52" x14ac:dyDescent="0.25">
      <c r="A1071" s="62"/>
      <c r="B1071" s="68"/>
      <c r="C1071" s="86"/>
      <c r="D1071" s="60"/>
      <c r="E1071" s="60"/>
      <c r="F1071" s="60"/>
      <c r="G1071" s="60"/>
      <c r="H1071" s="62"/>
      <c r="I1071" s="62"/>
      <c r="J1071" s="62"/>
      <c r="K1071" s="61"/>
      <c r="L1071" s="62"/>
      <c r="M1071" s="62"/>
      <c r="N1071" s="68"/>
      <c r="O1071" s="86"/>
      <c r="P1071" s="71"/>
      <c r="Q1071" s="86"/>
      <c r="R1071" s="86"/>
      <c r="S1071" s="60"/>
      <c r="T1071" s="62"/>
      <c r="U1071" s="62"/>
      <c r="V1071" s="62"/>
      <c r="W1071" s="61"/>
      <c r="X1071" s="62"/>
      <c r="Y1071" s="62"/>
      <c r="Z1071" s="68"/>
      <c r="AA1071" s="86"/>
      <c r="AB1071" s="60"/>
      <c r="AC1071" s="60"/>
      <c r="AD1071" s="60"/>
      <c r="AE1071" s="60"/>
      <c r="AF1071" s="62"/>
      <c r="AG1071" s="62"/>
      <c r="AH1071" s="62"/>
      <c r="AI1071" s="61"/>
      <c r="AJ1071" s="62"/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</row>
    <row r="1072" spans="1:52" x14ac:dyDescent="0.25">
      <c r="A1072" s="62"/>
      <c r="B1072" s="68"/>
      <c r="C1072" s="86"/>
      <c r="D1072" s="60"/>
      <c r="E1072" s="60"/>
      <c r="F1072" s="60"/>
      <c r="G1072" s="60"/>
      <c r="H1072" s="62"/>
      <c r="I1072" s="62"/>
      <c r="J1072" s="62"/>
      <c r="K1072" s="61"/>
      <c r="L1072" s="62"/>
      <c r="M1072" s="62"/>
      <c r="N1072" s="68"/>
      <c r="O1072" s="86"/>
      <c r="P1072" s="71"/>
      <c r="Q1072" s="86"/>
      <c r="R1072" s="86"/>
      <c r="S1072" s="60"/>
      <c r="T1072" s="62"/>
      <c r="U1072" s="62"/>
      <c r="V1072" s="62"/>
      <c r="W1072" s="61"/>
      <c r="X1072" s="62"/>
      <c r="Y1072" s="62"/>
      <c r="Z1072" s="68"/>
      <c r="AA1072" s="86"/>
      <c r="AB1072" s="60"/>
      <c r="AC1072" s="60"/>
      <c r="AD1072" s="60"/>
      <c r="AE1072" s="60"/>
      <c r="AF1072" s="62"/>
      <c r="AG1072" s="62"/>
      <c r="AH1072" s="62"/>
      <c r="AI1072" s="61"/>
      <c r="AJ1072" s="62"/>
      <c r="AK1072" s="62"/>
      <c r="AL1072" s="62"/>
      <c r="AM1072" s="62"/>
      <c r="AN1072" s="62"/>
      <c r="AO1072" s="62"/>
      <c r="AP1072" s="62"/>
      <c r="AQ1072" s="62"/>
      <c r="AR1072" s="62"/>
      <c r="AS1072" s="62"/>
      <c r="AT1072" s="62"/>
      <c r="AU1072" s="62"/>
      <c r="AV1072" s="62"/>
      <c r="AW1072" s="62"/>
      <c r="AX1072" s="62"/>
      <c r="AY1072" s="62"/>
      <c r="AZ1072" s="62"/>
    </row>
    <row r="1073" spans="1:52" x14ac:dyDescent="0.25">
      <c r="A1073" s="62"/>
      <c r="B1073" s="68"/>
      <c r="C1073" s="86"/>
      <c r="D1073" s="60"/>
      <c r="E1073" s="60"/>
      <c r="F1073" s="60"/>
      <c r="G1073" s="60"/>
      <c r="H1073" s="62"/>
      <c r="I1073" s="62"/>
      <c r="J1073" s="62"/>
      <c r="K1073" s="61"/>
      <c r="L1073" s="62"/>
      <c r="M1073" s="62"/>
      <c r="N1073" s="68"/>
      <c r="O1073" s="86"/>
      <c r="P1073" s="71"/>
      <c r="Q1073" s="86"/>
      <c r="R1073" s="86"/>
      <c r="S1073" s="60"/>
      <c r="T1073" s="62"/>
      <c r="U1073" s="62"/>
      <c r="V1073" s="62"/>
      <c r="W1073" s="61"/>
      <c r="X1073" s="62"/>
      <c r="Y1073" s="62"/>
      <c r="Z1073" s="68"/>
      <c r="AA1073" s="86"/>
      <c r="AB1073" s="60"/>
      <c r="AC1073" s="60"/>
      <c r="AD1073" s="60"/>
      <c r="AE1073" s="60"/>
      <c r="AF1073" s="62"/>
      <c r="AG1073" s="62"/>
      <c r="AH1073" s="62"/>
      <c r="AI1073" s="61"/>
      <c r="AJ1073" s="62"/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  <c r="AU1073" s="62"/>
      <c r="AV1073" s="62"/>
      <c r="AW1073" s="62"/>
      <c r="AX1073" s="62"/>
      <c r="AY1073" s="62"/>
      <c r="AZ1073" s="62"/>
    </row>
    <row r="1074" spans="1:52" x14ac:dyDescent="0.25">
      <c r="A1074" s="62"/>
      <c r="B1074" s="68"/>
      <c r="C1074" s="86"/>
      <c r="D1074" s="60"/>
      <c r="E1074" s="60"/>
      <c r="F1074" s="60"/>
      <c r="G1074" s="60"/>
      <c r="H1074" s="62"/>
      <c r="I1074" s="62"/>
      <c r="J1074" s="62"/>
      <c r="K1074" s="61"/>
      <c r="L1074" s="62"/>
      <c r="M1074" s="62"/>
      <c r="N1074" s="68"/>
      <c r="O1074" s="86"/>
      <c r="P1074" s="71"/>
      <c r="Q1074" s="86"/>
      <c r="R1074" s="86"/>
      <c r="S1074" s="60"/>
      <c r="T1074" s="62"/>
      <c r="U1074" s="62"/>
      <c r="V1074" s="62"/>
      <c r="W1074" s="61"/>
      <c r="X1074" s="62"/>
      <c r="Y1074" s="62"/>
      <c r="Z1074" s="68"/>
      <c r="AA1074" s="86"/>
      <c r="AB1074" s="60"/>
      <c r="AC1074" s="60"/>
      <c r="AD1074" s="60"/>
      <c r="AE1074" s="60"/>
      <c r="AF1074" s="62"/>
      <c r="AG1074" s="62"/>
      <c r="AH1074" s="62"/>
      <c r="AI1074" s="61"/>
      <c r="AJ1074" s="62"/>
      <c r="AK1074" s="62"/>
      <c r="AL1074" s="62"/>
      <c r="AM1074" s="62"/>
      <c r="AN1074" s="62"/>
      <c r="AO1074" s="62"/>
      <c r="AP1074" s="62"/>
      <c r="AQ1074" s="62"/>
      <c r="AR1074" s="62"/>
      <c r="AS1074" s="62"/>
      <c r="AT1074" s="62"/>
      <c r="AU1074" s="62"/>
      <c r="AV1074" s="62"/>
      <c r="AW1074" s="62"/>
      <c r="AX1074" s="62"/>
      <c r="AY1074" s="62"/>
      <c r="AZ1074" s="62"/>
    </row>
    <row r="1075" spans="1:52" x14ac:dyDescent="0.25">
      <c r="A1075" s="62"/>
      <c r="B1075" s="68"/>
      <c r="C1075" s="86"/>
      <c r="D1075" s="60"/>
      <c r="E1075" s="60"/>
      <c r="F1075" s="60"/>
      <c r="G1075" s="60"/>
      <c r="H1075" s="62"/>
      <c r="I1075" s="62"/>
      <c r="J1075" s="62"/>
      <c r="K1075" s="61"/>
      <c r="L1075" s="62"/>
      <c r="M1075" s="62"/>
      <c r="N1075" s="68"/>
      <c r="O1075" s="86"/>
      <c r="P1075" s="71"/>
      <c r="Q1075" s="86"/>
      <c r="R1075" s="86"/>
      <c r="S1075" s="60"/>
      <c r="T1075" s="62"/>
      <c r="U1075" s="62"/>
      <c r="V1075" s="62"/>
      <c r="W1075" s="61"/>
      <c r="X1075" s="62"/>
      <c r="Y1075" s="62"/>
      <c r="Z1075" s="68"/>
      <c r="AA1075" s="86"/>
      <c r="AB1075" s="60"/>
      <c r="AC1075" s="60"/>
      <c r="AD1075" s="60"/>
      <c r="AE1075" s="60"/>
      <c r="AF1075" s="62"/>
      <c r="AG1075" s="62"/>
      <c r="AH1075" s="62"/>
      <c r="AI1075" s="61"/>
      <c r="AJ1075" s="62"/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  <c r="AU1075" s="62"/>
      <c r="AV1075" s="62"/>
      <c r="AW1075" s="62"/>
      <c r="AX1075" s="62"/>
      <c r="AY1075" s="62"/>
      <c r="AZ1075" s="62"/>
    </row>
    <row r="1076" spans="1:52" x14ac:dyDescent="0.25">
      <c r="A1076" s="62"/>
      <c r="B1076" s="68"/>
      <c r="C1076" s="86"/>
      <c r="D1076" s="60"/>
      <c r="E1076" s="60"/>
      <c r="F1076" s="60"/>
      <c r="G1076" s="60"/>
      <c r="H1076" s="62"/>
      <c r="I1076" s="62"/>
      <c r="J1076" s="62"/>
      <c r="K1076" s="61"/>
      <c r="L1076" s="62"/>
      <c r="M1076" s="62"/>
      <c r="N1076" s="68"/>
      <c r="O1076" s="86"/>
      <c r="P1076" s="71"/>
      <c r="Q1076" s="86"/>
      <c r="R1076" s="86"/>
      <c r="S1076" s="60"/>
      <c r="T1076" s="62"/>
      <c r="U1076" s="62"/>
      <c r="V1076" s="62"/>
      <c r="W1076" s="61"/>
      <c r="X1076" s="62"/>
      <c r="Y1076" s="62"/>
      <c r="Z1076" s="68"/>
      <c r="AA1076" s="86"/>
      <c r="AB1076" s="60"/>
      <c r="AC1076" s="60"/>
      <c r="AD1076" s="60"/>
      <c r="AE1076" s="60"/>
      <c r="AF1076" s="62"/>
      <c r="AG1076" s="62"/>
      <c r="AH1076" s="62"/>
      <c r="AI1076" s="61"/>
      <c r="AJ1076" s="62"/>
      <c r="AK1076" s="62"/>
      <c r="AL1076" s="62"/>
      <c r="AM1076" s="62"/>
      <c r="AN1076" s="62"/>
      <c r="AO1076" s="62"/>
      <c r="AP1076" s="62"/>
      <c r="AQ1076" s="62"/>
      <c r="AR1076" s="62"/>
      <c r="AS1076" s="62"/>
      <c r="AT1076" s="62"/>
      <c r="AU1076" s="62"/>
      <c r="AV1076" s="62"/>
      <c r="AW1076" s="62"/>
      <c r="AX1076" s="62"/>
      <c r="AY1076" s="62"/>
      <c r="AZ1076" s="62"/>
    </row>
    <row r="1077" spans="1:52" x14ac:dyDescent="0.25">
      <c r="A1077" s="62"/>
      <c r="B1077" s="68"/>
      <c r="C1077" s="86"/>
      <c r="D1077" s="60"/>
      <c r="E1077" s="60"/>
      <c r="F1077" s="60"/>
      <c r="G1077" s="60"/>
      <c r="H1077" s="62"/>
      <c r="I1077" s="62"/>
      <c r="J1077" s="62"/>
      <c r="K1077" s="61"/>
      <c r="L1077" s="62"/>
      <c r="M1077" s="62"/>
      <c r="N1077" s="68"/>
      <c r="O1077" s="86"/>
      <c r="P1077" s="71"/>
      <c r="Q1077" s="86"/>
      <c r="R1077" s="86"/>
      <c r="S1077" s="60"/>
      <c r="T1077" s="62"/>
      <c r="U1077" s="62"/>
      <c r="V1077" s="62"/>
      <c r="W1077" s="61"/>
      <c r="X1077" s="62"/>
      <c r="Y1077" s="62"/>
      <c r="Z1077" s="68"/>
      <c r="AA1077" s="86"/>
      <c r="AB1077" s="60"/>
      <c r="AC1077" s="60"/>
      <c r="AD1077" s="60"/>
      <c r="AE1077" s="60"/>
      <c r="AF1077" s="62"/>
      <c r="AG1077" s="62"/>
      <c r="AH1077" s="62"/>
      <c r="AI1077" s="61"/>
      <c r="AJ1077" s="62"/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  <c r="AU1077" s="62"/>
      <c r="AV1077" s="62"/>
      <c r="AW1077" s="62"/>
      <c r="AX1077" s="62"/>
      <c r="AY1077" s="62"/>
      <c r="AZ1077" s="62"/>
    </row>
    <row r="1078" spans="1:52" x14ac:dyDescent="0.25">
      <c r="A1078" s="62"/>
      <c r="B1078" s="68"/>
      <c r="C1078" s="86"/>
      <c r="D1078" s="60"/>
      <c r="E1078" s="60"/>
      <c r="F1078" s="60"/>
      <c r="G1078" s="60"/>
      <c r="H1078" s="62"/>
      <c r="I1078" s="62"/>
      <c r="J1078" s="62"/>
      <c r="K1078" s="61"/>
      <c r="L1078" s="62"/>
      <c r="M1078" s="62"/>
      <c r="N1078" s="68"/>
      <c r="O1078" s="86"/>
      <c r="P1078" s="71"/>
      <c r="Q1078" s="86"/>
      <c r="R1078" s="86"/>
      <c r="S1078" s="60"/>
      <c r="T1078" s="62"/>
      <c r="U1078" s="62"/>
      <c r="V1078" s="62"/>
      <c r="W1078" s="61"/>
      <c r="X1078" s="62"/>
      <c r="Y1078" s="62"/>
      <c r="Z1078" s="68"/>
      <c r="AA1078" s="86"/>
      <c r="AB1078" s="60"/>
      <c r="AC1078" s="60"/>
      <c r="AD1078" s="60"/>
      <c r="AE1078" s="60"/>
      <c r="AF1078" s="62"/>
      <c r="AG1078" s="62"/>
      <c r="AH1078" s="62"/>
      <c r="AI1078" s="61"/>
      <c r="AJ1078" s="62"/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  <c r="AU1078" s="62"/>
      <c r="AV1078" s="62"/>
      <c r="AW1078" s="62"/>
      <c r="AX1078" s="62"/>
      <c r="AY1078" s="62"/>
      <c r="AZ1078" s="62"/>
    </row>
    <row r="1079" spans="1:52" x14ac:dyDescent="0.25">
      <c r="A1079" s="62"/>
      <c r="B1079" s="68"/>
      <c r="C1079" s="86"/>
      <c r="D1079" s="60"/>
      <c r="E1079" s="60"/>
      <c r="F1079" s="60"/>
      <c r="G1079" s="60"/>
      <c r="H1079" s="62"/>
      <c r="I1079" s="62"/>
      <c r="J1079" s="62"/>
      <c r="K1079" s="61"/>
      <c r="L1079" s="62"/>
      <c r="M1079" s="62"/>
      <c r="N1079" s="68"/>
      <c r="O1079" s="86"/>
      <c r="P1079" s="71"/>
      <c r="Q1079" s="86"/>
      <c r="R1079" s="86"/>
      <c r="S1079" s="60"/>
      <c r="T1079" s="62"/>
      <c r="U1079" s="62"/>
      <c r="V1079" s="62"/>
      <c r="W1079" s="61"/>
      <c r="X1079" s="62"/>
      <c r="Y1079" s="62"/>
      <c r="Z1079" s="68"/>
      <c r="AA1079" s="86"/>
      <c r="AB1079" s="60"/>
      <c r="AC1079" s="60"/>
      <c r="AD1079" s="60"/>
      <c r="AE1079" s="60"/>
      <c r="AF1079" s="62"/>
      <c r="AG1079" s="62"/>
      <c r="AH1079" s="62"/>
      <c r="AI1079" s="61"/>
      <c r="AJ1079" s="62"/>
      <c r="AK1079" s="62"/>
      <c r="AL1079" s="62"/>
      <c r="AM1079" s="62"/>
      <c r="AN1079" s="62"/>
      <c r="AO1079" s="62"/>
      <c r="AP1079" s="62"/>
      <c r="AQ1079" s="62"/>
      <c r="AR1079" s="62"/>
      <c r="AS1079" s="62"/>
      <c r="AT1079" s="62"/>
      <c r="AU1079" s="62"/>
      <c r="AV1079" s="62"/>
      <c r="AW1079" s="62"/>
      <c r="AX1079" s="62"/>
      <c r="AY1079" s="62"/>
      <c r="AZ1079" s="62"/>
    </row>
    <row r="1080" spans="1:52" x14ac:dyDescent="0.25">
      <c r="A1080" s="62"/>
      <c r="B1080" s="68"/>
      <c r="C1080" s="86"/>
      <c r="D1080" s="60"/>
      <c r="E1080" s="60"/>
      <c r="F1080" s="60"/>
      <c r="G1080" s="60"/>
      <c r="H1080" s="62"/>
      <c r="I1080" s="62"/>
      <c r="J1080" s="62"/>
      <c r="K1080" s="61"/>
      <c r="L1080" s="62"/>
      <c r="M1080" s="62"/>
      <c r="N1080" s="68"/>
      <c r="O1080" s="86"/>
      <c r="P1080" s="71"/>
      <c r="Q1080" s="86"/>
      <c r="R1080" s="86"/>
      <c r="S1080" s="60"/>
      <c r="T1080" s="62"/>
      <c r="U1080" s="62"/>
      <c r="V1080" s="62"/>
      <c r="W1080" s="61"/>
      <c r="X1080" s="62"/>
      <c r="Y1080" s="62"/>
      <c r="Z1080" s="68"/>
      <c r="AA1080" s="86"/>
      <c r="AB1080" s="60"/>
      <c r="AC1080" s="60"/>
      <c r="AD1080" s="60"/>
      <c r="AE1080" s="60"/>
      <c r="AF1080" s="62"/>
      <c r="AG1080" s="62"/>
      <c r="AH1080" s="62"/>
      <c r="AI1080" s="61"/>
      <c r="AJ1080" s="62"/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  <c r="AU1080" s="62"/>
      <c r="AV1080" s="62"/>
      <c r="AW1080" s="62"/>
      <c r="AX1080" s="62"/>
      <c r="AY1080" s="62"/>
      <c r="AZ1080" s="62"/>
    </row>
    <row r="1081" spans="1:52" x14ac:dyDescent="0.25">
      <c r="A1081" s="62"/>
      <c r="B1081" s="68"/>
      <c r="C1081" s="86"/>
      <c r="D1081" s="60"/>
      <c r="E1081" s="60"/>
      <c r="F1081" s="60"/>
      <c r="G1081" s="60"/>
      <c r="H1081" s="62"/>
      <c r="I1081" s="62"/>
      <c r="J1081" s="62"/>
      <c r="K1081" s="61"/>
      <c r="L1081" s="62"/>
      <c r="M1081" s="62"/>
      <c r="N1081" s="68"/>
      <c r="O1081" s="62"/>
      <c r="P1081" s="71"/>
      <c r="Q1081" s="86"/>
      <c r="R1081" s="86"/>
      <c r="S1081" s="60"/>
      <c r="T1081" s="62"/>
      <c r="U1081" s="62"/>
      <c r="V1081" s="62"/>
      <c r="W1081" s="61"/>
      <c r="X1081" s="62"/>
      <c r="Y1081" s="62"/>
      <c r="Z1081" s="68"/>
      <c r="AA1081" s="86"/>
      <c r="AB1081" s="60"/>
      <c r="AC1081" s="60"/>
      <c r="AD1081" s="60"/>
      <c r="AE1081" s="60"/>
      <c r="AF1081" s="62"/>
      <c r="AG1081" s="62"/>
      <c r="AH1081" s="62"/>
      <c r="AI1081" s="61"/>
      <c r="AJ1081" s="62"/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  <c r="AU1081" s="62"/>
      <c r="AV1081" s="62"/>
      <c r="AW1081" s="62"/>
      <c r="AX1081" s="62"/>
      <c r="AY1081" s="62"/>
      <c r="AZ1081" s="62"/>
    </row>
    <row r="1082" spans="1:52" x14ac:dyDescent="0.25">
      <c r="A1082" s="62"/>
      <c r="B1082" s="68"/>
      <c r="C1082" s="86"/>
      <c r="D1082" s="60"/>
      <c r="E1082" s="60"/>
      <c r="F1082" s="60"/>
      <c r="G1082" s="60"/>
      <c r="H1082" s="62"/>
      <c r="I1082" s="62"/>
      <c r="J1082" s="62"/>
      <c r="K1082" s="61"/>
      <c r="L1082" s="62"/>
      <c r="M1082" s="62"/>
      <c r="N1082" s="68"/>
      <c r="O1082" s="86"/>
      <c r="P1082" s="71"/>
      <c r="Q1082" s="86"/>
      <c r="R1082" s="86"/>
      <c r="S1082" s="60"/>
      <c r="T1082" s="62"/>
      <c r="U1082" s="62"/>
      <c r="V1082" s="62"/>
      <c r="W1082" s="61"/>
      <c r="X1082" s="62"/>
      <c r="Y1082" s="62"/>
      <c r="Z1082" s="68"/>
      <c r="AA1082" s="86"/>
      <c r="AB1082" s="60"/>
      <c r="AC1082" s="60"/>
      <c r="AD1082" s="60"/>
      <c r="AE1082" s="60"/>
      <c r="AF1082" s="62"/>
      <c r="AG1082" s="62"/>
      <c r="AH1082" s="62"/>
      <c r="AI1082" s="61"/>
      <c r="AJ1082" s="62"/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  <c r="AU1082" s="62"/>
      <c r="AV1082" s="62"/>
      <c r="AW1082" s="62"/>
      <c r="AX1082" s="62"/>
      <c r="AY1082" s="62"/>
      <c r="AZ1082" s="62"/>
    </row>
    <row r="1083" spans="1:52" x14ac:dyDescent="0.25">
      <c r="A1083" s="62"/>
      <c r="B1083" s="68"/>
      <c r="C1083" s="68"/>
      <c r="D1083" s="60"/>
      <c r="E1083" s="60"/>
      <c r="F1083" s="60"/>
      <c r="G1083" s="60"/>
      <c r="H1083" s="62"/>
      <c r="I1083" s="62"/>
      <c r="J1083" s="62"/>
      <c r="K1083" s="61"/>
      <c r="L1083" s="62"/>
      <c r="M1083" s="62"/>
      <c r="N1083" s="86"/>
      <c r="O1083" s="86"/>
      <c r="P1083" s="86"/>
      <c r="Q1083" s="86"/>
      <c r="R1083" s="86"/>
      <c r="S1083" s="86"/>
      <c r="T1083" s="62"/>
      <c r="U1083" s="62"/>
      <c r="V1083" s="62"/>
      <c r="W1083" s="61"/>
      <c r="X1083" s="62"/>
      <c r="Y1083" s="62"/>
      <c r="Z1083" s="68"/>
      <c r="AA1083" s="68"/>
      <c r="AB1083" s="60"/>
      <c r="AC1083" s="60"/>
      <c r="AD1083" s="60"/>
      <c r="AE1083" s="60"/>
      <c r="AF1083" s="62"/>
      <c r="AG1083" s="62"/>
      <c r="AH1083" s="62"/>
      <c r="AI1083" s="61"/>
      <c r="AJ1083" s="62"/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  <c r="AU1083" s="62"/>
      <c r="AV1083" s="62"/>
      <c r="AW1083" s="62"/>
      <c r="AX1083" s="62"/>
      <c r="AY1083" s="62"/>
      <c r="AZ1083" s="62"/>
    </row>
    <row r="1084" spans="1:52" x14ac:dyDescent="0.25">
      <c r="A1084" s="62"/>
      <c r="B1084" s="86"/>
      <c r="C1084" s="86"/>
      <c r="D1084" s="86"/>
      <c r="E1084" s="86"/>
      <c r="F1084" s="86"/>
      <c r="G1084" s="86"/>
      <c r="H1084" s="62"/>
      <c r="I1084" s="62"/>
      <c r="J1084" s="62"/>
      <c r="K1084" s="62"/>
      <c r="L1084" s="62"/>
      <c r="M1084" s="62"/>
      <c r="N1084" s="86"/>
      <c r="O1084" s="86"/>
      <c r="P1084" s="86"/>
      <c r="Q1084" s="86"/>
      <c r="R1084" s="86"/>
      <c r="S1084" s="86"/>
      <c r="T1084" s="62"/>
      <c r="U1084" s="62"/>
      <c r="V1084" s="62"/>
      <c r="W1084" s="62"/>
      <c r="X1084" s="62"/>
      <c r="Y1084" s="62"/>
      <c r="Z1084" s="86"/>
      <c r="AA1084" s="86"/>
      <c r="AB1084" s="86"/>
      <c r="AC1084" s="86"/>
      <c r="AD1084" s="86"/>
      <c r="AE1084" s="86"/>
      <c r="AF1084" s="62"/>
      <c r="AG1084" s="62"/>
      <c r="AH1084" s="62"/>
      <c r="AI1084" s="62"/>
      <c r="AJ1084" s="62"/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  <c r="AU1084" s="62"/>
      <c r="AV1084" s="62"/>
      <c r="AW1084" s="62"/>
      <c r="AX1084" s="62"/>
      <c r="AY1084" s="62"/>
      <c r="AZ1084" s="62"/>
    </row>
    <row r="1085" spans="1:52" x14ac:dyDescent="0.25">
      <c r="A1085" s="62"/>
      <c r="B1085" s="86"/>
      <c r="C1085" s="86"/>
      <c r="D1085" s="72"/>
      <c r="E1085" s="72"/>
      <c r="F1085" s="72"/>
      <c r="G1085" s="72"/>
      <c r="H1085" s="64"/>
      <c r="I1085" s="72"/>
      <c r="J1085" s="72"/>
      <c r="K1085" s="72"/>
      <c r="L1085" s="62"/>
      <c r="M1085" s="62"/>
      <c r="N1085" s="86"/>
      <c r="O1085" s="86"/>
      <c r="P1085" s="72"/>
      <c r="Q1085" s="72"/>
      <c r="R1085" s="72"/>
      <c r="S1085" s="72"/>
      <c r="T1085" s="64"/>
      <c r="U1085" s="73"/>
      <c r="V1085" s="73"/>
      <c r="W1085" s="73"/>
      <c r="X1085" s="62"/>
      <c r="Y1085" s="62"/>
      <c r="Z1085" s="86"/>
      <c r="AA1085" s="86"/>
      <c r="AB1085" s="72"/>
      <c r="AC1085" s="72"/>
      <c r="AD1085" s="72"/>
      <c r="AE1085" s="72"/>
      <c r="AF1085" s="64"/>
      <c r="AG1085" s="72"/>
      <c r="AH1085" s="72"/>
      <c r="AI1085" s="72"/>
      <c r="AJ1085" s="62"/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  <c r="AU1085" s="62"/>
      <c r="AV1085" s="62"/>
      <c r="AW1085" s="62"/>
      <c r="AX1085" s="62"/>
      <c r="AY1085" s="62"/>
      <c r="AZ1085" s="62"/>
    </row>
    <row r="1086" spans="1:52" x14ac:dyDescent="0.25">
      <c r="A1086" s="62"/>
      <c r="B1086" s="62"/>
      <c r="C1086" s="62"/>
      <c r="D1086" s="62"/>
      <c r="E1086" s="62"/>
      <c r="F1086" s="62"/>
      <c r="G1086" s="62"/>
      <c r="H1086" s="62"/>
      <c r="I1086" s="62"/>
      <c r="J1086" s="62"/>
      <c r="K1086" s="62"/>
      <c r="L1086" s="62"/>
      <c r="M1086" s="62"/>
      <c r="N1086" s="62"/>
      <c r="O1086" s="62"/>
      <c r="P1086" s="62"/>
      <c r="Q1086" s="62"/>
      <c r="R1086" s="62"/>
      <c r="S1086" s="62"/>
      <c r="T1086" s="62"/>
      <c r="U1086" s="62"/>
      <c r="V1086" s="62"/>
      <c r="W1086" s="62"/>
      <c r="X1086" s="62"/>
      <c r="Y1086" s="62"/>
      <c r="Z1086" s="62"/>
      <c r="AA1086" s="62"/>
      <c r="AB1086" s="62"/>
      <c r="AC1086" s="62"/>
      <c r="AD1086" s="62"/>
      <c r="AE1086" s="62"/>
      <c r="AF1086" s="62"/>
      <c r="AG1086" s="62"/>
      <c r="AH1086" s="62"/>
      <c r="AI1086" s="62"/>
      <c r="AJ1086" s="62"/>
      <c r="AK1086" s="62"/>
      <c r="AL1086" s="62"/>
      <c r="AM1086" s="62"/>
      <c r="AN1086" s="62"/>
      <c r="AO1086" s="62"/>
      <c r="AP1086" s="62"/>
      <c r="AQ1086" s="62"/>
      <c r="AR1086" s="62"/>
      <c r="AS1086" s="62"/>
      <c r="AT1086" s="62"/>
      <c r="AU1086" s="62"/>
      <c r="AV1086" s="62"/>
      <c r="AW1086" s="62"/>
      <c r="AX1086" s="62"/>
      <c r="AY1086" s="62"/>
      <c r="AZ1086" s="62"/>
    </row>
    <row r="1087" spans="1:52" x14ac:dyDescent="0.25">
      <c r="A1087" s="62"/>
      <c r="B1087" s="86"/>
      <c r="C1087" s="86"/>
      <c r="D1087" s="86"/>
      <c r="E1087" s="86"/>
      <c r="F1087" s="86"/>
      <c r="G1087" s="86"/>
      <c r="H1087" s="62"/>
      <c r="I1087" s="62"/>
      <c r="J1087" s="62"/>
      <c r="K1087" s="62"/>
      <c r="L1087" s="62"/>
      <c r="M1087" s="62"/>
      <c r="N1087" s="86"/>
      <c r="O1087" s="86"/>
      <c r="P1087" s="86"/>
      <c r="Q1087" s="86"/>
      <c r="R1087" s="86"/>
      <c r="S1087" s="86"/>
      <c r="T1087" s="62"/>
      <c r="U1087" s="62"/>
      <c r="V1087" s="62"/>
      <c r="W1087" s="62"/>
      <c r="X1087" s="62"/>
      <c r="Y1087" s="62"/>
      <c r="Z1087" s="86"/>
      <c r="AA1087" s="86"/>
      <c r="AB1087" s="86"/>
      <c r="AC1087" s="86"/>
      <c r="AD1087" s="86"/>
      <c r="AE1087" s="86"/>
      <c r="AF1087" s="62"/>
      <c r="AG1087" s="62"/>
      <c r="AH1087" s="62"/>
      <c r="AI1087" s="62"/>
      <c r="AJ1087" s="62"/>
      <c r="AK1087" s="62"/>
      <c r="AL1087" s="62"/>
      <c r="AM1087" s="62"/>
      <c r="AN1087" s="62"/>
      <c r="AO1087" s="62"/>
      <c r="AP1087" s="62"/>
      <c r="AQ1087" s="62"/>
      <c r="AR1087" s="62"/>
      <c r="AS1087" s="62"/>
      <c r="AT1087" s="62"/>
      <c r="AU1087" s="62"/>
      <c r="AV1087" s="62"/>
      <c r="AW1087" s="62"/>
      <c r="AX1087" s="62"/>
      <c r="AY1087" s="62"/>
      <c r="AZ1087" s="62"/>
    </row>
    <row r="1088" spans="1:52" x14ac:dyDescent="0.25">
      <c r="A1088" s="62"/>
      <c r="B1088" s="86"/>
      <c r="C1088" s="86"/>
      <c r="D1088" s="86"/>
      <c r="E1088" s="86"/>
      <c r="F1088" s="86"/>
      <c r="G1088" s="86"/>
      <c r="H1088" s="62"/>
      <c r="I1088" s="62"/>
      <c r="J1088" s="62"/>
      <c r="K1088" s="62"/>
      <c r="L1088" s="62"/>
      <c r="M1088" s="62"/>
      <c r="N1088" s="86"/>
      <c r="O1088" s="86"/>
      <c r="P1088" s="86"/>
      <c r="Q1088" s="86"/>
      <c r="R1088" s="86"/>
      <c r="S1088" s="86"/>
      <c r="T1088" s="62"/>
      <c r="U1088" s="62"/>
      <c r="V1088" s="62"/>
      <c r="W1088" s="62"/>
      <c r="X1088" s="62"/>
      <c r="Y1088" s="62"/>
      <c r="Z1088" s="86"/>
      <c r="AA1088" s="86"/>
      <c r="AB1088" s="86"/>
      <c r="AC1088" s="86"/>
      <c r="AD1088" s="86"/>
      <c r="AE1088" s="86"/>
      <c r="AF1088" s="62"/>
      <c r="AG1088" s="62"/>
      <c r="AH1088" s="62"/>
      <c r="AI1088" s="62"/>
      <c r="AJ1088" s="62"/>
      <c r="AK1088" s="62"/>
      <c r="AL1088" s="62"/>
      <c r="AM1088" s="62"/>
      <c r="AN1088" s="62"/>
      <c r="AO1088" s="62"/>
      <c r="AP1088" s="62"/>
      <c r="AQ1088" s="62"/>
      <c r="AR1088" s="62"/>
      <c r="AS1088" s="62"/>
      <c r="AT1088" s="62"/>
      <c r="AU1088" s="62"/>
      <c r="AV1088" s="62"/>
      <c r="AW1088" s="62"/>
      <c r="AX1088" s="62"/>
      <c r="AY1088" s="62"/>
      <c r="AZ1088" s="62"/>
    </row>
    <row r="1089" spans="1:52" x14ac:dyDescent="0.25">
      <c r="A1089" s="62"/>
      <c r="B1089" s="86"/>
      <c r="C1089" s="86"/>
      <c r="D1089" s="86"/>
      <c r="E1089" s="86"/>
      <c r="F1089" s="86"/>
      <c r="G1089" s="86"/>
      <c r="H1089" s="62"/>
      <c r="I1089" s="62"/>
      <c r="J1089" s="62"/>
      <c r="K1089" s="62"/>
      <c r="L1089" s="62"/>
      <c r="M1089" s="62"/>
      <c r="N1089" s="86"/>
      <c r="O1089" s="86"/>
      <c r="P1089" s="86"/>
      <c r="Q1089" s="86"/>
      <c r="R1089" s="86"/>
      <c r="S1089" s="86"/>
      <c r="T1089" s="62"/>
      <c r="U1089" s="62"/>
      <c r="V1089" s="62"/>
      <c r="W1089" s="62"/>
      <c r="X1089" s="62"/>
      <c r="Y1089" s="62"/>
      <c r="Z1089" s="86"/>
      <c r="AA1089" s="86"/>
      <c r="AB1089" s="86"/>
      <c r="AC1089" s="86"/>
      <c r="AD1089" s="86"/>
      <c r="AE1089" s="86"/>
      <c r="AF1089" s="62"/>
      <c r="AG1089" s="62"/>
      <c r="AH1089" s="62"/>
      <c r="AI1089" s="62"/>
      <c r="AJ1089" s="62"/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  <c r="AU1089" s="62"/>
      <c r="AV1089" s="62"/>
      <c r="AW1089" s="62"/>
      <c r="AX1089" s="62"/>
      <c r="AY1089" s="62"/>
      <c r="AZ1089" s="62"/>
    </row>
    <row r="1090" spans="1:52" x14ac:dyDescent="0.25">
      <c r="A1090" s="64"/>
      <c r="B1090" s="86"/>
      <c r="C1090" s="86"/>
      <c r="D1090" s="86"/>
      <c r="E1090" s="86"/>
      <c r="F1090" s="86"/>
      <c r="G1090" s="86"/>
      <c r="H1090" s="62"/>
      <c r="I1090" s="62"/>
      <c r="J1090" s="62"/>
      <c r="K1090" s="62"/>
      <c r="L1090" s="62"/>
      <c r="M1090" s="64"/>
      <c r="N1090" s="86"/>
      <c r="O1090" s="86"/>
      <c r="P1090" s="86"/>
      <c r="Q1090" s="86"/>
      <c r="R1090" s="86"/>
      <c r="S1090" s="86"/>
      <c r="T1090" s="62"/>
      <c r="U1090" s="62"/>
      <c r="V1090" s="62"/>
      <c r="W1090" s="62"/>
      <c r="X1090" s="62"/>
      <c r="Y1090" s="64"/>
      <c r="Z1090" s="86"/>
      <c r="AA1090" s="86"/>
      <c r="AB1090" s="86"/>
      <c r="AC1090" s="86"/>
      <c r="AD1090" s="86"/>
      <c r="AE1090" s="86"/>
      <c r="AF1090" s="62"/>
      <c r="AG1090" s="62"/>
      <c r="AH1090" s="62"/>
      <c r="AI1090" s="62"/>
      <c r="AJ1090" s="62"/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  <c r="AU1090" s="62"/>
      <c r="AV1090" s="62"/>
      <c r="AW1090" s="62"/>
      <c r="AX1090" s="62"/>
      <c r="AY1090" s="62"/>
      <c r="AZ1090" s="62"/>
    </row>
    <row r="1091" spans="1:52" x14ac:dyDescent="0.25">
      <c r="A1091" s="62"/>
      <c r="B1091" s="86"/>
      <c r="C1091" s="86"/>
      <c r="D1091" s="86"/>
      <c r="E1091" s="86"/>
      <c r="F1091" s="86"/>
      <c r="G1091" s="86"/>
      <c r="H1091" s="62"/>
      <c r="I1091" s="62"/>
      <c r="J1091" s="62"/>
      <c r="K1091" s="62"/>
      <c r="L1091" s="62"/>
      <c r="M1091" s="62"/>
      <c r="N1091" s="86"/>
      <c r="O1091" s="86"/>
      <c r="P1091" s="86"/>
      <c r="Q1091" s="86"/>
      <c r="R1091" s="86"/>
      <c r="S1091" s="86"/>
      <c r="T1091" s="62"/>
      <c r="U1091" s="62"/>
      <c r="V1091" s="62"/>
      <c r="W1091" s="62"/>
      <c r="X1091" s="62"/>
      <c r="Y1091" s="62"/>
      <c r="Z1091" s="86"/>
      <c r="AA1091" s="86"/>
      <c r="AB1091" s="86"/>
      <c r="AC1091" s="86"/>
      <c r="AD1091" s="86"/>
      <c r="AE1091" s="86"/>
      <c r="AF1091" s="62"/>
      <c r="AG1091" s="62"/>
      <c r="AH1091" s="62"/>
      <c r="AI1091" s="62"/>
      <c r="AJ1091" s="62"/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  <c r="AU1091" s="62"/>
      <c r="AV1091" s="62"/>
      <c r="AW1091" s="62"/>
      <c r="AX1091" s="62"/>
      <c r="AY1091" s="62"/>
      <c r="AZ1091" s="62"/>
    </row>
    <row r="1092" spans="1:52" ht="15.75" x14ac:dyDescent="0.25">
      <c r="A1092" s="62"/>
      <c r="B1092" s="86"/>
      <c r="C1092" s="86"/>
      <c r="D1092" s="86"/>
      <c r="E1092" s="86"/>
      <c r="F1092" s="86"/>
      <c r="G1092" s="86"/>
      <c r="H1092" s="62"/>
      <c r="I1092" s="86"/>
      <c r="J1092" s="77"/>
      <c r="K1092" s="62"/>
      <c r="L1092" s="62"/>
      <c r="M1092" s="62"/>
      <c r="N1092" s="86"/>
      <c r="O1092" s="86"/>
      <c r="P1092" s="86"/>
      <c r="Q1092" s="86"/>
      <c r="R1092" s="86"/>
      <c r="S1092" s="86"/>
      <c r="T1092" s="62"/>
      <c r="U1092" s="86"/>
      <c r="V1092" s="77"/>
      <c r="W1092" s="62"/>
      <c r="X1092" s="62"/>
      <c r="Y1092" s="62"/>
      <c r="Z1092" s="86"/>
      <c r="AA1092" s="86"/>
      <c r="AB1092" s="86"/>
      <c r="AC1092" s="86"/>
      <c r="AD1092" s="86"/>
      <c r="AE1092" s="86"/>
      <c r="AF1092" s="62"/>
      <c r="AG1092" s="86"/>
      <c r="AH1092" s="86"/>
      <c r="AI1092" s="62"/>
      <c r="AJ1092" s="62"/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  <c r="AU1092" s="62"/>
      <c r="AV1092" s="62"/>
      <c r="AW1092" s="62"/>
      <c r="AX1092" s="62"/>
      <c r="AY1092" s="62"/>
      <c r="AZ1092" s="62"/>
    </row>
    <row r="1093" spans="1:52" x14ac:dyDescent="0.25">
      <c r="A1093" s="65"/>
      <c r="B1093" s="86"/>
      <c r="C1093" s="86"/>
      <c r="D1093" s="86"/>
      <c r="E1093" s="86"/>
      <c r="F1093" s="86"/>
      <c r="G1093" s="86"/>
      <c r="H1093" s="62"/>
      <c r="I1093" s="66"/>
      <c r="J1093" s="66"/>
      <c r="K1093" s="62"/>
      <c r="L1093" s="62"/>
      <c r="M1093" s="65"/>
      <c r="N1093" s="86"/>
      <c r="O1093" s="86"/>
      <c r="P1093" s="86"/>
      <c r="Q1093" s="86"/>
      <c r="R1093" s="86"/>
      <c r="S1093" s="86"/>
      <c r="T1093" s="62"/>
      <c r="U1093" s="66"/>
      <c r="V1093" s="66"/>
      <c r="W1093" s="62"/>
      <c r="X1093" s="62"/>
      <c r="Y1093" s="65"/>
      <c r="Z1093" s="86"/>
      <c r="AA1093" s="86"/>
      <c r="AB1093" s="86"/>
      <c r="AC1093" s="86"/>
      <c r="AD1093" s="86"/>
      <c r="AE1093" s="86"/>
      <c r="AF1093" s="62"/>
      <c r="AG1093" s="66"/>
      <c r="AH1093" s="66"/>
      <c r="AI1093" s="62"/>
      <c r="AJ1093" s="62"/>
      <c r="AK1093" s="62"/>
      <c r="AL1093" s="62"/>
      <c r="AM1093" s="62"/>
      <c r="AN1093" s="62"/>
      <c r="AO1093" s="62"/>
      <c r="AP1093" s="62"/>
      <c r="AQ1093" s="62"/>
      <c r="AR1093" s="62"/>
      <c r="AS1093" s="62"/>
      <c r="AT1093" s="62"/>
      <c r="AU1093" s="62"/>
      <c r="AV1093" s="62"/>
      <c r="AW1093" s="62"/>
      <c r="AX1093" s="62"/>
      <c r="AY1093" s="62"/>
      <c r="AZ1093" s="62"/>
    </row>
    <row r="1094" spans="1:52" x14ac:dyDescent="0.25">
      <c r="A1094" s="62"/>
      <c r="B1094" s="86"/>
      <c r="C1094" s="86"/>
      <c r="D1094" s="86"/>
      <c r="E1094" s="86"/>
      <c r="F1094" s="86"/>
      <c r="G1094" s="86"/>
      <c r="H1094" s="62"/>
      <c r="I1094" s="62"/>
      <c r="J1094" s="62"/>
      <c r="K1094" s="62"/>
      <c r="L1094" s="62"/>
      <c r="M1094" s="62"/>
      <c r="N1094" s="86"/>
      <c r="O1094" s="86"/>
      <c r="P1094" s="86"/>
      <c r="Q1094" s="86"/>
      <c r="R1094" s="86"/>
      <c r="S1094" s="86"/>
      <c r="T1094" s="62"/>
      <c r="U1094" s="62"/>
      <c r="V1094" s="62"/>
      <c r="W1094" s="62"/>
      <c r="X1094" s="62"/>
      <c r="Y1094" s="62"/>
      <c r="Z1094" s="86"/>
      <c r="AA1094" s="86"/>
      <c r="AB1094" s="86"/>
      <c r="AC1094" s="86"/>
      <c r="AD1094" s="86"/>
      <c r="AE1094" s="86"/>
      <c r="AF1094" s="62"/>
      <c r="AG1094" s="62"/>
      <c r="AH1094" s="62"/>
      <c r="AI1094" s="62"/>
      <c r="AJ1094" s="62"/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  <c r="AU1094" s="62"/>
      <c r="AV1094" s="62"/>
      <c r="AW1094" s="62"/>
      <c r="AX1094" s="62"/>
      <c r="AY1094" s="62"/>
      <c r="AZ1094" s="62"/>
    </row>
    <row r="1095" spans="1:52" x14ac:dyDescent="0.25">
      <c r="A1095" s="62"/>
      <c r="B1095" s="66"/>
      <c r="C1095" s="86"/>
      <c r="D1095" s="116"/>
      <c r="E1095" s="116"/>
      <c r="F1095" s="86"/>
      <c r="G1095" s="86"/>
      <c r="H1095" s="62"/>
      <c r="I1095" s="116"/>
      <c r="J1095" s="116"/>
      <c r="K1095" s="115"/>
      <c r="L1095" s="62"/>
      <c r="M1095" s="62"/>
      <c r="N1095" s="66"/>
      <c r="O1095" s="86"/>
      <c r="P1095" s="116"/>
      <c r="Q1095" s="116"/>
      <c r="R1095" s="86"/>
      <c r="S1095" s="86"/>
      <c r="T1095" s="62"/>
      <c r="U1095" s="116"/>
      <c r="V1095" s="116"/>
      <c r="W1095" s="115"/>
      <c r="X1095" s="62"/>
      <c r="Y1095" s="62"/>
      <c r="Z1095" s="66"/>
      <c r="AA1095" s="86"/>
      <c r="AB1095" s="116"/>
      <c r="AC1095" s="116"/>
      <c r="AD1095" s="86"/>
      <c r="AE1095" s="86"/>
      <c r="AF1095" s="62"/>
      <c r="AG1095" s="116"/>
      <c r="AH1095" s="116"/>
      <c r="AI1095" s="115"/>
      <c r="AJ1095" s="62"/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  <c r="AU1095" s="62"/>
      <c r="AV1095" s="62"/>
      <c r="AW1095" s="62"/>
      <c r="AX1095" s="62"/>
      <c r="AY1095" s="62"/>
      <c r="AZ1095" s="62"/>
    </row>
    <row r="1096" spans="1:52" x14ac:dyDescent="0.25">
      <c r="A1096" s="62"/>
      <c r="B1096" s="86"/>
      <c r="C1096" s="86"/>
      <c r="D1096" s="87"/>
      <c r="E1096" s="88"/>
      <c r="F1096" s="89"/>
      <c r="G1096" s="89"/>
      <c r="H1096" s="62"/>
      <c r="I1096" s="85"/>
      <c r="J1096" s="85"/>
      <c r="K1096" s="115"/>
      <c r="L1096" s="62"/>
      <c r="M1096" s="62"/>
      <c r="N1096" s="86"/>
      <c r="O1096" s="86"/>
      <c r="P1096" s="87"/>
      <c r="Q1096" s="89"/>
      <c r="R1096" s="89"/>
      <c r="S1096" s="89"/>
      <c r="T1096" s="62"/>
      <c r="U1096" s="85"/>
      <c r="V1096" s="85"/>
      <c r="W1096" s="115"/>
      <c r="X1096" s="62"/>
      <c r="Y1096" s="62"/>
      <c r="Z1096" s="86"/>
      <c r="AA1096" s="86"/>
      <c r="AB1096" s="87"/>
      <c r="AC1096" s="88"/>
      <c r="AD1096" s="89"/>
      <c r="AE1096" s="89"/>
      <c r="AF1096" s="62"/>
      <c r="AG1096" s="85"/>
      <c r="AH1096" s="85"/>
      <c r="AI1096" s="115"/>
      <c r="AJ1096" s="62"/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  <c r="AU1096" s="62"/>
      <c r="AV1096" s="62"/>
      <c r="AW1096" s="62"/>
      <c r="AX1096" s="62"/>
      <c r="AY1096" s="62"/>
      <c r="AZ1096" s="62"/>
    </row>
    <row r="1097" spans="1:52" x14ac:dyDescent="0.25">
      <c r="A1097" s="62"/>
      <c r="B1097" s="68"/>
      <c r="C1097" s="86"/>
      <c r="D1097" s="60"/>
      <c r="E1097" s="60"/>
      <c r="F1097" s="60"/>
      <c r="G1097" s="60"/>
      <c r="H1097" s="61"/>
      <c r="I1097" s="61"/>
      <c r="J1097" s="61"/>
      <c r="K1097" s="61"/>
      <c r="L1097" s="62"/>
      <c r="M1097" s="62"/>
      <c r="N1097" s="68"/>
      <c r="O1097" s="86"/>
      <c r="P1097" s="60"/>
      <c r="Q1097" s="60"/>
      <c r="R1097" s="60"/>
      <c r="S1097" s="60"/>
      <c r="T1097" s="61"/>
      <c r="U1097" s="61"/>
      <c r="V1097" s="61"/>
      <c r="W1097" s="61"/>
      <c r="X1097" s="62"/>
      <c r="Y1097" s="62"/>
      <c r="Z1097" s="68"/>
      <c r="AA1097" s="86"/>
      <c r="AB1097" s="60"/>
      <c r="AC1097" s="60"/>
      <c r="AD1097" s="60"/>
      <c r="AE1097" s="60"/>
      <c r="AF1097" s="61"/>
      <c r="AG1097" s="61"/>
      <c r="AH1097" s="61"/>
      <c r="AI1097" s="61"/>
      <c r="AJ1097" s="62"/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  <c r="AU1097" s="62"/>
      <c r="AV1097" s="62"/>
      <c r="AW1097" s="62"/>
      <c r="AX1097" s="62"/>
      <c r="AY1097" s="62"/>
      <c r="AZ1097" s="62"/>
    </row>
    <row r="1098" spans="1:52" x14ac:dyDescent="0.25">
      <c r="A1098" s="62"/>
      <c r="B1098" s="68"/>
      <c r="C1098" s="86"/>
      <c r="D1098" s="60"/>
      <c r="E1098" s="60"/>
      <c r="F1098" s="60"/>
      <c r="G1098" s="60"/>
      <c r="H1098" s="61"/>
      <c r="I1098" s="61"/>
      <c r="J1098" s="61"/>
      <c r="K1098" s="61"/>
      <c r="L1098" s="62"/>
      <c r="M1098" s="62"/>
      <c r="N1098" s="68"/>
      <c r="O1098" s="86"/>
      <c r="P1098" s="60"/>
      <c r="Q1098" s="60"/>
      <c r="R1098" s="60"/>
      <c r="S1098" s="60"/>
      <c r="T1098" s="61"/>
      <c r="U1098" s="61"/>
      <c r="V1098" s="61"/>
      <c r="W1098" s="61"/>
      <c r="X1098" s="62"/>
      <c r="Y1098" s="62"/>
      <c r="Z1098" s="68"/>
      <c r="AA1098" s="86"/>
      <c r="AB1098" s="60"/>
      <c r="AC1098" s="60"/>
      <c r="AD1098" s="60"/>
      <c r="AE1098" s="60"/>
      <c r="AF1098" s="61"/>
      <c r="AG1098" s="61"/>
      <c r="AH1098" s="61"/>
      <c r="AI1098" s="61"/>
      <c r="AJ1098" s="62"/>
      <c r="AK1098" s="62"/>
      <c r="AL1098" s="62"/>
      <c r="AM1098" s="62"/>
      <c r="AN1098" s="62"/>
      <c r="AO1098" s="62"/>
      <c r="AP1098" s="62"/>
      <c r="AQ1098" s="62"/>
      <c r="AR1098" s="62"/>
      <c r="AS1098" s="62"/>
      <c r="AT1098" s="62"/>
      <c r="AU1098" s="62"/>
      <c r="AV1098" s="62"/>
      <c r="AW1098" s="62"/>
      <c r="AX1098" s="62"/>
      <c r="AY1098" s="62"/>
      <c r="AZ1098" s="62"/>
    </row>
    <row r="1099" spans="1:52" x14ac:dyDescent="0.25">
      <c r="A1099" s="62"/>
      <c r="B1099" s="68"/>
      <c r="C1099" s="86"/>
      <c r="D1099" s="60"/>
      <c r="E1099" s="60"/>
      <c r="F1099" s="60"/>
      <c r="G1099" s="60"/>
      <c r="H1099" s="61"/>
      <c r="I1099" s="61"/>
      <c r="J1099" s="61"/>
      <c r="K1099" s="61"/>
      <c r="L1099" s="62"/>
      <c r="M1099" s="62"/>
      <c r="N1099" s="68"/>
      <c r="O1099" s="86"/>
      <c r="P1099" s="60"/>
      <c r="Q1099" s="60"/>
      <c r="R1099" s="60"/>
      <c r="S1099" s="60"/>
      <c r="T1099" s="61"/>
      <c r="U1099" s="61"/>
      <c r="V1099" s="61"/>
      <c r="W1099" s="61"/>
      <c r="X1099" s="62"/>
      <c r="Y1099" s="62"/>
      <c r="Z1099" s="68"/>
      <c r="AA1099" s="86"/>
      <c r="AB1099" s="60"/>
      <c r="AC1099" s="60"/>
      <c r="AD1099" s="60"/>
      <c r="AE1099" s="60"/>
      <c r="AF1099" s="61"/>
      <c r="AG1099" s="61"/>
      <c r="AH1099" s="61"/>
      <c r="AI1099" s="61"/>
      <c r="AJ1099" s="62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  <c r="AU1099" s="62"/>
      <c r="AV1099" s="62"/>
      <c r="AW1099" s="62"/>
      <c r="AX1099" s="62"/>
      <c r="AY1099" s="62"/>
      <c r="AZ1099" s="62"/>
    </row>
    <row r="1100" spans="1:52" x14ac:dyDescent="0.25">
      <c r="A1100" s="62"/>
      <c r="B1100" s="68"/>
      <c r="C1100" s="66"/>
      <c r="D1100" s="60"/>
      <c r="E1100" s="60"/>
      <c r="F1100" s="60"/>
      <c r="G1100" s="60"/>
      <c r="H1100" s="61"/>
      <c r="I1100" s="61"/>
      <c r="J1100" s="61"/>
      <c r="K1100" s="61"/>
      <c r="L1100" s="62"/>
      <c r="M1100" s="62"/>
      <c r="N1100" s="68"/>
      <c r="O1100" s="86"/>
      <c r="P1100" s="60"/>
      <c r="Q1100" s="60"/>
      <c r="R1100" s="60"/>
      <c r="S1100" s="60"/>
      <c r="T1100" s="61"/>
      <c r="U1100" s="61"/>
      <c r="V1100" s="61"/>
      <c r="W1100" s="61"/>
      <c r="X1100" s="62"/>
      <c r="Y1100" s="62"/>
      <c r="Z1100" s="68"/>
      <c r="AA1100" s="86"/>
      <c r="AB1100" s="60"/>
      <c r="AC1100" s="60"/>
      <c r="AD1100" s="60"/>
      <c r="AE1100" s="60"/>
      <c r="AF1100" s="61"/>
      <c r="AG1100" s="61"/>
      <c r="AH1100" s="61"/>
      <c r="AI1100" s="61"/>
      <c r="AJ1100" s="62"/>
      <c r="AK1100" s="62"/>
      <c r="AL1100" s="62"/>
      <c r="AM1100" s="62"/>
      <c r="AN1100" s="62"/>
      <c r="AO1100" s="62"/>
      <c r="AP1100" s="62"/>
      <c r="AQ1100" s="62"/>
      <c r="AR1100" s="62"/>
      <c r="AS1100" s="62"/>
      <c r="AT1100" s="62"/>
      <c r="AU1100" s="62"/>
      <c r="AV1100" s="62"/>
      <c r="AW1100" s="62"/>
      <c r="AX1100" s="62"/>
      <c r="AY1100" s="62"/>
      <c r="AZ1100" s="62"/>
    </row>
    <row r="1101" spans="1:52" x14ac:dyDescent="0.25">
      <c r="A1101" s="62"/>
      <c r="B1101" s="68"/>
      <c r="C1101" s="86"/>
      <c r="D1101" s="60"/>
      <c r="E1101" s="60"/>
      <c r="F1101" s="60"/>
      <c r="G1101" s="60"/>
      <c r="H1101" s="61"/>
      <c r="I1101" s="61"/>
      <c r="J1101" s="61"/>
      <c r="K1101" s="61"/>
      <c r="L1101" s="62"/>
      <c r="M1101" s="62"/>
      <c r="N1101" s="68"/>
      <c r="O1101" s="86"/>
      <c r="P1101" s="60"/>
      <c r="Q1101" s="60"/>
      <c r="R1101" s="60"/>
      <c r="S1101" s="60"/>
      <c r="T1101" s="61"/>
      <c r="U1101" s="61"/>
      <c r="V1101" s="61"/>
      <c r="W1101" s="61"/>
      <c r="X1101" s="62"/>
      <c r="Y1101" s="62"/>
      <c r="Z1101" s="68"/>
      <c r="AA1101" s="86"/>
      <c r="AB1101" s="60"/>
      <c r="AC1101" s="60"/>
      <c r="AD1101" s="60"/>
      <c r="AE1101" s="60"/>
      <c r="AF1101" s="61"/>
      <c r="AG1101" s="61"/>
      <c r="AH1101" s="61"/>
      <c r="AI1101" s="61"/>
      <c r="AJ1101" s="62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  <c r="AU1101" s="62"/>
      <c r="AV1101" s="62"/>
      <c r="AW1101" s="62"/>
      <c r="AX1101" s="62"/>
      <c r="AY1101" s="62"/>
      <c r="AZ1101" s="62"/>
    </row>
    <row r="1102" spans="1:52" x14ac:dyDescent="0.25">
      <c r="A1102" s="62"/>
      <c r="B1102" s="68"/>
      <c r="C1102" s="86"/>
      <c r="D1102" s="60"/>
      <c r="E1102" s="60"/>
      <c r="F1102" s="60"/>
      <c r="G1102" s="60"/>
      <c r="H1102" s="61"/>
      <c r="I1102" s="61"/>
      <c r="J1102" s="61"/>
      <c r="K1102" s="61"/>
      <c r="L1102" s="62"/>
      <c r="M1102" s="62"/>
      <c r="N1102" s="68"/>
      <c r="O1102" s="86"/>
      <c r="P1102" s="60"/>
      <c r="Q1102" s="60"/>
      <c r="R1102" s="60"/>
      <c r="S1102" s="60"/>
      <c r="T1102" s="61"/>
      <c r="U1102" s="61"/>
      <c r="V1102" s="62"/>
      <c r="W1102" s="61"/>
      <c r="X1102" s="62"/>
      <c r="Y1102" s="62"/>
      <c r="Z1102" s="68"/>
      <c r="AA1102" s="86"/>
      <c r="AB1102" s="60"/>
      <c r="AC1102" s="60"/>
      <c r="AD1102" s="60"/>
      <c r="AE1102" s="60"/>
      <c r="AF1102" s="61"/>
      <c r="AG1102" s="61"/>
      <c r="AH1102" s="61"/>
      <c r="AI1102" s="61"/>
      <c r="AJ1102" s="62"/>
      <c r="AK1102" s="62"/>
      <c r="AL1102" s="62"/>
      <c r="AM1102" s="62"/>
      <c r="AN1102" s="62"/>
      <c r="AO1102" s="62"/>
      <c r="AP1102" s="62"/>
      <c r="AQ1102" s="62"/>
      <c r="AR1102" s="62"/>
      <c r="AS1102" s="62"/>
      <c r="AT1102" s="62"/>
      <c r="AU1102" s="62"/>
      <c r="AV1102" s="62"/>
      <c r="AW1102" s="62"/>
      <c r="AX1102" s="62"/>
      <c r="AY1102" s="62"/>
      <c r="AZ1102" s="62"/>
    </row>
    <row r="1103" spans="1:52" x14ac:dyDescent="0.25">
      <c r="A1103" s="62"/>
      <c r="B1103" s="68"/>
      <c r="C1103" s="86"/>
      <c r="D1103" s="60"/>
      <c r="E1103" s="60"/>
      <c r="F1103" s="60"/>
      <c r="G1103" s="60"/>
      <c r="H1103" s="61"/>
      <c r="I1103" s="61"/>
      <c r="J1103" s="61"/>
      <c r="K1103" s="61"/>
      <c r="L1103" s="62"/>
      <c r="M1103" s="62"/>
      <c r="N1103" s="68"/>
      <c r="O1103" s="86"/>
      <c r="P1103" s="60"/>
      <c r="Q1103" s="60"/>
      <c r="R1103" s="60"/>
      <c r="S1103" s="60"/>
      <c r="T1103" s="61"/>
      <c r="U1103" s="61"/>
      <c r="V1103" s="61"/>
      <c r="W1103" s="61"/>
      <c r="X1103" s="62"/>
      <c r="Y1103" s="62"/>
      <c r="Z1103" s="68"/>
      <c r="AA1103" s="66"/>
      <c r="AB1103" s="60"/>
      <c r="AC1103" s="60"/>
      <c r="AD1103" s="60"/>
      <c r="AE1103" s="60"/>
      <c r="AF1103" s="61"/>
      <c r="AG1103" s="61"/>
      <c r="AH1103" s="61"/>
      <c r="AI1103" s="61"/>
      <c r="AJ1103" s="62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  <c r="AU1103" s="62"/>
      <c r="AV1103" s="62"/>
      <c r="AW1103" s="62"/>
      <c r="AX1103" s="62"/>
      <c r="AY1103" s="62"/>
      <c r="AZ1103" s="62"/>
    </row>
    <row r="1104" spans="1:52" x14ac:dyDescent="0.25">
      <c r="A1104" s="62"/>
      <c r="B1104" s="68"/>
      <c r="C1104" s="86"/>
      <c r="D1104" s="60"/>
      <c r="E1104" s="60"/>
      <c r="F1104" s="60"/>
      <c r="G1104" s="60"/>
      <c r="H1104" s="61"/>
      <c r="I1104" s="61"/>
      <c r="J1104" s="61"/>
      <c r="K1104" s="61"/>
      <c r="L1104" s="62"/>
      <c r="M1104" s="62"/>
      <c r="N1104" s="68"/>
      <c r="O1104" s="86"/>
      <c r="P1104" s="60"/>
      <c r="Q1104" s="60"/>
      <c r="R1104" s="60"/>
      <c r="S1104" s="60"/>
      <c r="T1104" s="61"/>
      <c r="U1104" s="61"/>
      <c r="V1104" s="61"/>
      <c r="W1104" s="61"/>
      <c r="X1104" s="62"/>
      <c r="Y1104" s="62"/>
      <c r="Z1104" s="68"/>
      <c r="AA1104" s="86"/>
      <c r="AB1104" s="60"/>
      <c r="AC1104" s="60"/>
      <c r="AD1104" s="60"/>
      <c r="AE1104" s="60"/>
      <c r="AF1104" s="61"/>
      <c r="AG1104" s="61"/>
      <c r="AH1104" s="61"/>
      <c r="AI1104" s="61"/>
      <c r="AJ1104" s="62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  <c r="AU1104" s="62"/>
      <c r="AV1104" s="62"/>
      <c r="AW1104" s="62"/>
      <c r="AX1104" s="62"/>
      <c r="AY1104" s="62"/>
      <c r="AZ1104" s="62"/>
    </row>
    <row r="1105" spans="1:52" x14ac:dyDescent="0.25">
      <c r="A1105" s="62"/>
      <c r="B1105" s="68"/>
      <c r="C1105" s="86"/>
      <c r="D1105" s="60"/>
      <c r="E1105" s="60"/>
      <c r="F1105" s="60"/>
      <c r="G1105" s="60"/>
      <c r="H1105" s="61"/>
      <c r="I1105" s="61"/>
      <c r="J1105" s="61"/>
      <c r="K1105" s="61"/>
      <c r="L1105" s="62"/>
      <c r="M1105" s="62"/>
      <c r="N1105" s="68"/>
      <c r="O1105" s="86"/>
      <c r="P1105" s="60"/>
      <c r="Q1105" s="60"/>
      <c r="R1105" s="60"/>
      <c r="S1105" s="60"/>
      <c r="T1105" s="61"/>
      <c r="U1105" s="61"/>
      <c r="V1105" s="61"/>
      <c r="W1105" s="61"/>
      <c r="X1105" s="62"/>
      <c r="Y1105" s="62"/>
      <c r="Z1105" s="68"/>
      <c r="AA1105" s="86"/>
      <c r="AB1105" s="60"/>
      <c r="AC1105" s="60"/>
      <c r="AD1105" s="60"/>
      <c r="AE1105" s="60"/>
      <c r="AF1105" s="61"/>
      <c r="AG1105" s="61"/>
      <c r="AH1105" s="61"/>
      <c r="AI1105" s="61"/>
      <c r="AJ1105" s="62"/>
      <c r="AK1105" s="62"/>
      <c r="AL1105" s="62"/>
      <c r="AM1105" s="62"/>
      <c r="AN1105" s="62"/>
      <c r="AO1105" s="62"/>
      <c r="AP1105" s="62"/>
      <c r="AQ1105" s="62"/>
      <c r="AR1105" s="62"/>
      <c r="AS1105" s="62"/>
      <c r="AT1105" s="62"/>
      <c r="AU1105" s="62"/>
      <c r="AV1105" s="62"/>
      <c r="AW1105" s="62"/>
      <c r="AX1105" s="62"/>
      <c r="AY1105" s="62"/>
      <c r="AZ1105" s="62"/>
    </row>
    <row r="1106" spans="1:52" x14ac:dyDescent="0.25">
      <c r="A1106" s="62"/>
      <c r="B1106" s="68"/>
      <c r="C1106" s="86"/>
      <c r="D1106" s="60"/>
      <c r="E1106" s="60"/>
      <c r="F1106" s="60"/>
      <c r="G1106" s="60"/>
      <c r="H1106" s="61"/>
      <c r="I1106" s="61"/>
      <c r="J1106" s="61"/>
      <c r="K1106" s="61"/>
      <c r="L1106" s="62"/>
      <c r="M1106" s="62"/>
      <c r="N1106" s="68"/>
      <c r="O1106" s="86"/>
      <c r="P1106" s="60"/>
      <c r="Q1106" s="60"/>
      <c r="R1106" s="60"/>
      <c r="S1106" s="60"/>
      <c r="T1106" s="61"/>
      <c r="U1106" s="61"/>
      <c r="V1106" s="61"/>
      <c r="W1106" s="61"/>
      <c r="X1106" s="62"/>
      <c r="Y1106" s="62"/>
      <c r="Z1106" s="68"/>
      <c r="AA1106" s="86"/>
      <c r="AB1106" s="60"/>
      <c r="AC1106" s="60"/>
      <c r="AD1106" s="60"/>
      <c r="AE1106" s="60"/>
      <c r="AF1106" s="61"/>
      <c r="AG1106" s="61"/>
      <c r="AH1106" s="61"/>
      <c r="AI1106" s="61"/>
      <c r="AJ1106" s="62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</row>
    <row r="1107" spans="1:52" x14ac:dyDescent="0.25">
      <c r="A1107" s="62"/>
      <c r="B1107" s="68"/>
      <c r="C1107" s="86"/>
      <c r="D1107" s="60"/>
      <c r="E1107" s="60"/>
      <c r="F1107" s="60"/>
      <c r="G1107" s="60"/>
      <c r="H1107" s="61"/>
      <c r="I1107" s="61"/>
      <c r="J1107" s="61"/>
      <c r="K1107" s="61"/>
      <c r="L1107" s="62"/>
      <c r="M1107" s="62"/>
      <c r="N1107" s="68"/>
      <c r="O1107" s="86"/>
      <c r="P1107" s="60"/>
      <c r="Q1107" s="60"/>
      <c r="R1107" s="60"/>
      <c r="S1107" s="60"/>
      <c r="T1107" s="61"/>
      <c r="U1107" s="61"/>
      <c r="V1107" s="61"/>
      <c r="W1107" s="61"/>
      <c r="X1107" s="62"/>
      <c r="Y1107" s="62"/>
      <c r="Z1107" s="68"/>
      <c r="AA1107" s="86"/>
      <c r="AB1107" s="60"/>
      <c r="AC1107" s="60"/>
      <c r="AD1107" s="60"/>
      <c r="AE1107" s="60"/>
      <c r="AF1107" s="61"/>
      <c r="AG1107" s="61"/>
      <c r="AH1107" s="61"/>
      <c r="AI1107" s="61"/>
      <c r="AJ1107" s="62"/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</row>
    <row r="1108" spans="1:52" x14ac:dyDescent="0.25">
      <c r="A1108" s="62"/>
      <c r="B1108" s="68"/>
      <c r="C1108" s="86"/>
      <c r="D1108" s="60"/>
      <c r="E1108" s="60"/>
      <c r="F1108" s="60"/>
      <c r="G1108" s="60"/>
      <c r="H1108" s="61"/>
      <c r="I1108" s="61"/>
      <c r="J1108" s="62"/>
      <c r="K1108" s="61"/>
      <c r="L1108" s="62"/>
      <c r="M1108" s="62"/>
      <c r="N1108" s="68"/>
      <c r="O1108" s="86"/>
      <c r="P1108" s="60"/>
      <c r="Q1108" s="60"/>
      <c r="R1108" s="60"/>
      <c r="S1108" s="60"/>
      <c r="T1108" s="61"/>
      <c r="U1108" s="61"/>
      <c r="V1108" s="61"/>
      <c r="W1108" s="61"/>
      <c r="X1108" s="62"/>
      <c r="Y1108" s="62"/>
      <c r="Z1108" s="68"/>
      <c r="AA1108" s="86"/>
      <c r="AB1108" s="60"/>
      <c r="AC1108" s="60"/>
      <c r="AD1108" s="60"/>
      <c r="AE1108" s="60"/>
      <c r="AF1108" s="61"/>
      <c r="AG1108" s="61"/>
      <c r="AH1108" s="62"/>
      <c r="AI1108" s="61"/>
      <c r="AJ1108" s="62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</row>
    <row r="1109" spans="1:52" x14ac:dyDescent="0.25">
      <c r="A1109" s="62"/>
      <c r="B1109" s="68"/>
      <c r="C1109" s="86"/>
      <c r="D1109" s="60"/>
      <c r="E1109" s="60"/>
      <c r="F1109" s="60"/>
      <c r="G1109" s="60"/>
      <c r="H1109" s="61"/>
      <c r="I1109" s="61"/>
      <c r="J1109" s="61"/>
      <c r="K1109" s="61"/>
      <c r="L1109" s="62"/>
      <c r="M1109" s="62"/>
      <c r="N1109" s="68"/>
      <c r="O1109" s="86"/>
      <c r="P1109" s="60"/>
      <c r="Q1109" s="60"/>
      <c r="R1109" s="60"/>
      <c r="S1109" s="60"/>
      <c r="T1109" s="61"/>
      <c r="U1109" s="61"/>
      <c r="V1109" s="61"/>
      <c r="W1109" s="61"/>
      <c r="X1109" s="62"/>
      <c r="Y1109" s="62"/>
      <c r="Z1109" s="68"/>
      <c r="AA1109" s="86"/>
      <c r="AB1109" s="60"/>
      <c r="AC1109" s="60"/>
      <c r="AD1109" s="60"/>
      <c r="AE1109" s="60"/>
      <c r="AF1109" s="61"/>
      <c r="AG1109" s="61"/>
      <c r="AH1109" s="61"/>
      <c r="AI1109" s="61"/>
      <c r="AJ1109" s="62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</row>
    <row r="1110" spans="1:52" x14ac:dyDescent="0.25">
      <c r="A1110" s="62"/>
      <c r="B1110" s="68"/>
      <c r="C1110" s="86"/>
      <c r="D1110" s="60"/>
      <c r="E1110" s="60"/>
      <c r="F1110" s="60"/>
      <c r="G1110" s="60"/>
      <c r="H1110" s="61"/>
      <c r="I1110" s="61"/>
      <c r="J1110" s="61"/>
      <c r="K1110" s="61"/>
      <c r="L1110" s="62"/>
      <c r="M1110" s="62"/>
      <c r="N1110" s="68"/>
      <c r="O1110" s="86"/>
      <c r="P1110" s="60"/>
      <c r="Q1110" s="60"/>
      <c r="R1110" s="60"/>
      <c r="S1110" s="60"/>
      <c r="T1110" s="61"/>
      <c r="U1110" s="61"/>
      <c r="V1110" s="61"/>
      <c r="W1110" s="61"/>
      <c r="X1110" s="62"/>
      <c r="Y1110" s="62"/>
      <c r="Z1110" s="68"/>
      <c r="AA1110" s="86"/>
      <c r="AB1110" s="60"/>
      <c r="AC1110" s="60"/>
      <c r="AD1110" s="60"/>
      <c r="AE1110" s="60"/>
      <c r="AF1110" s="61"/>
      <c r="AG1110" s="61"/>
      <c r="AH1110" s="61"/>
      <c r="AI1110" s="61"/>
      <c r="AJ1110" s="62"/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  <c r="AU1110" s="62"/>
      <c r="AV1110" s="62"/>
      <c r="AW1110" s="62"/>
      <c r="AX1110" s="62"/>
      <c r="AY1110" s="62"/>
      <c r="AZ1110" s="62"/>
    </row>
    <row r="1111" spans="1:52" x14ac:dyDescent="0.25">
      <c r="A1111" s="62"/>
      <c r="B1111" s="68"/>
      <c r="C1111" s="86"/>
      <c r="D1111" s="60"/>
      <c r="E1111" s="60"/>
      <c r="F1111" s="60"/>
      <c r="G1111" s="60"/>
      <c r="H1111" s="61"/>
      <c r="I1111" s="61"/>
      <c r="J1111" s="61"/>
      <c r="K1111" s="61"/>
      <c r="L1111" s="62"/>
      <c r="M1111" s="62"/>
      <c r="N1111" s="68"/>
      <c r="O1111" s="66"/>
      <c r="P1111" s="60"/>
      <c r="Q1111" s="60"/>
      <c r="R1111" s="60"/>
      <c r="S1111" s="60"/>
      <c r="T1111" s="61"/>
      <c r="U1111" s="61"/>
      <c r="V1111" s="61"/>
      <c r="W1111" s="61"/>
      <c r="X1111" s="62"/>
      <c r="Y1111" s="62"/>
      <c r="Z1111" s="68"/>
      <c r="AA1111" s="86"/>
      <c r="AB1111" s="60"/>
      <c r="AC1111" s="60"/>
      <c r="AD1111" s="60"/>
      <c r="AE1111" s="60"/>
      <c r="AF1111" s="61"/>
      <c r="AG1111" s="61"/>
      <c r="AH1111" s="61"/>
      <c r="AI1111" s="61"/>
      <c r="AJ1111" s="62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  <c r="AU1111" s="62"/>
      <c r="AV1111" s="62"/>
      <c r="AW1111" s="62"/>
      <c r="AX1111" s="62"/>
      <c r="AY1111" s="62"/>
      <c r="AZ1111" s="62"/>
    </row>
    <row r="1112" spans="1:52" x14ac:dyDescent="0.25">
      <c r="A1112" s="62"/>
      <c r="B1112" s="68"/>
      <c r="C1112" s="86"/>
      <c r="D1112" s="60"/>
      <c r="E1112" s="60"/>
      <c r="F1112" s="60"/>
      <c r="G1112" s="60"/>
      <c r="H1112" s="61"/>
      <c r="I1112" s="61"/>
      <c r="J1112" s="61"/>
      <c r="K1112" s="61"/>
      <c r="L1112" s="62"/>
      <c r="M1112" s="62"/>
      <c r="N1112" s="68"/>
      <c r="O1112" s="86"/>
      <c r="P1112" s="60"/>
      <c r="Q1112" s="60"/>
      <c r="R1112" s="60"/>
      <c r="S1112" s="60"/>
      <c r="T1112" s="61"/>
      <c r="U1112" s="61"/>
      <c r="V1112" s="61"/>
      <c r="W1112" s="61"/>
      <c r="X1112" s="62"/>
      <c r="Y1112" s="62"/>
      <c r="Z1112" s="68"/>
      <c r="AA1112" s="86"/>
      <c r="AB1112" s="60"/>
      <c r="AC1112" s="60"/>
      <c r="AD1112" s="60"/>
      <c r="AE1112" s="60"/>
      <c r="AF1112" s="61"/>
      <c r="AG1112" s="61"/>
      <c r="AH1112" s="61"/>
      <c r="AI1112" s="61"/>
      <c r="AJ1112" s="62"/>
      <c r="AK1112" s="62"/>
      <c r="AL1112" s="62"/>
      <c r="AM1112" s="62"/>
      <c r="AN1112" s="62"/>
      <c r="AO1112" s="62"/>
      <c r="AP1112" s="62"/>
      <c r="AQ1112" s="62"/>
      <c r="AR1112" s="62"/>
      <c r="AS1112" s="62"/>
      <c r="AT1112" s="62"/>
      <c r="AU1112" s="62"/>
      <c r="AV1112" s="62"/>
      <c r="AW1112" s="62"/>
      <c r="AX1112" s="62"/>
      <c r="AY1112" s="62"/>
      <c r="AZ1112" s="62"/>
    </row>
    <row r="1113" spans="1:52" x14ac:dyDescent="0.25">
      <c r="A1113" s="62"/>
      <c r="B1113" s="68"/>
      <c r="C1113" s="86"/>
      <c r="D1113" s="60"/>
      <c r="E1113" s="60"/>
      <c r="F1113" s="60"/>
      <c r="G1113" s="60"/>
      <c r="H1113" s="61"/>
      <c r="I1113" s="61"/>
      <c r="J1113" s="61"/>
      <c r="K1113" s="61"/>
      <c r="L1113" s="62"/>
      <c r="M1113" s="62"/>
      <c r="N1113" s="68"/>
      <c r="O1113" s="86"/>
      <c r="P1113" s="60"/>
      <c r="Q1113" s="60"/>
      <c r="R1113" s="60"/>
      <c r="S1113" s="60"/>
      <c r="T1113" s="61"/>
      <c r="U1113" s="61"/>
      <c r="V1113" s="61"/>
      <c r="W1113" s="61"/>
      <c r="X1113" s="62"/>
      <c r="Y1113" s="62"/>
      <c r="Z1113" s="68"/>
      <c r="AA1113" s="86"/>
      <c r="AB1113" s="60"/>
      <c r="AC1113" s="60"/>
      <c r="AD1113" s="60"/>
      <c r="AE1113" s="60"/>
      <c r="AF1113" s="61"/>
      <c r="AG1113" s="61"/>
      <c r="AH1113" s="61"/>
      <c r="AI1113" s="61"/>
      <c r="AJ1113" s="62"/>
      <c r="AK1113" s="62"/>
      <c r="AL1113" s="62"/>
      <c r="AM1113" s="62"/>
      <c r="AN1113" s="62"/>
      <c r="AO1113" s="62"/>
      <c r="AP1113" s="62"/>
      <c r="AQ1113" s="62"/>
      <c r="AR1113" s="62"/>
      <c r="AS1113" s="62"/>
      <c r="AT1113" s="62"/>
      <c r="AU1113" s="62"/>
      <c r="AV1113" s="62"/>
      <c r="AW1113" s="62"/>
      <c r="AX1113" s="62"/>
      <c r="AY1113" s="62"/>
      <c r="AZ1113" s="62"/>
    </row>
    <row r="1114" spans="1:52" x14ac:dyDescent="0.25">
      <c r="A1114" s="62"/>
      <c r="B1114" s="68"/>
      <c r="C1114" s="86"/>
      <c r="D1114" s="60"/>
      <c r="E1114" s="60"/>
      <c r="F1114" s="60"/>
      <c r="G1114" s="60"/>
      <c r="H1114" s="61"/>
      <c r="I1114" s="61"/>
      <c r="J1114" s="61"/>
      <c r="K1114" s="61"/>
      <c r="L1114" s="62"/>
      <c r="M1114" s="62"/>
      <c r="N1114" s="68"/>
      <c r="O1114" s="86"/>
      <c r="P1114" s="60"/>
      <c r="Q1114" s="60"/>
      <c r="R1114" s="60"/>
      <c r="S1114" s="60"/>
      <c r="T1114" s="61"/>
      <c r="U1114" s="61"/>
      <c r="V1114" s="61"/>
      <c r="W1114" s="61"/>
      <c r="X1114" s="62"/>
      <c r="Y1114" s="62"/>
      <c r="Z1114" s="68"/>
      <c r="AA1114" s="86"/>
      <c r="AB1114" s="60"/>
      <c r="AC1114" s="60"/>
      <c r="AD1114" s="60"/>
      <c r="AE1114" s="60"/>
      <c r="AF1114" s="61"/>
      <c r="AG1114" s="61"/>
      <c r="AH1114" s="61"/>
      <c r="AI1114" s="61"/>
      <c r="AJ1114" s="62"/>
      <c r="AK1114" s="62"/>
      <c r="AL1114" s="62"/>
      <c r="AM1114" s="62"/>
      <c r="AN1114" s="62"/>
      <c r="AO1114" s="62"/>
      <c r="AP1114" s="62"/>
      <c r="AQ1114" s="62"/>
      <c r="AR1114" s="62"/>
      <c r="AS1114" s="62"/>
      <c r="AT1114" s="62"/>
      <c r="AU1114" s="62"/>
      <c r="AV1114" s="62"/>
      <c r="AW1114" s="62"/>
      <c r="AX1114" s="62"/>
      <c r="AY1114" s="62"/>
      <c r="AZ1114" s="62"/>
    </row>
    <row r="1115" spans="1:52" x14ac:dyDescent="0.25">
      <c r="A1115" s="62"/>
      <c r="B1115" s="68"/>
      <c r="C1115" s="86"/>
      <c r="D1115" s="60"/>
      <c r="E1115" s="60"/>
      <c r="F1115" s="60"/>
      <c r="G1115" s="60"/>
      <c r="H1115" s="61"/>
      <c r="I1115" s="61"/>
      <c r="J1115" s="61"/>
      <c r="K1115" s="61"/>
      <c r="L1115" s="62"/>
      <c r="M1115" s="62"/>
      <c r="N1115" s="68"/>
      <c r="O1115" s="86"/>
      <c r="P1115" s="60"/>
      <c r="Q1115" s="60"/>
      <c r="R1115" s="60"/>
      <c r="S1115" s="60"/>
      <c r="T1115" s="61"/>
      <c r="U1115" s="61"/>
      <c r="V1115" s="61"/>
      <c r="W1115" s="61"/>
      <c r="X1115" s="62"/>
      <c r="Y1115" s="62"/>
      <c r="Z1115" s="68"/>
      <c r="AA1115" s="86"/>
      <c r="AB1115" s="60"/>
      <c r="AC1115" s="60"/>
      <c r="AD1115" s="60"/>
      <c r="AE1115" s="60"/>
      <c r="AF1115" s="61"/>
      <c r="AG1115" s="61"/>
      <c r="AH1115" s="61"/>
      <c r="AI1115" s="61"/>
      <c r="AJ1115" s="62"/>
      <c r="AK1115" s="62"/>
      <c r="AL1115" s="62"/>
      <c r="AM1115" s="62"/>
      <c r="AN1115" s="62"/>
      <c r="AO1115" s="62"/>
      <c r="AP1115" s="62"/>
      <c r="AQ1115" s="62"/>
      <c r="AR1115" s="62"/>
      <c r="AS1115" s="62"/>
      <c r="AT1115" s="62"/>
      <c r="AU1115" s="62"/>
      <c r="AV1115" s="62"/>
      <c r="AW1115" s="62"/>
      <c r="AX1115" s="62"/>
      <c r="AY1115" s="62"/>
      <c r="AZ1115" s="62"/>
    </row>
    <row r="1116" spans="1:52" x14ac:dyDescent="0.25">
      <c r="A1116" s="62"/>
      <c r="B1116" s="68"/>
      <c r="C1116" s="86"/>
      <c r="D1116" s="60"/>
      <c r="E1116" s="60"/>
      <c r="F1116" s="60"/>
      <c r="G1116" s="60"/>
      <c r="H1116" s="61"/>
      <c r="I1116" s="61"/>
      <c r="J1116" s="61"/>
      <c r="K1116" s="61"/>
      <c r="L1116" s="62"/>
      <c r="M1116" s="62"/>
      <c r="N1116" s="68"/>
      <c r="O1116" s="86"/>
      <c r="P1116" s="60"/>
      <c r="Q1116" s="60"/>
      <c r="R1116" s="60"/>
      <c r="S1116" s="60"/>
      <c r="T1116" s="61"/>
      <c r="U1116" s="61"/>
      <c r="V1116" s="61"/>
      <c r="W1116" s="61"/>
      <c r="X1116" s="62"/>
      <c r="Y1116" s="62"/>
      <c r="Z1116" s="68"/>
      <c r="AA1116" s="86"/>
      <c r="AB1116" s="60"/>
      <c r="AC1116" s="60"/>
      <c r="AD1116" s="60"/>
      <c r="AE1116" s="60"/>
      <c r="AF1116" s="61"/>
      <c r="AG1116" s="61"/>
      <c r="AH1116" s="61"/>
      <c r="AI1116" s="61"/>
      <c r="AJ1116" s="62"/>
      <c r="AK1116" s="62"/>
      <c r="AL1116" s="62"/>
      <c r="AM1116" s="62"/>
      <c r="AN1116" s="62"/>
      <c r="AO1116" s="62"/>
      <c r="AP1116" s="62"/>
      <c r="AQ1116" s="62"/>
      <c r="AR1116" s="62"/>
      <c r="AS1116" s="62"/>
      <c r="AT1116" s="62"/>
      <c r="AU1116" s="62"/>
      <c r="AV1116" s="62"/>
      <c r="AW1116" s="62"/>
      <c r="AX1116" s="62"/>
      <c r="AY1116" s="62"/>
      <c r="AZ1116" s="62"/>
    </row>
    <row r="1117" spans="1:52" x14ac:dyDescent="0.25">
      <c r="A1117" s="62"/>
      <c r="B1117" s="68"/>
      <c r="C1117" s="86"/>
      <c r="D1117" s="60"/>
      <c r="E1117" s="60"/>
      <c r="F1117" s="60"/>
      <c r="G1117" s="60"/>
      <c r="H1117" s="62"/>
      <c r="I1117" s="62"/>
      <c r="J1117" s="62"/>
      <c r="K1117" s="61"/>
      <c r="L1117" s="62"/>
      <c r="M1117" s="62"/>
      <c r="N1117" s="68"/>
      <c r="O1117" s="86"/>
      <c r="P1117" s="69"/>
      <c r="Q1117" s="86"/>
      <c r="R1117" s="86"/>
      <c r="S1117" s="60"/>
      <c r="T1117" s="62"/>
      <c r="U1117" s="62"/>
      <c r="V1117" s="62"/>
      <c r="W1117" s="61"/>
      <c r="X1117" s="62"/>
      <c r="Y1117" s="62"/>
      <c r="Z1117" s="68"/>
      <c r="AA1117" s="86"/>
      <c r="AB1117" s="60"/>
      <c r="AC1117" s="60"/>
      <c r="AD1117" s="60"/>
      <c r="AE1117" s="60"/>
      <c r="AF1117" s="62"/>
      <c r="AG1117" s="62"/>
      <c r="AH1117" s="62"/>
      <c r="AI1117" s="61"/>
      <c r="AJ1117" s="62"/>
      <c r="AK1117" s="62"/>
      <c r="AL1117" s="62"/>
      <c r="AM1117" s="62"/>
      <c r="AN1117" s="62"/>
      <c r="AO1117" s="62"/>
      <c r="AP1117" s="62"/>
      <c r="AQ1117" s="62"/>
      <c r="AR1117" s="62"/>
      <c r="AS1117" s="62"/>
      <c r="AT1117" s="62"/>
      <c r="AU1117" s="62"/>
      <c r="AV1117" s="62"/>
      <c r="AW1117" s="62"/>
      <c r="AX1117" s="62"/>
      <c r="AY1117" s="62"/>
      <c r="AZ1117" s="62"/>
    </row>
    <row r="1118" spans="1:52" x14ac:dyDescent="0.25">
      <c r="A1118" s="62"/>
      <c r="B1118" s="68"/>
      <c r="C1118" s="86"/>
      <c r="D1118" s="60"/>
      <c r="E1118" s="60"/>
      <c r="F1118" s="60"/>
      <c r="G1118" s="60"/>
      <c r="H1118" s="62"/>
      <c r="I1118" s="62"/>
      <c r="J1118" s="62"/>
      <c r="K1118" s="61"/>
      <c r="L1118" s="62"/>
      <c r="M1118" s="62"/>
      <c r="N1118" s="68"/>
      <c r="O1118" s="86"/>
      <c r="P1118" s="70"/>
      <c r="Q1118" s="86"/>
      <c r="R1118" s="86"/>
      <c r="S1118" s="60"/>
      <c r="T1118" s="62"/>
      <c r="U1118" s="62"/>
      <c r="V1118" s="62"/>
      <c r="W1118" s="61"/>
      <c r="X1118" s="62"/>
      <c r="Y1118" s="62"/>
      <c r="Z1118" s="68"/>
      <c r="AA1118" s="86"/>
      <c r="AB1118" s="60"/>
      <c r="AC1118" s="60"/>
      <c r="AD1118" s="60"/>
      <c r="AE1118" s="60"/>
      <c r="AF1118" s="62"/>
      <c r="AG1118" s="62"/>
      <c r="AH1118" s="62"/>
      <c r="AI1118" s="61"/>
      <c r="AJ1118" s="62"/>
      <c r="AK1118" s="62"/>
      <c r="AL1118" s="62"/>
      <c r="AM1118" s="62"/>
      <c r="AN1118" s="62"/>
      <c r="AO1118" s="62"/>
      <c r="AP1118" s="62"/>
      <c r="AQ1118" s="62"/>
      <c r="AR1118" s="62"/>
      <c r="AS1118" s="62"/>
      <c r="AT1118" s="62"/>
      <c r="AU1118" s="62"/>
      <c r="AV1118" s="62"/>
      <c r="AW1118" s="62"/>
      <c r="AX1118" s="62"/>
      <c r="AY1118" s="62"/>
      <c r="AZ1118" s="62"/>
    </row>
    <row r="1119" spans="1:52" x14ac:dyDescent="0.25">
      <c r="A1119" s="62"/>
      <c r="B1119" s="68"/>
      <c r="C1119" s="86"/>
      <c r="D1119" s="60"/>
      <c r="E1119" s="60"/>
      <c r="F1119" s="60"/>
      <c r="G1119" s="60"/>
      <c r="H1119" s="62"/>
      <c r="I1119" s="62"/>
      <c r="J1119" s="61"/>
      <c r="K1119" s="61"/>
      <c r="L1119" s="62"/>
      <c r="M1119" s="62"/>
      <c r="N1119" s="68"/>
      <c r="O1119" s="86"/>
      <c r="P1119" s="71"/>
      <c r="Q1119" s="62"/>
      <c r="R1119" s="62"/>
      <c r="S1119" s="60"/>
      <c r="T1119" s="62"/>
      <c r="U1119" s="62"/>
      <c r="V1119" s="62"/>
      <c r="W1119" s="61"/>
      <c r="X1119" s="62"/>
      <c r="Y1119" s="62"/>
      <c r="Z1119" s="68"/>
      <c r="AA1119" s="86"/>
      <c r="AB1119" s="60"/>
      <c r="AC1119" s="60"/>
      <c r="AD1119" s="60"/>
      <c r="AE1119" s="60"/>
      <c r="AF1119" s="62"/>
      <c r="AG1119" s="62"/>
      <c r="AH1119" s="61"/>
      <c r="AI1119" s="61"/>
      <c r="AJ1119" s="62"/>
      <c r="AK1119" s="62"/>
      <c r="AL1119" s="62"/>
      <c r="AM1119" s="62"/>
      <c r="AN1119" s="62"/>
      <c r="AO1119" s="62"/>
      <c r="AP1119" s="62"/>
      <c r="AQ1119" s="62"/>
      <c r="AR1119" s="62"/>
      <c r="AS1119" s="62"/>
      <c r="AT1119" s="62"/>
      <c r="AU1119" s="62"/>
      <c r="AV1119" s="62"/>
      <c r="AW1119" s="62"/>
      <c r="AX1119" s="62"/>
      <c r="AY1119" s="62"/>
      <c r="AZ1119" s="62"/>
    </row>
    <row r="1120" spans="1:52" x14ac:dyDescent="0.25">
      <c r="A1120" s="62"/>
      <c r="B1120" s="68"/>
      <c r="C1120" s="86"/>
      <c r="D1120" s="60"/>
      <c r="E1120" s="60"/>
      <c r="F1120" s="60"/>
      <c r="G1120" s="60"/>
      <c r="H1120" s="62"/>
      <c r="I1120" s="62"/>
      <c r="J1120" s="62"/>
      <c r="K1120" s="61"/>
      <c r="L1120" s="62"/>
      <c r="M1120" s="62"/>
      <c r="N1120" s="68"/>
      <c r="O1120" s="86"/>
      <c r="P1120" s="71"/>
      <c r="Q1120" s="86"/>
      <c r="R1120" s="86"/>
      <c r="S1120" s="60"/>
      <c r="T1120" s="62"/>
      <c r="U1120" s="62"/>
      <c r="V1120" s="62"/>
      <c r="W1120" s="61"/>
      <c r="X1120" s="62"/>
      <c r="Y1120" s="62"/>
      <c r="Z1120" s="68"/>
      <c r="AA1120" s="86"/>
      <c r="AB1120" s="60"/>
      <c r="AC1120" s="60"/>
      <c r="AD1120" s="60"/>
      <c r="AE1120" s="60"/>
      <c r="AF1120" s="62"/>
      <c r="AG1120" s="62"/>
      <c r="AH1120" s="62"/>
      <c r="AI1120" s="61"/>
      <c r="AJ1120" s="62"/>
      <c r="AK1120" s="62"/>
      <c r="AL1120" s="62"/>
      <c r="AM1120" s="62"/>
      <c r="AN1120" s="62"/>
      <c r="AO1120" s="62"/>
      <c r="AP1120" s="62"/>
      <c r="AQ1120" s="62"/>
      <c r="AR1120" s="62"/>
      <c r="AS1120" s="62"/>
      <c r="AT1120" s="62"/>
      <c r="AU1120" s="62"/>
      <c r="AV1120" s="62"/>
      <c r="AW1120" s="62"/>
      <c r="AX1120" s="62"/>
      <c r="AY1120" s="62"/>
      <c r="AZ1120" s="62"/>
    </row>
    <row r="1121" spans="1:52" x14ac:dyDescent="0.25">
      <c r="A1121" s="62"/>
      <c r="B1121" s="68"/>
      <c r="C1121" s="86"/>
      <c r="D1121" s="60"/>
      <c r="E1121" s="60"/>
      <c r="F1121" s="60"/>
      <c r="G1121" s="60"/>
      <c r="H1121" s="62"/>
      <c r="I1121" s="62"/>
      <c r="J1121" s="62"/>
      <c r="K1121" s="61"/>
      <c r="L1121" s="62"/>
      <c r="M1121" s="62"/>
      <c r="N1121" s="68"/>
      <c r="O1121" s="86"/>
      <c r="P1121" s="71"/>
      <c r="Q1121" s="86"/>
      <c r="R1121" s="86"/>
      <c r="S1121" s="60"/>
      <c r="T1121" s="62"/>
      <c r="U1121" s="62"/>
      <c r="V1121" s="62"/>
      <c r="W1121" s="61"/>
      <c r="X1121" s="62"/>
      <c r="Y1121" s="62"/>
      <c r="Z1121" s="68"/>
      <c r="AA1121" s="86"/>
      <c r="AB1121" s="60"/>
      <c r="AC1121" s="60"/>
      <c r="AD1121" s="60"/>
      <c r="AE1121" s="60"/>
      <c r="AF1121" s="62"/>
      <c r="AG1121" s="62"/>
      <c r="AH1121" s="62"/>
      <c r="AI1121" s="61"/>
      <c r="AJ1121" s="62"/>
      <c r="AK1121" s="62"/>
      <c r="AL1121" s="62"/>
      <c r="AM1121" s="62"/>
      <c r="AN1121" s="62"/>
      <c r="AO1121" s="62"/>
      <c r="AP1121" s="62"/>
      <c r="AQ1121" s="62"/>
      <c r="AR1121" s="62"/>
      <c r="AS1121" s="62"/>
      <c r="AT1121" s="62"/>
      <c r="AU1121" s="62"/>
      <c r="AV1121" s="62"/>
      <c r="AW1121" s="62"/>
      <c r="AX1121" s="62"/>
      <c r="AY1121" s="62"/>
      <c r="AZ1121" s="62"/>
    </row>
    <row r="1122" spans="1:52" x14ac:dyDescent="0.25">
      <c r="A1122" s="62"/>
      <c r="B1122" s="68"/>
      <c r="C1122" s="86"/>
      <c r="D1122" s="60"/>
      <c r="E1122" s="60"/>
      <c r="F1122" s="60"/>
      <c r="G1122" s="60"/>
      <c r="H1122" s="62"/>
      <c r="I1122" s="62"/>
      <c r="J1122" s="62"/>
      <c r="K1122" s="61"/>
      <c r="L1122" s="62"/>
      <c r="M1122" s="62"/>
      <c r="N1122" s="68"/>
      <c r="O1122" s="86"/>
      <c r="P1122" s="71"/>
      <c r="Q1122" s="86"/>
      <c r="R1122" s="86"/>
      <c r="S1122" s="60"/>
      <c r="T1122" s="62"/>
      <c r="U1122" s="62"/>
      <c r="V1122" s="62"/>
      <c r="W1122" s="61"/>
      <c r="X1122" s="62"/>
      <c r="Y1122" s="62"/>
      <c r="Z1122" s="68"/>
      <c r="AA1122" s="86"/>
      <c r="AB1122" s="60"/>
      <c r="AC1122" s="60"/>
      <c r="AD1122" s="60"/>
      <c r="AE1122" s="60"/>
      <c r="AF1122" s="62"/>
      <c r="AG1122" s="62"/>
      <c r="AH1122" s="62"/>
      <c r="AI1122" s="61"/>
      <c r="AJ1122" s="62"/>
      <c r="AK1122" s="62"/>
      <c r="AL1122" s="62"/>
      <c r="AM1122" s="62"/>
      <c r="AN1122" s="62"/>
      <c r="AO1122" s="62"/>
      <c r="AP1122" s="62"/>
      <c r="AQ1122" s="62"/>
      <c r="AR1122" s="62"/>
      <c r="AS1122" s="62"/>
      <c r="AT1122" s="62"/>
      <c r="AU1122" s="62"/>
      <c r="AV1122" s="62"/>
      <c r="AW1122" s="62"/>
      <c r="AX1122" s="62"/>
      <c r="AY1122" s="62"/>
      <c r="AZ1122" s="62"/>
    </row>
    <row r="1123" spans="1:52" x14ac:dyDescent="0.25">
      <c r="A1123" s="62"/>
      <c r="B1123" s="68"/>
      <c r="C1123" s="86"/>
      <c r="D1123" s="60"/>
      <c r="E1123" s="60"/>
      <c r="F1123" s="60"/>
      <c r="G1123" s="60"/>
      <c r="H1123" s="62"/>
      <c r="I1123" s="62"/>
      <c r="J1123" s="62"/>
      <c r="K1123" s="61"/>
      <c r="L1123" s="62"/>
      <c r="M1123" s="62"/>
      <c r="N1123" s="68"/>
      <c r="O1123" s="86"/>
      <c r="P1123" s="71"/>
      <c r="Q1123" s="86"/>
      <c r="R1123" s="86"/>
      <c r="S1123" s="60"/>
      <c r="T1123" s="62"/>
      <c r="U1123" s="62"/>
      <c r="V1123" s="62"/>
      <c r="W1123" s="61"/>
      <c r="X1123" s="62"/>
      <c r="Y1123" s="62"/>
      <c r="Z1123" s="68"/>
      <c r="AA1123" s="86"/>
      <c r="AB1123" s="60"/>
      <c r="AC1123" s="60"/>
      <c r="AD1123" s="60"/>
      <c r="AE1123" s="60"/>
      <c r="AF1123" s="62"/>
      <c r="AG1123" s="62"/>
      <c r="AH1123" s="62"/>
      <c r="AI1123" s="61"/>
      <c r="AJ1123" s="62"/>
      <c r="AK1123" s="62"/>
      <c r="AL1123" s="62"/>
      <c r="AM1123" s="62"/>
      <c r="AN1123" s="62"/>
      <c r="AO1123" s="62"/>
      <c r="AP1123" s="62"/>
      <c r="AQ1123" s="62"/>
      <c r="AR1123" s="62"/>
      <c r="AS1123" s="62"/>
      <c r="AT1123" s="62"/>
      <c r="AU1123" s="62"/>
      <c r="AV1123" s="62"/>
      <c r="AW1123" s="62"/>
      <c r="AX1123" s="62"/>
      <c r="AY1123" s="62"/>
      <c r="AZ1123" s="62"/>
    </row>
    <row r="1124" spans="1:52" x14ac:dyDescent="0.25">
      <c r="A1124" s="62"/>
      <c r="B1124" s="68"/>
      <c r="C1124" s="86"/>
      <c r="D1124" s="60"/>
      <c r="E1124" s="60"/>
      <c r="F1124" s="60"/>
      <c r="G1124" s="60"/>
      <c r="H1124" s="62"/>
      <c r="I1124" s="62"/>
      <c r="J1124" s="62"/>
      <c r="K1124" s="61"/>
      <c r="L1124" s="62"/>
      <c r="M1124" s="62"/>
      <c r="N1124" s="68"/>
      <c r="O1124" s="86"/>
      <c r="P1124" s="71"/>
      <c r="Q1124" s="86"/>
      <c r="R1124" s="86"/>
      <c r="S1124" s="60"/>
      <c r="T1124" s="62"/>
      <c r="U1124" s="62"/>
      <c r="V1124" s="62"/>
      <c r="W1124" s="61"/>
      <c r="X1124" s="62"/>
      <c r="Y1124" s="62"/>
      <c r="Z1124" s="68"/>
      <c r="AA1124" s="86"/>
      <c r="AB1124" s="60"/>
      <c r="AC1124" s="60"/>
      <c r="AD1124" s="60"/>
      <c r="AE1124" s="60"/>
      <c r="AF1124" s="62"/>
      <c r="AG1124" s="62"/>
      <c r="AH1124" s="62"/>
      <c r="AI1124" s="61"/>
      <c r="AJ1124" s="62"/>
      <c r="AK1124" s="62"/>
      <c r="AL1124" s="62"/>
      <c r="AM1124" s="62"/>
      <c r="AN1124" s="62"/>
      <c r="AO1124" s="62"/>
      <c r="AP1124" s="62"/>
      <c r="AQ1124" s="62"/>
      <c r="AR1124" s="62"/>
      <c r="AS1124" s="62"/>
      <c r="AT1124" s="62"/>
      <c r="AU1124" s="62"/>
      <c r="AV1124" s="62"/>
      <c r="AW1124" s="62"/>
      <c r="AX1124" s="62"/>
      <c r="AY1124" s="62"/>
      <c r="AZ1124" s="62"/>
    </row>
    <row r="1125" spans="1:52" x14ac:dyDescent="0.25">
      <c r="A1125" s="62"/>
      <c r="B1125" s="68"/>
      <c r="C1125" s="86"/>
      <c r="D1125" s="60"/>
      <c r="E1125" s="60"/>
      <c r="F1125" s="60"/>
      <c r="G1125" s="60"/>
      <c r="H1125" s="62"/>
      <c r="I1125" s="62"/>
      <c r="J1125" s="62"/>
      <c r="K1125" s="61"/>
      <c r="L1125" s="62"/>
      <c r="M1125" s="62"/>
      <c r="N1125" s="68"/>
      <c r="O1125" s="86"/>
      <c r="P1125" s="71"/>
      <c r="Q1125" s="86"/>
      <c r="R1125" s="86"/>
      <c r="S1125" s="60"/>
      <c r="T1125" s="62"/>
      <c r="U1125" s="62"/>
      <c r="V1125" s="62"/>
      <c r="W1125" s="61"/>
      <c r="X1125" s="62"/>
      <c r="Y1125" s="62"/>
      <c r="Z1125" s="68"/>
      <c r="AA1125" s="86"/>
      <c r="AB1125" s="60"/>
      <c r="AC1125" s="60"/>
      <c r="AD1125" s="60"/>
      <c r="AE1125" s="60"/>
      <c r="AF1125" s="62"/>
      <c r="AG1125" s="62"/>
      <c r="AH1125" s="62"/>
      <c r="AI1125" s="61"/>
      <c r="AJ1125" s="62"/>
      <c r="AK1125" s="62"/>
      <c r="AL1125" s="62"/>
      <c r="AM1125" s="62"/>
      <c r="AN1125" s="62"/>
      <c r="AO1125" s="62"/>
      <c r="AP1125" s="62"/>
      <c r="AQ1125" s="62"/>
      <c r="AR1125" s="62"/>
      <c r="AS1125" s="62"/>
      <c r="AT1125" s="62"/>
      <c r="AU1125" s="62"/>
      <c r="AV1125" s="62"/>
      <c r="AW1125" s="62"/>
      <c r="AX1125" s="62"/>
      <c r="AY1125" s="62"/>
      <c r="AZ1125" s="62"/>
    </row>
    <row r="1126" spans="1:52" x14ac:dyDescent="0.25">
      <c r="A1126" s="62"/>
      <c r="B1126" s="68"/>
      <c r="C1126" s="86"/>
      <c r="D1126" s="60"/>
      <c r="E1126" s="60"/>
      <c r="F1126" s="60"/>
      <c r="G1126" s="60"/>
      <c r="H1126" s="62"/>
      <c r="I1126" s="62"/>
      <c r="J1126" s="62"/>
      <c r="K1126" s="61"/>
      <c r="L1126" s="62"/>
      <c r="M1126" s="62"/>
      <c r="N1126" s="68"/>
      <c r="O1126" s="86"/>
      <c r="P1126" s="71"/>
      <c r="Q1126" s="86"/>
      <c r="R1126" s="86"/>
      <c r="S1126" s="60"/>
      <c r="T1126" s="62"/>
      <c r="U1126" s="62"/>
      <c r="V1126" s="62"/>
      <c r="W1126" s="61"/>
      <c r="X1126" s="62"/>
      <c r="Y1126" s="62"/>
      <c r="Z1126" s="68"/>
      <c r="AA1126" s="86"/>
      <c r="AB1126" s="60"/>
      <c r="AC1126" s="60"/>
      <c r="AD1126" s="60"/>
      <c r="AE1126" s="60"/>
      <c r="AF1126" s="62"/>
      <c r="AG1126" s="62"/>
      <c r="AH1126" s="62"/>
      <c r="AI1126" s="61"/>
      <c r="AJ1126" s="62"/>
      <c r="AK1126" s="62"/>
      <c r="AL1126" s="62"/>
      <c r="AM1126" s="62"/>
      <c r="AN1126" s="62"/>
      <c r="AO1126" s="62"/>
      <c r="AP1126" s="62"/>
      <c r="AQ1126" s="62"/>
      <c r="AR1126" s="62"/>
      <c r="AS1126" s="62"/>
      <c r="AT1126" s="62"/>
      <c r="AU1126" s="62"/>
      <c r="AV1126" s="62"/>
      <c r="AW1126" s="62"/>
      <c r="AX1126" s="62"/>
      <c r="AY1126" s="62"/>
      <c r="AZ1126" s="62"/>
    </row>
    <row r="1127" spans="1:52" x14ac:dyDescent="0.25">
      <c r="A1127" s="62"/>
      <c r="B1127" s="68"/>
      <c r="C1127" s="86"/>
      <c r="D1127" s="60"/>
      <c r="E1127" s="60"/>
      <c r="F1127" s="60"/>
      <c r="G1127" s="60"/>
      <c r="H1127" s="62"/>
      <c r="I1127" s="62"/>
      <c r="J1127" s="62"/>
      <c r="K1127" s="61"/>
      <c r="L1127" s="62"/>
      <c r="M1127" s="62"/>
      <c r="N1127" s="68"/>
      <c r="O1127" s="62"/>
      <c r="P1127" s="71"/>
      <c r="Q1127" s="86"/>
      <c r="R1127" s="86"/>
      <c r="S1127" s="60"/>
      <c r="T1127" s="62"/>
      <c r="U1127" s="62"/>
      <c r="V1127" s="62"/>
      <c r="W1127" s="61"/>
      <c r="X1127" s="62"/>
      <c r="Y1127" s="62"/>
      <c r="Z1127" s="68"/>
      <c r="AA1127" s="62"/>
      <c r="AB1127" s="60"/>
      <c r="AC1127" s="60"/>
      <c r="AD1127" s="60"/>
      <c r="AE1127" s="60"/>
      <c r="AF1127" s="62"/>
      <c r="AG1127" s="62"/>
      <c r="AH1127" s="62"/>
      <c r="AI1127" s="61"/>
      <c r="AJ1127" s="62"/>
      <c r="AK1127" s="62"/>
      <c r="AL1127" s="62"/>
      <c r="AM1127" s="62"/>
      <c r="AN1127" s="62"/>
      <c r="AO1127" s="62"/>
      <c r="AP1127" s="62"/>
      <c r="AQ1127" s="62"/>
      <c r="AR1127" s="62"/>
      <c r="AS1127" s="62"/>
      <c r="AT1127" s="62"/>
      <c r="AU1127" s="62"/>
      <c r="AV1127" s="62"/>
      <c r="AW1127" s="62"/>
      <c r="AX1127" s="62"/>
      <c r="AY1127" s="62"/>
      <c r="AZ1127" s="62"/>
    </row>
    <row r="1128" spans="1:52" x14ac:dyDescent="0.25">
      <c r="A1128" s="62"/>
      <c r="B1128" s="68"/>
      <c r="C1128" s="86"/>
      <c r="D1128" s="60"/>
      <c r="E1128" s="60"/>
      <c r="F1128" s="60"/>
      <c r="G1128" s="60"/>
      <c r="H1128" s="62"/>
      <c r="I1128" s="62"/>
      <c r="J1128" s="62"/>
      <c r="K1128" s="61"/>
      <c r="L1128" s="62"/>
      <c r="M1128" s="62"/>
      <c r="N1128" s="68"/>
      <c r="O1128" s="86"/>
      <c r="P1128" s="71"/>
      <c r="Q1128" s="86"/>
      <c r="R1128" s="86"/>
      <c r="S1128" s="60"/>
      <c r="T1128" s="62"/>
      <c r="U1128" s="62"/>
      <c r="V1128" s="62"/>
      <c r="W1128" s="61"/>
      <c r="X1128" s="62"/>
      <c r="Y1128" s="62"/>
      <c r="Z1128" s="68"/>
      <c r="AA1128" s="86"/>
      <c r="AB1128" s="60"/>
      <c r="AC1128" s="60"/>
      <c r="AD1128" s="60"/>
      <c r="AE1128" s="60"/>
      <c r="AF1128" s="62"/>
      <c r="AG1128" s="62"/>
      <c r="AH1128" s="62"/>
      <c r="AI1128" s="61"/>
      <c r="AJ1128" s="62"/>
      <c r="AK1128" s="62"/>
      <c r="AL1128" s="62"/>
      <c r="AM1128" s="62"/>
      <c r="AN1128" s="62"/>
      <c r="AO1128" s="62"/>
      <c r="AP1128" s="62"/>
      <c r="AQ1128" s="62"/>
      <c r="AR1128" s="62"/>
      <c r="AS1128" s="62"/>
      <c r="AT1128" s="62"/>
      <c r="AU1128" s="62"/>
      <c r="AV1128" s="62"/>
      <c r="AW1128" s="62"/>
      <c r="AX1128" s="62"/>
      <c r="AY1128" s="62"/>
      <c r="AZ1128" s="62"/>
    </row>
    <row r="1129" spans="1:52" x14ac:dyDescent="0.25">
      <c r="A1129" s="62"/>
      <c r="B1129" s="68"/>
      <c r="C1129" s="86"/>
      <c r="D1129" s="60"/>
      <c r="E1129" s="60"/>
      <c r="F1129" s="60"/>
      <c r="G1129" s="60"/>
      <c r="H1129" s="62"/>
      <c r="I1129" s="62"/>
      <c r="J1129" s="62"/>
      <c r="K1129" s="61"/>
      <c r="L1129" s="62"/>
      <c r="M1129" s="62"/>
      <c r="N1129" s="68"/>
      <c r="O1129" s="86"/>
      <c r="P1129" s="71"/>
      <c r="Q1129" s="86"/>
      <c r="R1129" s="86"/>
      <c r="S1129" s="60"/>
      <c r="T1129" s="62"/>
      <c r="U1129" s="62"/>
      <c r="V1129" s="62"/>
      <c r="W1129" s="61"/>
      <c r="X1129" s="62"/>
      <c r="Y1129" s="62"/>
      <c r="Z1129" s="68"/>
      <c r="AA1129" s="86"/>
      <c r="AB1129" s="60"/>
      <c r="AC1129" s="60"/>
      <c r="AD1129" s="60"/>
      <c r="AE1129" s="60"/>
      <c r="AF1129" s="62"/>
      <c r="AG1129" s="62"/>
      <c r="AH1129" s="62"/>
      <c r="AI1129" s="61"/>
      <c r="AJ1129" s="62"/>
      <c r="AK1129" s="62"/>
      <c r="AL1129" s="62"/>
      <c r="AM1129" s="62"/>
      <c r="AN1129" s="62"/>
      <c r="AO1129" s="62"/>
      <c r="AP1129" s="62"/>
      <c r="AQ1129" s="62"/>
      <c r="AR1129" s="62"/>
      <c r="AS1129" s="62"/>
      <c r="AT1129" s="62"/>
      <c r="AU1129" s="62"/>
      <c r="AV1129" s="62"/>
      <c r="AW1129" s="62"/>
      <c r="AX1129" s="62"/>
      <c r="AY1129" s="62"/>
      <c r="AZ1129" s="62"/>
    </row>
    <row r="1130" spans="1:52" x14ac:dyDescent="0.25">
      <c r="A1130" s="62"/>
      <c r="B1130" s="68"/>
      <c r="C1130" s="66"/>
      <c r="D1130" s="60"/>
      <c r="E1130" s="60"/>
      <c r="F1130" s="60"/>
      <c r="G1130" s="60"/>
      <c r="H1130" s="62"/>
      <c r="I1130" s="62"/>
      <c r="J1130" s="62"/>
      <c r="K1130" s="61"/>
      <c r="L1130" s="62"/>
      <c r="M1130" s="62"/>
      <c r="N1130" s="68"/>
      <c r="O1130" s="86"/>
      <c r="P1130" s="71"/>
      <c r="Q1130" s="86"/>
      <c r="R1130" s="86"/>
      <c r="S1130" s="60"/>
      <c r="T1130" s="62"/>
      <c r="U1130" s="62"/>
      <c r="V1130" s="62"/>
      <c r="W1130" s="61"/>
      <c r="X1130" s="62"/>
      <c r="Y1130" s="62"/>
      <c r="Z1130" s="68"/>
      <c r="AA1130" s="86"/>
      <c r="AB1130" s="60"/>
      <c r="AC1130" s="60"/>
      <c r="AD1130" s="60"/>
      <c r="AE1130" s="60"/>
      <c r="AF1130" s="62"/>
      <c r="AG1130" s="62"/>
      <c r="AH1130" s="62"/>
      <c r="AI1130" s="61"/>
      <c r="AJ1130" s="62"/>
      <c r="AK1130" s="62"/>
      <c r="AL1130" s="62"/>
      <c r="AM1130" s="62"/>
      <c r="AN1130" s="62"/>
      <c r="AO1130" s="62"/>
      <c r="AP1130" s="62"/>
      <c r="AQ1130" s="62"/>
      <c r="AR1130" s="62"/>
      <c r="AS1130" s="62"/>
      <c r="AT1130" s="62"/>
      <c r="AU1130" s="62"/>
      <c r="AV1130" s="62"/>
      <c r="AW1130" s="62"/>
      <c r="AX1130" s="62"/>
      <c r="AY1130" s="62"/>
      <c r="AZ1130" s="62"/>
    </row>
    <row r="1131" spans="1:52" x14ac:dyDescent="0.25">
      <c r="A1131" s="62"/>
      <c r="B1131" s="68"/>
      <c r="C1131" s="86"/>
      <c r="D1131" s="60"/>
      <c r="E1131" s="60"/>
      <c r="F1131" s="60"/>
      <c r="G1131" s="60"/>
      <c r="H1131" s="62"/>
      <c r="I1131" s="62"/>
      <c r="J1131" s="62"/>
      <c r="K1131" s="61"/>
      <c r="L1131" s="62"/>
      <c r="M1131" s="62"/>
      <c r="N1131" s="68"/>
      <c r="O1131" s="86"/>
      <c r="P1131" s="71"/>
      <c r="Q1131" s="86"/>
      <c r="R1131" s="86"/>
      <c r="S1131" s="60"/>
      <c r="T1131" s="62"/>
      <c r="U1131" s="62"/>
      <c r="V1131" s="62"/>
      <c r="W1131" s="61"/>
      <c r="X1131" s="62"/>
      <c r="Y1131" s="62"/>
      <c r="Z1131" s="68"/>
      <c r="AA1131" s="86"/>
      <c r="AB1131" s="60"/>
      <c r="AC1131" s="60"/>
      <c r="AD1131" s="60"/>
      <c r="AE1131" s="60"/>
      <c r="AF1131" s="62"/>
      <c r="AG1131" s="62"/>
      <c r="AH1131" s="62"/>
      <c r="AI1131" s="61"/>
      <c r="AJ1131" s="62"/>
      <c r="AK1131" s="62"/>
      <c r="AL1131" s="62"/>
      <c r="AM1131" s="62"/>
      <c r="AN1131" s="62"/>
      <c r="AO1131" s="62"/>
      <c r="AP1131" s="62"/>
      <c r="AQ1131" s="62"/>
      <c r="AR1131" s="62"/>
      <c r="AS1131" s="62"/>
      <c r="AT1131" s="62"/>
      <c r="AU1131" s="62"/>
      <c r="AV1131" s="62"/>
      <c r="AW1131" s="62"/>
      <c r="AX1131" s="62"/>
      <c r="AY1131" s="62"/>
      <c r="AZ1131" s="62"/>
    </row>
    <row r="1132" spans="1:52" x14ac:dyDescent="0.25">
      <c r="A1132" s="62"/>
      <c r="B1132" s="68"/>
      <c r="C1132" s="86"/>
      <c r="D1132" s="60"/>
      <c r="E1132" s="60"/>
      <c r="F1132" s="60"/>
      <c r="G1132" s="60"/>
      <c r="H1132" s="62"/>
      <c r="I1132" s="62"/>
      <c r="J1132" s="62"/>
      <c r="K1132" s="61"/>
      <c r="L1132" s="62"/>
      <c r="M1132" s="62"/>
      <c r="N1132" s="68"/>
      <c r="O1132" s="86"/>
      <c r="P1132" s="71"/>
      <c r="Q1132" s="86"/>
      <c r="R1132" s="86"/>
      <c r="S1132" s="60"/>
      <c r="T1132" s="62"/>
      <c r="U1132" s="62"/>
      <c r="V1132" s="62"/>
      <c r="W1132" s="61"/>
      <c r="X1132" s="62"/>
      <c r="Y1132" s="62"/>
      <c r="Z1132" s="68"/>
      <c r="AA1132" s="86"/>
      <c r="AB1132" s="60"/>
      <c r="AC1132" s="60"/>
      <c r="AD1132" s="60"/>
      <c r="AE1132" s="60"/>
      <c r="AF1132" s="62"/>
      <c r="AG1132" s="62"/>
      <c r="AH1132" s="62"/>
      <c r="AI1132" s="61"/>
      <c r="AJ1132" s="62"/>
      <c r="AK1132" s="62"/>
      <c r="AL1132" s="62"/>
      <c r="AM1132" s="62"/>
      <c r="AN1132" s="62"/>
      <c r="AO1132" s="62"/>
      <c r="AP1132" s="62"/>
      <c r="AQ1132" s="62"/>
      <c r="AR1132" s="62"/>
      <c r="AS1132" s="62"/>
      <c r="AT1132" s="62"/>
      <c r="AU1132" s="62"/>
      <c r="AV1132" s="62"/>
      <c r="AW1132" s="62"/>
      <c r="AX1132" s="62"/>
      <c r="AY1132" s="62"/>
      <c r="AZ1132" s="62"/>
    </row>
    <row r="1133" spans="1:52" x14ac:dyDescent="0.25">
      <c r="A1133" s="62"/>
      <c r="B1133" s="68"/>
      <c r="C1133" s="86"/>
      <c r="D1133" s="60"/>
      <c r="E1133" s="60"/>
      <c r="F1133" s="60"/>
      <c r="G1133" s="60"/>
      <c r="H1133" s="62"/>
      <c r="I1133" s="62"/>
      <c r="J1133" s="62"/>
      <c r="K1133" s="61"/>
      <c r="L1133" s="62"/>
      <c r="M1133" s="62"/>
      <c r="N1133" s="68"/>
      <c r="O1133" s="86"/>
      <c r="P1133" s="71"/>
      <c r="Q1133" s="86"/>
      <c r="R1133" s="86"/>
      <c r="S1133" s="60"/>
      <c r="T1133" s="62"/>
      <c r="U1133" s="62"/>
      <c r="V1133" s="62"/>
      <c r="W1133" s="61"/>
      <c r="X1133" s="62"/>
      <c r="Y1133" s="62"/>
      <c r="Z1133" s="68"/>
      <c r="AA1133" s="86"/>
      <c r="AB1133" s="60"/>
      <c r="AC1133" s="60"/>
      <c r="AD1133" s="60"/>
      <c r="AE1133" s="60"/>
      <c r="AF1133" s="62"/>
      <c r="AG1133" s="62"/>
      <c r="AH1133" s="62"/>
      <c r="AI1133" s="61"/>
      <c r="AJ1133" s="62"/>
      <c r="AK1133" s="62"/>
      <c r="AL1133" s="62"/>
      <c r="AM1133" s="62"/>
      <c r="AN1133" s="62"/>
      <c r="AO1133" s="62"/>
      <c r="AP1133" s="62"/>
      <c r="AQ1133" s="62"/>
      <c r="AR1133" s="62"/>
      <c r="AS1133" s="62"/>
      <c r="AT1133" s="62"/>
      <c r="AU1133" s="62"/>
      <c r="AV1133" s="62"/>
      <c r="AW1133" s="62"/>
      <c r="AX1133" s="62"/>
      <c r="AY1133" s="62"/>
      <c r="AZ1133" s="62"/>
    </row>
    <row r="1134" spans="1:52" x14ac:dyDescent="0.25">
      <c r="A1134" s="62"/>
      <c r="B1134" s="68"/>
      <c r="C1134" s="86"/>
      <c r="D1134" s="60"/>
      <c r="E1134" s="60"/>
      <c r="F1134" s="60"/>
      <c r="G1134" s="60"/>
      <c r="H1134" s="62"/>
      <c r="I1134" s="62"/>
      <c r="J1134" s="62"/>
      <c r="K1134" s="61"/>
      <c r="L1134" s="62"/>
      <c r="M1134" s="62"/>
      <c r="N1134" s="68"/>
      <c r="O1134" s="86"/>
      <c r="P1134" s="71"/>
      <c r="Q1134" s="86"/>
      <c r="R1134" s="86"/>
      <c r="S1134" s="60"/>
      <c r="T1134" s="62"/>
      <c r="U1134" s="62"/>
      <c r="V1134" s="62"/>
      <c r="W1134" s="61"/>
      <c r="X1134" s="62"/>
      <c r="Y1134" s="62"/>
      <c r="Z1134" s="68"/>
      <c r="AA1134" s="86"/>
      <c r="AB1134" s="60"/>
      <c r="AC1134" s="60"/>
      <c r="AD1134" s="60"/>
      <c r="AE1134" s="60"/>
      <c r="AF1134" s="62"/>
      <c r="AG1134" s="62"/>
      <c r="AH1134" s="62"/>
      <c r="AI1134" s="61"/>
      <c r="AJ1134" s="62"/>
      <c r="AK1134" s="62"/>
      <c r="AL1134" s="62"/>
      <c r="AM1134" s="62"/>
      <c r="AN1134" s="62"/>
      <c r="AO1134" s="62"/>
      <c r="AP1134" s="62"/>
      <c r="AQ1134" s="62"/>
      <c r="AR1134" s="62"/>
      <c r="AS1134" s="62"/>
      <c r="AT1134" s="62"/>
      <c r="AU1134" s="62"/>
      <c r="AV1134" s="62"/>
      <c r="AW1134" s="62"/>
      <c r="AX1134" s="62"/>
      <c r="AY1134" s="62"/>
      <c r="AZ1134" s="62"/>
    </row>
    <row r="1135" spans="1:52" x14ac:dyDescent="0.25">
      <c r="A1135" s="62"/>
      <c r="B1135" s="68"/>
      <c r="C1135" s="86"/>
      <c r="D1135" s="60"/>
      <c r="E1135" s="60"/>
      <c r="F1135" s="60"/>
      <c r="G1135" s="60"/>
      <c r="H1135" s="62"/>
      <c r="I1135" s="62"/>
      <c r="J1135" s="62"/>
      <c r="K1135" s="61"/>
      <c r="L1135" s="62"/>
      <c r="M1135" s="62"/>
      <c r="N1135" s="68"/>
      <c r="O1135" s="86"/>
      <c r="P1135" s="71"/>
      <c r="Q1135" s="86"/>
      <c r="R1135" s="86"/>
      <c r="S1135" s="60"/>
      <c r="T1135" s="62"/>
      <c r="U1135" s="62"/>
      <c r="V1135" s="62"/>
      <c r="W1135" s="61"/>
      <c r="X1135" s="62"/>
      <c r="Y1135" s="62"/>
      <c r="Z1135" s="68"/>
      <c r="AA1135" s="86"/>
      <c r="AB1135" s="60"/>
      <c r="AC1135" s="60"/>
      <c r="AD1135" s="60"/>
      <c r="AE1135" s="60"/>
      <c r="AF1135" s="62"/>
      <c r="AG1135" s="62"/>
      <c r="AH1135" s="62"/>
      <c r="AI1135" s="61"/>
      <c r="AJ1135" s="62"/>
      <c r="AK1135" s="62"/>
      <c r="AL1135" s="62"/>
      <c r="AM1135" s="62"/>
      <c r="AN1135" s="62"/>
      <c r="AO1135" s="62"/>
      <c r="AP1135" s="62"/>
      <c r="AQ1135" s="62"/>
      <c r="AR1135" s="62"/>
      <c r="AS1135" s="62"/>
      <c r="AT1135" s="62"/>
      <c r="AU1135" s="62"/>
      <c r="AV1135" s="62"/>
      <c r="AW1135" s="62"/>
      <c r="AX1135" s="62"/>
      <c r="AY1135" s="62"/>
      <c r="AZ1135" s="62"/>
    </row>
    <row r="1136" spans="1:52" x14ac:dyDescent="0.25">
      <c r="A1136" s="62"/>
      <c r="B1136" s="68"/>
      <c r="C1136" s="86"/>
      <c r="D1136" s="60"/>
      <c r="E1136" s="60"/>
      <c r="F1136" s="60"/>
      <c r="G1136" s="60"/>
      <c r="H1136" s="62"/>
      <c r="I1136" s="62"/>
      <c r="J1136" s="62"/>
      <c r="K1136" s="61"/>
      <c r="L1136" s="62"/>
      <c r="M1136" s="62"/>
      <c r="N1136" s="68"/>
      <c r="O1136" s="86"/>
      <c r="P1136" s="71"/>
      <c r="Q1136" s="86"/>
      <c r="R1136" s="86"/>
      <c r="S1136" s="60"/>
      <c r="T1136" s="62"/>
      <c r="U1136" s="62"/>
      <c r="V1136" s="62"/>
      <c r="W1136" s="61"/>
      <c r="X1136" s="62"/>
      <c r="Y1136" s="62"/>
      <c r="Z1136" s="68"/>
      <c r="AA1136" s="86"/>
      <c r="AB1136" s="60"/>
      <c r="AC1136" s="60"/>
      <c r="AD1136" s="60"/>
      <c r="AE1136" s="60"/>
      <c r="AF1136" s="62"/>
      <c r="AG1136" s="62"/>
      <c r="AH1136" s="62"/>
      <c r="AI1136" s="61"/>
      <c r="AJ1136" s="62"/>
      <c r="AK1136" s="62"/>
      <c r="AL1136" s="62"/>
      <c r="AM1136" s="62"/>
      <c r="AN1136" s="62"/>
      <c r="AO1136" s="62"/>
      <c r="AP1136" s="62"/>
      <c r="AQ1136" s="62"/>
      <c r="AR1136" s="62"/>
      <c r="AS1136" s="62"/>
      <c r="AT1136" s="62"/>
      <c r="AU1136" s="62"/>
      <c r="AV1136" s="62"/>
      <c r="AW1136" s="62"/>
      <c r="AX1136" s="62"/>
      <c r="AY1136" s="62"/>
      <c r="AZ1136" s="62"/>
    </row>
    <row r="1137" spans="1:52" x14ac:dyDescent="0.25">
      <c r="A1137" s="62"/>
      <c r="B1137" s="68"/>
      <c r="C1137" s="86"/>
      <c r="D1137" s="60"/>
      <c r="E1137" s="60"/>
      <c r="F1137" s="60"/>
      <c r="G1137" s="60"/>
      <c r="H1137" s="62"/>
      <c r="I1137" s="62"/>
      <c r="J1137" s="62"/>
      <c r="K1137" s="61"/>
      <c r="L1137" s="62"/>
      <c r="M1137" s="62"/>
      <c r="N1137" s="68"/>
      <c r="O1137" s="86"/>
      <c r="P1137" s="71"/>
      <c r="Q1137" s="86"/>
      <c r="R1137" s="86"/>
      <c r="S1137" s="60"/>
      <c r="T1137" s="62"/>
      <c r="U1137" s="62"/>
      <c r="V1137" s="62"/>
      <c r="W1137" s="61"/>
      <c r="X1137" s="62"/>
      <c r="Y1137" s="62"/>
      <c r="Z1137" s="68"/>
      <c r="AA1137" s="86"/>
      <c r="AB1137" s="60"/>
      <c r="AC1137" s="60"/>
      <c r="AD1137" s="60"/>
      <c r="AE1137" s="60"/>
      <c r="AF1137" s="62"/>
      <c r="AG1137" s="62"/>
      <c r="AH1137" s="62"/>
      <c r="AI1137" s="61"/>
      <c r="AJ1137" s="62"/>
      <c r="AK1137" s="62"/>
      <c r="AL1137" s="62"/>
      <c r="AM1137" s="62"/>
      <c r="AN1137" s="62"/>
      <c r="AO1137" s="62"/>
      <c r="AP1137" s="62"/>
      <c r="AQ1137" s="62"/>
      <c r="AR1137" s="62"/>
      <c r="AS1137" s="62"/>
      <c r="AT1137" s="62"/>
      <c r="AU1137" s="62"/>
      <c r="AV1137" s="62"/>
      <c r="AW1137" s="62"/>
      <c r="AX1137" s="62"/>
      <c r="AY1137" s="62"/>
      <c r="AZ1137" s="62"/>
    </row>
    <row r="1138" spans="1:52" x14ac:dyDescent="0.25">
      <c r="A1138" s="62"/>
      <c r="B1138" s="68"/>
      <c r="C1138" s="86"/>
      <c r="D1138" s="60"/>
      <c r="E1138" s="60"/>
      <c r="F1138" s="60"/>
      <c r="G1138" s="60"/>
      <c r="H1138" s="62"/>
      <c r="I1138" s="62"/>
      <c r="J1138" s="62"/>
      <c r="K1138" s="61"/>
      <c r="L1138" s="62"/>
      <c r="M1138" s="62"/>
      <c r="N1138" s="68"/>
      <c r="O1138" s="86"/>
      <c r="P1138" s="71"/>
      <c r="Q1138" s="86"/>
      <c r="R1138" s="86"/>
      <c r="S1138" s="60"/>
      <c r="T1138" s="62"/>
      <c r="U1138" s="62"/>
      <c r="V1138" s="62"/>
      <c r="W1138" s="61"/>
      <c r="X1138" s="62"/>
      <c r="Y1138" s="62"/>
      <c r="Z1138" s="68"/>
      <c r="AA1138" s="86"/>
      <c r="AB1138" s="60"/>
      <c r="AC1138" s="60"/>
      <c r="AD1138" s="60"/>
      <c r="AE1138" s="60"/>
      <c r="AF1138" s="62"/>
      <c r="AG1138" s="62"/>
      <c r="AH1138" s="62"/>
      <c r="AI1138" s="61"/>
      <c r="AJ1138" s="62"/>
      <c r="AK1138" s="62"/>
      <c r="AL1138" s="62"/>
      <c r="AM1138" s="62"/>
      <c r="AN1138" s="62"/>
      <c r="AO1138" s="62"/>
      <c r="AP1138" s="62"/>
      <c r="AQ1138" s="62"/>
      <c r="AR1138" s="62"/>
      <c r="AS1138" s="62"/>
      <c r="AT1138" s="62"/>
      <c r="AU1138" s="62"/>
      <c r="AV1138" s="62"/>
      <c r="AW1138" s="62"/>
      <c r="AX1138" s="62"/>
      <c r="AY1138" s="62"/>
      <c r="AZ1138" s="62"/>
    </row>
    <row r="1139" spans="1:52" x14ac:dyDescent="0.25">
      <c r="A1139" s="62"/>
      <c r="B1139" s="68"/>
      <c r="C1139" s="86"/>
      <c r="D1139" s="60"/>
      <c r="E1139" s="60"/>
      <c r="F1139" s="60"/>
      <c r="G1139" s="60"/>
      <c r="H1139" s="62"/>
      <c r="I1139" s="62"/>
      <c r="J1139" s="62"/>
      <c r="K1139" s="61"/>
      <c r="L1139" s="62"/>
      <c r="M1139" s="62"/>
      <c r="N1139" s="68"/>
      <c r="O1139" s="86"/>
      <c r="P1139" s="71"/>
      <c r="Q1139" s="86"/>
      <c r="R1139" s="86"/>
      <c r="S1139" s="60"/>
      <c r="T1139" s="62"/>
      <c r="U1139" s="62"/>
      <c r="V1139" s="62"/>
      <c r="W1139" s="61"/>
      <c r="X1139" s="62"/>
      <c r="Y1139" s="62"/>
      <c r="Z1139" s="68"/>
      <c r="AA1139" s="86"/>
      <c r="AB1139" s="60"/>
      <c r="AC1139" s="60"/>
      <c r="AD1139" s="60"/>
      <c r="AE1139" s="60"/>
      <c r="AF1139" s="62"/>
      <c r="AG1139" s="62"/>
      <c r="AH1139" s="62"/>
      <c r="AI1139" s="61"/>
      <c r="AJ1139" s="62"/>
      <c r="AK1139" s="62"/>
      <c r="AL1139" s="62"/>
      <c r="AM1139" s="62"/>
      <c r="AN1139" s="62"/>
      <c r="AO1139" s="62"/>
      <c r="AP1139" s="62"/>
      <c r="AQ1139" s="62"/>
      <c r="AR1139" s="62"/>
      <c r="AS1139" s="62"/>
      <c r="AT1139" s="62"/>
      <c r="AU1139" s="62"/>
      <c r="AV1139" s="62"/>
      <c r="AW1139" s="62"/>
      <c r="AX1139" s="62"/>
      <c r="AY1139" s="62"/>
      <c r="AZ1139" s="62"/>
    </row>
    <row r="1140" spans="1:52" x14ac:dyDescent="0.25">
      <c r="A1140" s="62"/>
      <c r="B1140" s="68"/>
      <c r="C1140" s="86"/>
      <c r="D1140" s="60"/>
      <c r="E1140" s="60"/>
      <c r="F1140" s="60"/>
      <c r="G1140" s="60"/>
      <c r="H1140" s="62"/>
      <c r="I1140" s="62"/>
      <c r="J1140" s="62"/>
      <c r="K1140" s="61"/>
      <c r="L1140" s="62"/>
      <c r="M1140" s="62"/>
      <c r="N1140" s="68"/>
      <c r="O1140" s="86"/>
      <c r="P1140" s="71"/>
      <c r="Q1140" s="86"/>
      <c r="R1140" s="86"/>
      <c r="S1140" s="60"/>
      <c r="T1140" s="62"/>
      <c r="U1140" s="62"/>
      <c r="V1140" s="62"/>
      <c r="W1140" s="61"/>
      <c r="X1140" s="62"/>
      <c r="Y1140" s="62"/>
      <c r="Z1140" s="68"/>
      <c r="AA1140" s="86"/>
      <c r="AB1140" s="60"/>
      <c r="AC1140" s="60"/>
      <c r="AD1140" s="60"/>
      <c r="AE1140" s="60"/>
      <c r="AF1140" s="62"/>
      <c r="AG1140" s="62"/>
      <c r="AH1140" s="62"/>
      <c r="AI1140" s="61"/>
      <c r="AJ1140" s="62"/>
      <c r="AK1140" s="62"/>
      <c r="AL1140" s="62"/>
      <c r="AM1140" s="62"/>
      <c r="AN1140" s="62"/>
      <c r="AO1140" s="62"/>
      <c r="AP1140" s="62"/>
      <c r="AQ1140" s="62"/>
      <c r="AR1140" s="62"/>
      <c r="AS1140" s="62"/>
      <c r="AT1140" s="62"/>
      <c r="AU1140" s="62"/>
      <c r="AV1140" s="62"/>
      <c r="AW1140" s="62"/>
      <c r="AX1140" s="62"/>
      <c r="AY1140" s="62"/>
      <c r="AZ1140" s="62"/>
    </row>
    <row r="1141" spans="1:52" x14ac:dyDescent="0.25">
      <c r="A1141" s="62"/>
      <c r="B1141" s="68"/>
      <c r="C1141" s="86"/>
      <c r="D1141" s="60"/>
      <c r="E1141" s="60"/>
      <c r="F1141" s="60"/>
      <c r="G1141" s="60"/>
      <c r="H1141" s="62"/>
      <c r="I1141" s="62"/>
      <c r="J1141" s="62"/>
      <c r="K1141" s="61"/>
      <c r="L1141" s="62"/>
      <c r="M1141" s="62"/>
      <c r="N1141" s="68"/>
      <c r="O1141" s="86"/>
      <c r="P1141" s="71"/>
      <c r="Q1141" s="86"/>
      <c r="R1141" s="86"/>
      <c r="S1141" s="60"/>
      <c r="T1141" s="62"/>
      <c r="U1141" s="62"/>
      <c r="V1141" s="62"/>
      <c r="W1141" s="61"/>
      <c r="X1141" s="62"/>
      <c r="Y1141" s="62"/>
      <c r="Z1141" s="68"/>
      <c r="AA1141" s="86"/>
      <c r="AB1141" s="60"/>
      <c r="AC1141" s="60"/>
      <c r="AD1141" s="60"/>
      <c r="AE1141" s="60"/>
      <c r="AF1141" s="62"/>
      <c r="AG1141" s="62"/>
      <c r="AH1141" s="62"/>
      <c r="AI1141" s="61"/>
      <c r="AJ1141" s="62"/>
      <c r="AK1141" s="62"/>
      <c r="AL1141" s="62"/>
      <c r="AM1141" s="62"/>
      <c r="AN1141" s="62"/>
      <c r="AO1141" s="62"/>
      <c r="AP1141" s="62"/>
      <c r="AQ1141" s="62"/>
      <c r="AR1141" s="62"/>
      <c r="AS1141" s="62"/>
      <c r="AT1141" s="62"/>
      <c r="AU1141" s="62"/>
      <c r="AV1141" s="62"/>
      <c r="AW1141" s="62"/>
      <c r="AX1141" s="62"/>
      <c r="AY1141" s="62"/>
      <c r="AZ1141" s="62"/>
    </row>
    <row r="1142" spans="1:52" x14ac:dyDescent="0.25">
      <c r="A1142" s="62"/>
      <c r="B1142" s="68"/>
      <c r="C1142" s="86"/>
      <c r="D1142" s="60"/>
      <c r="E1142" s="60"/>
      <c r="F1142" s="60"/>
      <c r="G1142" s="60"/>
      <c r="H1142" s="62"/>
      <c r="I1142" s="62"/>
      <c r="J1142" s="62"/>
      <c r="K1142" s="61"/>
      <c r="L1142" s="62"/>
      <c r="M1142" s="62"/>
      <c r="N1142" s="68"/>
      <c r="O1142" s="86"/>
      <c r="P1142" s="71"/>
      <c r="Q1142" s="86"/>
      <c r="R1142" s="86"/>
      <c r="S1142" s="60"/>
      <c r="T1142" s="62"/>
      <c r="U1142" s="62"/>
      <c r="V1142" s="62"/>
      <c r="W1142" s="61"/>
      <c r="X1142" s="62"/>
      <c r="Y1142" s="62"/>
      <c r="Z1142" s="68"/>
      <c r="AA1142" s="86"/>
      <c r="AB1142" s="60"/>
      <c r="AC1142" s="60"/>
      <c r="AD1142" s="60"/>
      <c r="AE1142" s="60"/>
      <c r="AF1142" s="62"/>
      <c r="AG1142" s="62"/>
      <c r="AH1142" s="62"/>
      <c r="AI1142" s="61"/>
      <c r="AJ1142" s="62"/>
      <c r="AK1142" s="62"/>
      <c r="AL1142" s="62"/>
      <c r="AM1142" s="62"/>
      <c r="AN1142" s="62"/>
      <c r="AO1142" s="62"/>
      <c r="AP1142" s="62"/>
      <c r="AQ1142" s="62"/>
      <c r="AR1142" s="62"/>
      <c r="AS1142" s="62"/>
      <c r="AT1142" s="62"/>
      <c r="AU1142" s="62"/>
      <c r="AV1142" s="62"/>
      <c r="AW1142" s="62"/>
      <c r="AX1142" s="62"/>
      <c r="AY1142" s="62"/>
      <c r="AZ1142" s="62"/>
    </row>
    <row r="1143" spans="1:52" x14ac:dyDescent="0.25">
      <c r="A1143" s="62"/>
      <c r="B1143" s="68"/>
      <c r="C1143" s="86"/>
      <c r="D1143" s="60"/>
      <c r="E1143" s="60"/>
      <c r="F1143" s="60"/>
      <c r="G1143" s="60"/>
      <c r="H1143" s="62"/>
      <c r="I1143" s="62"/>
      <c r="J1143" s="62"/>
      <c r="K1143" s="61"/>
      <c r="L1143" s="62"/>
      <c r="M1143" s="62"/>
      <c r="N1143" s="68"/>
      <c r="O1143" s="86"/>
      <c r="P1143" s="71"/>
      <c r="Q1143" s="86"/>
      <c r="R1143" s="86"/>
      <c r="S1143" s="60"/>
      <c r="T1143" s="62"/>
      <c r="U1143" s="62"/>
      <c r="V1143" s="62"/>
      <c r="W1143" s="61"/>
      <c r="X1143" s="62"/>
      <c r="Y1143" s="62"/>
      <c r="Z1143" s="68"/>
      <c r="AA1143" s="86"/>
      <c r="AB1143" s="60"/>
      <c r="AC1143" s="60"/>
      <c r="AD1143" s="60"/>
      <c r="AE1143" s="60"/>
      <c r="AF1143" s="62"/>
      <c r="AG1143" s="62"/>
      <c r="AH1143" s="62"/>
      <c r="AI1143" s="61"/>
      <c r="AJ1143" s="62"/>
      <c r="AK1143" s="62"/>
      <c r="AL1143" s="62"/>
      <c r="AM1143" s="62"/>
      <c r="AN1143" s="62"/>
      <c r="AO1143" s="62"/>
      <c r="AP1143" s="62"/>
      <c r="AQ1143" s="62"/>
      <c r="AR1143" s="62"/>
      <c r="AS1143" s="62"/>
      <c r="AT1143" s="62"/>
      <c r="AU1143" s="62"/>
      <c r="AV1143" s="62"/>
      <c r="AW1143" s="62"/>
      <c r="AX1143" s="62"/>
      <c r="AY1143" s="62"/>
      <c r="AZ1143" s="62"/>
    </row>
    <row r="1144" spans="1:52" x14ac:dyDescent="0.25">
      <c r="A1144" s="62"/>
      <c r="B1144" s="68"/>
      <c r="C1144" s="86"/>
      <c r="D1144" s="60"/>
      <c r="E1144" s="60"/>
      <c r="F1144" s="60"/>
      <c r="G1144" s="60"/>
      <c r="H1144" s="62"/>
      <c r="I1144" s="62"/>
      <c r="J1144" s="62"/>
      <c r="K1144" s="61"/>
      <c r="L1144" s="62"/>
      <c r="M1144" s="62"/>
      <c r="N1144" s="68"/>
      <c r="O1144" s="62"/>
      <c r="P1144" s="71"/>
      <c r="Q1144" s="86"/>
      <c r="R1144" s="86"/>
      <c r="S1144" s="60"/>
      <c r="T1144" s="62"/>
      <c r="U1144" s="62"/>
      <c r="V1144" s="62"/>
      <c r="W1144" s="61"/>
      <c r="X1144" s="62"/>
      <c r="Y1144" s="62"/>
      <c r="Z1144" s="68"/>
      <c r="AA1144" s="86"/>
      <c r="AB1144" s="60"/>
      <c r="AC1144" s="60"/>
      <c r="AD1144" s="60"/>
      <c r="AE1144" s="60"/>
      <c r="AF1144" s="62"/>
      <c r="AG1144" s="62"/>
      <c r="AH1144" s="62"/>
      <c r="AI1144" s="61"/>
      <c r="AJ1144" s="62"/>
      <c r="AK1144" s="62"/>
      <c r="AL1144" s="62"/>
      <c r="AM1144" s="62"/>
      <c r="AN1144" s="62"/>
      <c r="AO1144" s="62"/>
      <c r="AP1144" s="62"/>
      <c r="AQ1144" s="62"/>
      <c r="AR1144" s="62"/>
      <c r="AS1144" s="62"/>
      <c r="AT1144" s="62"/>
      <c r="AU1144" s="62"/>
      <c r="AV1144" s="62"/>
      <c r="AW1144" s="62"/>
      <c r="AX1144" s="62"/>
      <c r="AY1144" s="62"/>
      <c r="AZ1144" s="62"/>
    </row>
    <row r="1145" spans="1:52" x14ac:dyDescent="0.25">
      <c r="A1145" s="62"/>
      <c r="B1145" s="68"/>
      <c r="C1145" s="86"/>
      <c r="D1145" s="60"/>
      <c r="E1145" s="60"/>
      <c r="F1145" s="60"/>
      <c r="G1145" s="60"/>
      <c r="H1145" s="62"/>
      <c r="I1145" s="62"/>
      <c r="J1145" s="62"/>
      <c r="K1145" s="61"/>
      <c r="L1145" s="62"/>
      <c r="M1145" s="62"/>
      <c r="N1145" s="68"/>
      <c r="O1145" s="86"/>
      <c r="P1145" s="71"/>
      <c r="Q1145" s="86"/>
      <c r="R1145" s="86"/>
      <c r="S1145" s="60"/>
      <c r="T1145" s="62"/>
      <c r="U1145" s="62"/>
      <c r="V1145" s="62"/>
      <c r="W1145" s="61"/>
      <c r="X1145" s="62"/>
      <c r="Y1145" s="62"/>
      <c r="Z1145" s="68"/>
      <c r="AA1145" s="86"/>
      <c r="AB1145" s="60"/>
      <c r="AC1145" s="60"/>
      <c r="AD1145" s="60"/>
      <c r="AE1145" s="60"/>
      <c r="AF1145" s="62"/>
      <c r="AG1145" s="62"/>
      <c r="AH1145" s="62"/>
      <c r="AI1145" s="61"/>
      <c r="AJ1145" s="62"/>
      <c r="AK1145" s="62"/>
      <c r="AL1145" s="62"/>
      <c r="AM1145" s="62"/>
      <c r="AN1145" s="62"/>
      <c r="AO1145" s="62"/>
      <c r="AP1145" s="62"/>
      <c r="AQ1145" s="62"/>
      <c r="AR1145" s="62"/>
      <c r="AS1145" s="62"/>
      <c r="AT1145" s="62"/>
      <c r="AU1145" s="62"/>
      <c r="AV1145" s="62"/>
      <c r="AW1145" s="62"/>
      <c r="AX1145" s="62"/>
      <c r="AY1145" s="62"/>
      <c r="AZ1145" s="62"/>
    </row>
    <row r="1146" spans="1:52" x14ac:dyDescent="0.25">
      <c r="A1146" s="62"/>
      <c r="B1146" s="68"/>
      <c r="C1146" s="68"/>
      <c r="D1146" s="60"/>
      <c r="E1146" s="60"/>
      <c r="F1146" s="60"/>
      <c r="G1146" s="60"/>
      <c r="H1146" s="62"/>
      <c r="I1146" s="62"/>
      <c r="J1146" s="62"/>
      <c r="K1146" s="61"/>
      <c r="L1146" s="62"/>
      <c r="M1146" s="62"/>
      <c r="N1146" s="86"/>
      <c r="O1146" s="86"/>
      <c r="P1146" s="86"/>
      <c r="Q1146" s="86"/>
      <c r="R1146" s="86"/>
      <c r="S1146" s="86"/>
      <c r="T1146" s="62"/>
      <c r="U1146" s="62"/>
      <c r="V1146" s="62"/>
      <c r="W1146" s="61"/>
      <c r="X1146" s="62"/>
      <c r="Y1146" s="62"/>
      <c r="Z1146" s="68"/>
      <c r="AA1146" s="68"/>
      <c r="AB1146" s="60"/>
      <c r="AC1146" s="60"/>
      <c r="AD1146" s="60"/>
      <c r="AE1146" s="60"/>
      <c r="AF1146" s="62"/>
      <c r="AG1146" s="62"/>
      <c r="AH1146" s="62"/>
      <c r="AI1146" s="61"/>
      <c r="AJ1146" s="62"/>
      <c r="AK1146" s="62"/>
      <c r="AL1146" s="62"/>
      <c r="AM1146" s="62"/>
      <c r="AN1146" s="62"/>
      <c r="AO1146" s="62"/>
      <c r="AP1146" s="62"/>
      <c r="AQ1146" s="62"/>
      <c r="AR1146" s="62"/>
      <c r="AS1146" s="62"/>
      <c r="AT1146" s="62"/>
      <c r="AU1146" s="62"/>
      <c r="AV1146" s="62"/>
      <c r="AW1146" s="62"/>
      <c r="AX1146" s="62"/>
      <c r="AY1146" s="62"/>
      <c r="AZ1146" s="62"/>
    </row>
    <row r="1147" spans="1:52" x14ac:dyDescent="0.25">
      <c r="A1147" s="62"/>
      <c r="B1147" s="86"/>
      <c r="C1147" s="86"/>
      <c r="D1147" s="86"/>
      <c r="E1147" s="86"/>
      <c r="F1147" s="86"/>
      <c r="G1147" s="86"/>
      <c r="H1147" s="62"/>
      <c r="I1147" s="62"/>
      <c r="J1147" s="62"/>
      <c r="K1147" s="62"/>
      <c r="L1147" s="62"/>
      <c r="M1147" s="62"/>
      <c r="N1147" s="86"/>
      <c r="O1147" s="86"/>
      <c r="P1147" s="86"/>
      <c r="Q1147" s="86"/>
      <c r="R1147" s="86"/>
      <c r="S1147" s="86"/>
      <c r="T1147" s="62"/>
      <c r="U1147" s="62"/>
      <c r="V1147" s="62"/>
      <c r="W1147" s="62"/>
      <c r="X1147" s="62"/>
      <c r="Y1147" s="62"/>
      <c r="Z1147" s="86"/>
      <c r="AA1147" s="86"/>
      <c r="AB1147" s="86"/>
      <c r="AC1147" s="86"/>
      <c r="AD1147" s="86"/>
      <c r="AE1147" s="86"/>
      <c r="AF1147" s="62"/>
      <c r="AG1147" s="62"/>
      <c r="AH1147" s="62"/>
      <c r="AI1147" s="62"/>
      <c r="AJ1147" s="62"/>
      <c r="AK1147" s="62"/>
      <c r="AL1147" s="62"/>
      <c r="AM1147" s="62"/>
      <c r="AN1147" s="62"/>
      <c r="AO1147" s="62"/>
      <c r="AP1147" s="62"/>
      <c r="AQ1147" s="62"/>
      <c r="AR1147" s="62"/>
      <c r="AS1147" s="62"/>
      <c r="AT1147" s="62"/>
      <c r="AU1147" s="62"/>
      <c r="AV1147" s="62"/>
      <c r="AW1147" s="62"/>
      <c r="AX1147" s="62"/>
      <c r="AY1147" s="62"/>
      <c r="AZ1147" s="62"/>
    </row>
    <row r="1148" spans="1:52" x14ac:dyDescent="0.25">
      <c r="A1148" s="62"/>
      <c r="B1148" s="86"/>
      <c r="C1148" s="86"/>
      <c r="D1148" s="72"/>
      <c r="E1148" s="72"/>
      <c r="F1148" s="72"/>
      <c r="G1148" s="72"/>
      <c r="H1148" s="64"/>
      <c r="I1148" s="72"/>
      <c r="J1148" s="72"/>
      <c r="K1148" s="72"/>
      <c r="L1148" s="62"/>
      <c r="M1148" s="62"/>
      <c r="N1148" s="86"/>
      <c r="O1148" s="86"/>
      <c r="P1148" s="72"/>
      <c r="Q1148" s="72"/>
      <c r="R1148" s="72"/>
      <c r="S1148" s="72"/>
      <c r="T1148" s="64"/>
      <c r="U1148" s="73"/>
      <c r="V1148" s="73"/>
      <c r="W1148" s="73"/>
      <c r="X1148" s="62"/>
      <c r="Y1148" s="62"/>
      <c r="Z1148" s="86"/>
      <c r="AA1148" s="86"/>
      <c r="AB1148" s="72"/>
      <c r="AC1148" s="72"/>
      <c r="AD1148" s="72"/>
      <c r="AE1148" s="72"/>
      <c r="AF1148" s="64"/>
      <c r="AG1148" s="72"/>
      <c r="AH1148" s="72"/>
      <c r="AI1148" s="72"/>
      <c r="AJ1148" s="62"/>
      <c r="AK1148" s="62"/>
      <c r="AL1148" s="62"/>
      <c r="AM1148" s="62"/>
      <c r="AN1148" s="62"/>
      <c r="AO1148" s="62"/>
      <c r="AP1148" s="62"/>
      <c r="AQ1148" s="62"/>
      <c r="AR1148" s="62"/>
      <c r="AS1148" s="62"/>
      <c r="AT1148" s="62"/>
      <c r="AU1148" s="62"/>
      <c r="AV1148" s="62"/>
      <c r="AW1148" s="62"/>
      <c r="AX1148" s="62"/>
      <c r="AY1148" s="62"/>
      <c r="AZ1148" s="62"/>
    </row>
    <row r="1149" spans="1:52" x14ac:dyDescent="0.25">
      <c r="A1149" s="62"/>
      <c r="B1149" s="62"/>
      <c r="C1149" s="62"/>
      <c r="D1149" s="62"/>
      <c r="E1149" s="62"/>
      <c r="F1149" s="62"/>
      <c r="G1149" s="62"/>
      <c r="H1149" s="62"/>
      <c r="I1149" s="62"/>
      <c r="J1149" s="62"/>
      <c r="K1149" s="62"/>
      <c r="L1149" s="62"/>
      <c r="M1149" s="62"/>
      <c r="N1149" s="62"/>
      <c r="O1149" s="62"/>
      <c r="P1149" s="62"/>
      <c r="Q1149" s="62"/>
      <c r="R1149" s="62"/>
      <c r="S1149" s="62"/>
      <c r="T1149" s="62"/>
      <c r="U1149" s="62"/>
      <c r="V1149" s="62"/>
      <c r="W1149" s="62"/>
      <c r="X1149" s="62"/>
      <c r="Y1149" s="62"/>
      <c r="Z1149" s="62"/>
      <c r="AA1149" s="62"/>
      <c r="AB1149" s="62"/>
      <c r="AC1149" s="62"/>
      <c r="AD1149" s="62"/>
      <c r="AE1149" s="62"/>
      <c r="AF1149" s="62"/>
      <c r="AG1149" s="62"/>
      <c r="AH1149" s="62"/>
      <c r="AI1149" s="62"/>
      <c r="AJ1149" s="62"/>
      <c r="AK1149" s="62"/>
      <c r="AL1149" s="62"/>
      <c r="AM1149" s="62"/>
      <c r="AN1149" s="62"/>
      <c r="AO1149" s="62"/>
      <c r="AP1149" s="62"/>
      <c r="AQ1149" s="62"/>
      <c r="AR1149" s="62"/>
      <c r="AS1149" s="62"/>
      <c r="AT1149" s="62"/>
      <c r="AU1149" s="62"/>
      <c r="AV1149" s="62"/>
      <c r="AW1149" s="62"/>
      <c r="AX1149" s="62"/>
      <c r="AY1149" s="62"/>
      <c r="AZ1149" s="62"/>
    </row>
    <row r="1150" spans="1:52" x14ac:dyDescent="0.25">
      <c r="A1150" s="62"/>
      <c r="B1150" s="86"/>
      <c r="C1150" s="86"/>
      <c r="D1150" s="86"/>
      <c r="E1150" s="86"/>
      <c r="F1150" s="86"/>
      <c r="G1150" s="86"/>
      <c r="H1150" s="62"/>
      <c r="I1150" s="62"/>
      <c r="J1150" s="62"/>
      <c r="K1150" s="62"/>
      <c r="L1150" s="62"/>
      <c r="M1150" s="62"/>
      <c r="N1150" s="86"/>
      <c r="O1150" s="86"/>
      <c r="P1150" s="86"/>
      <c r="Q1150" s="86"/>
      <c r="R1150" s="86"/>
      <c r="S1150" s="86"/>
      <c r="T1150" s="62"/>
      <c r="U1150" s="62"/>
      <c r="V1150" s="62"/>
      <c r="W1150" s="62"/>
      <c r="X1150" s="62"/>
      <c r="Y1150" s="62"/>
      <c r="Z1150" s="86"/>
      <c r="AA1150" s="86"/>
      <c r="AB1150" s="86"/>
      <c r="AC1150" s="86"/>
      <c r="AD1150" s="86"/>
      <c r="AE1150" s="86"/>
      <c r="AF1150" s="62"/>
      <c r="AG1150" s="62"/>
      <c r="AH1150" s="62"/>
      <c r="AI1150" s="62"/>
      <c r="AJ1150" s="62"/>
      <c r="AK1150" s="62"/>
      <c r="AL1150" s="62"/>
      <c r="AM1150" s="62"/>
      <c r="AN1150" s="62"/>
      <c r="AO1150" s="62"/>
      <c r="AP1150" s="62"/>
      <c r="AQ1150" s="62"/>
      <c r="AR1150" s="62"/>
      <c r="AS1150" s="62"/>
      <c r="AT1150" s="62"/>
      <c r="AU1150" s="62"/>
      <c r="AV1150" s="62"/>
      <c r="AW1150" s="62"/>
      <c r="AX1150" s="62"/>
      <c r="AY1150" s="62"/>
      <c r="AZ1150" s="62"/>
    </row>
    <row r="1151" spans="1:52" x14ac:dyDescent="0.25">
      <c r="A1151" s="62"/>
      <c r="B1151" s="86"/>
      <c r="C1151" s="86"/>
      <c r="D1151" s="86"/>
      <c r="E1151" s="86"/>
      <c r="F1151" s="86"/>
      <c r="G1151" s="86"/>
      <c r="H1151" s="62"/>
      <c r="I1151" s="62"/>
      <c r="J1151" s="62"/>
      <c r="K1151" s="62"/>
      <c r="L1151" s="62"/>
      <c r="M1151" s="62"/>
      <c r="N1151" s="86"/>
      <c r="O1151" s="86"/>
      <c r="P1151" s="86"/>
      <c r="Q1151" s="86"/>
      <c r="R1151" s="86"/>
      <c r="S1151" s="86"/>
      <c r="T1151" s="62"/>
      <c r="U1151" s="62"/>
      <c r="V1151" s="62"/>
      <c r="W1151" s="62"/>
      <c r="X1151" s="62"/>
      <c r="Y1151" s="62"/>
      <c r="Z1151" s="86"/>
      <c r="AA1151" s="86"/>
      <c r="AB1151" s="86"/>
      <c r="AC1151" s="86"/>
      <c r="AD1151" s="86"/>
      <c r="AE1151" s="86"/>
      <c r="AF1151" s="62"/>
      <c r="AG1151" s="62"/>
      <c r="AH1151" s="62"/>
      <c r="AI1151" s="62"/>
      <c r="AJ1151" s="62"/>
      <c r="AK1151" s="62"/>
      <c r="AL1151" s="62"/>
      <c r="AM1151" s="62"/>
      <c r="AN1151" s="62"/>
      <c r="AO1151" s="62"/>
      <c r="AP1151" s="62"/>
      <c r="AQ1151" s="62"/>
      <c r="AR1151" s="62"/>
      <c r="AS1151" s="62"/>
      <c r="AT1151" s="62"/>
      <c r="AU1151" s="62"/>
      <c r="AV1151" s="62"/>
      <c r="AW1151" s="62"/>
      <c r="AX1151" s="62"/>
      <c r="AY1151" s="62"/>
      <c r="AZ1151" s="62"/>
    </row>
    <row r="1152" spans="1:52" x14ac:dyDescent="0.25">
      <c r="A1152" s="62"/>
      <c r="B1152" s="86"/>
      <c r="C1152" s="86"/>
      <c r="D1152" s="86"/>
      <c r="E1152" s="86"/>
      <c r="F1152" s="86"/>
      <c r="G1152" s="86"/>
      <c r="H1152" s="62"/>
      <c r="I1152" s="62"/>
      <c r="J1152" s="62"/>
      <c r="K1152" s="62"/>
      <c r="L1152" s="62"/>
      <c r="M1152" s="62"/>
      <c r="N1152" s="86"/>
      <c r="O1152" s="86"/>
      <c r="P1152" s="86"/>
      <c r="Q1152" s="86"/>
      <c r="R1152" s="86"/>
      <c r="S1152" s="86"/>
      <c r="T1152" s="62"/>
      <c r="U1152" s="62"/>
      <c r="V1152" s="62"/>
      <c r="W1152" s="62"/>
      <c r="X1152" s="62"/>
      <c r="Y1152" s="62"/>
      <c r="Z1152" s="86"/>
      <c r="AA1152" s="86"/>
      <c r="AB1152" s="86"/>
      <c r="AC1152" s="86"/>
      <c r="AD1152" s="86"/>
      <c r="AE1152" s="86"/>
      <c r="AF1152" s="62"/>
      <c r="AG1152" s="62"/>
      <c r="AH1152" s="62"/>
      <c r="AI1152" s="62"/>
      <c r="AJ1152" s="62"/>
      <c r="AK1152" s="62"/>
      <c r="AL1152" s="62"/>
      <c r="AM1152" s="62"/>
      <c r="AN1152" s="62"/>
      <c r="AO1152" s="62"/>
      <c r="AP1152" s="62"/>
      <c r="AQ1152" s="62"/>
      <c r="AR1152" s="62"/>
      <c r="AS1152" s="62"/>
      <c r="AT1152" s="62"/>
      <c r="AU1152" s="62"/>
      <c r="AV1152" s="62"/>
      <c r="AW1152" s="62"/>
      <c r="AX1152" s="62"/>
      <c r="AY1152" s="62"/>
      <c r="AZ1152" s="62"/>
    </row>
    <row r="1153" spans="1:52" x14ac:dyDescent="0.25">
      <c r="A1153" s="64"/>
      <c r="B1153" s="86"/>
      <c r="C1153" s="86"/>
      <c r="D1153" s="86"/>
      <c r="E1153" s="86"/>
      <c r="F1153" s="86"/>
      <c r="G1153" s="86"/>
      <c r="H1153" s="62"/>
      <c r="I1153" s="62"/>
      <c r="J1153" s="62"/>
      <c r="K1153" s="62"/>
      <c r="L1153" s="62"/>
      <c r="M1153" s="64"/>
      <c r="N1153" s="86"/>
      <c r="O1153" s="86"/>
      <c r="P1153" s="86"/>
      <c r="Q1153" s="86"/>
      <c r="R1153" s="86"/>
      <c r="S1153" s="86"/>
      <c r="T1153" s="62"/>
      <c r="U1153" s="62"/>
      <c r="V1153" s="62"/>
      <c r="W1153" s="62"/>
      <c r="X1153" s="62"/>
      <c r="Y1153" s="64"/>
      <c r="Z1153" s="86"/>
      <c r="AA1153" s="86"/>
      <c r="AB1153" s="86"/>
      <c r="AC1153" s="86"/>
      <c r="AD1153" s="86"/>
      <c r="AE1153" s="86"/>
      <c r="AF1153" s="62"/>
      <c r="AG1153" s="62"/>
      <c r="AH1153" s="62"/>
      <c r="AI1153" s="62"/>
      <c r="AJ1153" s="62"/>
      <c r="AK1153" s="62"/>
      <c r="AL1153" s="62"/>
      <c r="AM1153" s="62"/>
      <c r="AN1153" s="62"/>
      <c r="AO1153" s="62"/>
      <c r="AP1153" s="62"/>
      <c r="AQ1153" s="62"/>
      <c r="AR1153" s="62"/>
      <c r="AS1153" s="62"/>
      <c r="AT1153" s="62"/>
      <c r="AU1153" s="62"/>
      <c r="AV1153" s="62"/>
      <c r="AW1153" s="62"/>
      <c r="AX1153" s="62"/>
      <c r="AY1153" s="62"/>
      <c r="AZ1153" s="62"/>
    </row>
    <row r="1154" spans="1:52" x14ac:dyDescent="0.25">
      <c r="A1154" s="62"/>
      <c r="B1154" s="86"/>
      <c r="C1154" s="86"/>
      <c r="D1154" s="86"/>
      <c r="E1154" s="86"/>
      <c r="F1154" s="86"/>
      <c r="G1154" s="86"/>
      <c r="H1154" s="62"/>
      <c r="I1154" s="62"/>
      <c r="J1154" s="62"/>
      <c r="K1154" s="62"/>
      <c r="L1154" s="62"/>
      <c r="M1154" s="62"/>
      <c r="N1154" s="86"/>
      <c r="O1154" s="86"/>
      <c r="P1154" s="86"/>
      <c r="Q1154" s="86"/>
      <c r="R1154" s="86"/>
      <c r="S1154" s="86"/>
      <c r="T1154" s="62"/>
      <c r="U1154" s="62"/>
      <c r="V1154" s="62"/>
      <c r="W1154" s="62"/>
      <c r="X1154" s="62"/>
      <c r="Y1154" s="62"/>
      <c r="Z1154" s="86"/>
      <c r="AA1154" s="86"/>
      <c r="AB1154" s="86"/>
      <c r="AC1154" s="86"/>
      <c r="AD1154" s="86"/>
      <c r="AE1154" s="86"/>
      <c r="AF1154" s="62"/>
      <c r="AG1154" s="62"/>
      <c r="AH1154" s="62"/>
      <c r="AI1154" s="62"/>
      <c r="AJ1154" s="62"/>
      <c r="AK1154" s="62"/>
      <c r="AL1154" s="62"/>
      <c r="AM1154" s="62"/>
      <c r="AN1154" s="62"/>
      <c r="AO1154" s="62"/>
      <c r="AP1154" s="62"/>
      <c r="AQ1154" s="62"/>
      <c r="AR1154" s="62"/>
      <c r="AS1154" s="62"/>
      <c r="AT1154" s="62"/>
      <c r="AU1154" s="62"/>
      <c r="AV1154" s="62"/>
      <c r="AW1154" s="62"/>
      <c r="AX1154" s="62"/>
      <c r="AY1154" s="62"/>
      <c r="AZ1154" s="62"/>
    </row>
    <row r="1155" spans="1:52" ht="15.75" x14ac:dyDescent="0.25">
      <c r="A1155" s="62"/>
      <c r="B1155" s="86"/>
      <c r="C1155" s="86"/>
      <c r="D1155" s="86"/>
      <c r="E1155" s="86"/>
      <c r="F1155" s="86"/>
      <c r="G1155" s="86"/>
      <c r="H1155" s="62"/>
      <c r="I1155" s="86"/>
      <c r="J1155" s="77"/>
      <c r="K1155" s="62"/>
      <c r="L1155" s="62"/>
      <c r="M1155" s="62"/>
      <c r="N1155" s="86"/>
      <c r="O1155" s="86"/>
      <c r="P1155" s="86"/>
      <c r="Q1155" s="86"/>
      <c r="R1155" s="86"/>
      <c r="S1155" s="86"/>
      <c r="T1155" s="62"/>
      <c r="U1155" s="86"/>
      <c r="V1155" s="77"/>
      <c r="W1155" s="62"/>
      <c r="X1155" s="62"/>
      <c r="Y1155" s="62"/>
      <c r="Z1155" s="86"/>
      <c r="AA1155" s="86"/>
      <c r="AB1155" s="86"/>
      <c r="AC1155" s="86"/>
      <c r="AD1155" s="86"/>
      <c r="AE1155" s="86"/>
      <c r="AF1155" s="62"/>
      <c r="AG1155" s="86"/>
      <c r="AH1155" s="86"/>
      <c r="AI1155" s="62"/>
      <c r="AJ1155" s="62"/>
      <c r="AK1155" s="62"/>
      <c r="AL1155" s="62"/>
      <c r="AM1155" s="62"/>
      <c r="AN1155" s="62"/>
      <c r="AO1155" s="62"/>
      <c r="AP1155" s="62"/>
      <c r="AQ1155" s="62"/>
      <c r="AR1155" s="62"/>
      <c r="AS1155" s="62"/>
      <c r="AT1155" s="62"/>
      <c r="AU1155" s="62"/>
      <c r="AV1155" s="62"/>
      <c r="AW1155" s="62"/>
      <c r="AX1155" s="62"/>
      <c r="AY1155" s="62"/>
      <c r="AZ1155" s="62"/>
    </row>
    <row r="1156" spans="1:52" x14ac:dyDescent="0.25">
      <c r="A1156" s="65"/>
      <c r="B1156" s="86"/>
      <c r="C1156" s="86"/>
      <c r="D1156" s="86"/>
      <c r="E1156" s="86"/>
      <c r="F1156" s="86"/>
      <c r="G1156" s="86"/>
      <c r="H1156" s="62"/>
      <c r="I1156" s="66"/>
      <c r="J1156" s="66"/>
      <c r="K1156" s="62"/>
      <c r="L1156" s="62"/>
      <c r="M1156" s="65"/>
      <c r="N1156" s="86"/>
      <c r="O1156" s="86"/>
      <c r="P1156" s="86"/>
      <c r="Q1156" s="86"/>
      <c r="R1156" s="86"/>
      <c r="S1156" s="86"/>
      <c r="T1156" s="62"/>
      <c r="U1156" s="66"/>
      <c r="V1156" s="66"/>
      <c r="W1156" s="62"/>
      <c r="X1156" s="62"/>
      <c r="Y1156" s="65"/>
      <c r="Z1156" s="86"/>
      <c r="AA1156" s="86"/>
      <c r="AB1156" s="86"/>
      <c r="AC1156" s="86"/>
      <c r="AD1156" s="86"/>
      <c r="AE1156" s="86"/>
      <c r="AF1156" s="62"/>
      <c r="AG1156" s="66"/>
      <c r="AH1156" s="66"/>
      <c r="AI1156" s="62"/>
      <c r="AJ1156" s="62"/>
      <c r="AK1156" s="62"/>
      <c r="AL1156" s="62"/>
      <c r="AM1156" s="62"/>
      <c r="AN1156" s="62"/>
      <c r="AO1156" s="62"/>
      <c r="AP1156" s="62"/>
      <c r="AQ1156" s="62"/>
      <c r="AR1156" s="62"/>
      <c r="AS1156" s="62"/>
      <c r="AT1156" s="62"/>
      <c r="AU1156" s="62"/>
      <c r="AV1156" s="62"/>
      <c r="AW1156" s="62"/>
      <c r="AX1156" s="62"/>
      <c r="AY1156" s="62"/>
      <c r="AZ1156" s="62"/>
    </row>
    <row r="1157" spans="1:52" x14ac:dyDescent="0.25">
      <c r="A1157" s="62"/>
      <c r="B1157" s="86"/>
      <c r="C1157" s="86"/>
      <c r="D1157" s="86"/>
      <c r="E1157" s="86"/>
      <c r="F1157" s="86"/>
      <c r="G1157" s="86"/>
      <c r="H1157" s="62"/>
      <c r="I1157" s="62"/>
      <c r="J1157" s="62"/>
      <c r="K1157" s="62"/>
      <c r="L1157" s="62"/>
      <c r="M1157" s="62"/>
      <c r="N1157" s="86"/>
      <c r="O1157" s="86"/>
      <c r="P1157" s="86"/>
      <c r="Q1157" s="86"/>
      <c r="R1157" s="86"/>
      <c r="S1157" s="86"/>
      <c r="T1157" s="62"/>
      <c r="U1157" s="62"/>
      <c r="V1157" s="62"/>
      <c r="W1157" s="62"/>
      <c r="X1157" s="62"/>
      <c r="Y1157" s="62"/>
      <c r="Z1157" s="86"/>
      <c r="AA1157" s="86"/>
      <c r="AB1157" s="86"/>
      <c r="AC1157" s="86"/>
      <c r="AD1157" s="86"/>
      <c r="AE1157" s="86"/>
      <c r="AF1157" s="62"/>
      <c r="AG1157" s="62"/>
      <c r="AH1157" s="62"/>
      <c r="AI1157" s="62"/>
      <c r="AJ1157" s="62"/>
      <c r="AK1157" s="62"/>
      <c r="AL1157" s="62"/>
      <c r="AM1157" s="62"/>
      <c r="AN1157" s="62"/>
      <c r="AO1157" s="62"/>
      <c r="AP1157" s="62"/>
      <c r="AQ1157" s="62"/>
      <c r="AR1157" s="62"/>
      <c r="AS1157" s="62"/>
      <c r="AT1157" s="62"/>
      <c r="AU1157" s="62"/>
      <c r="AV1157" s="62"/>
      <c r="AW1157" s="62"/>
      <c r="AX1157" s="62"/>
      <c r="AY1157" s="62"/>
      <c r="AZ1157" s="62"/>
    </row>
    <row r="1158" spans="1:52" x14ac:dyDescent="0.25">
      <c r="A1158" s="62"/>
      <c r="B1158" s="66"/>
      <c r="C1158" s="86"/>
      <c r="D1158" s="116"/>
      <c r="E1158" s="116"/>
      <c r="F1158" s="86"/>
      <c r="G1158" s="86"/>
      <c r="H1158" s="62"/>
      <c r="I1158" s="116"/>
      <c r="J1158" s="116"/>
      <c r="K1158" s="115"/>
      <c r="L1158" s="62"/>
      <c r="M1158" s="62"/>
      <c r="N1158" s="66"/>
      <c r="O1158" s="86"/>
      <c r="P1158" s="116"/>
      <c r="Q1158" s="116"/>
      <c r="R1158" s="86"/>
      <c r="S1158" s="86"/>
      <c r="T1158" s="62"/>
      <c r="U1158" s="116"/>
      <c r="V1158" s="116"/>
      <c r="W1158" s="115"/>
      <c r="X1158" s="62"/>
      <c r="Y1158" s="62"/>
      <c r="Z1158" s="66"/>
      <c r="AA1158" s="86"/>
      <c r="AB1158" s="116"/>
      <c r="AC1158" s="116"/>
      <c r="AD1158" s="86"/>
      <c r="AE1158" s="86"/>
      <c r="AF1158" s="62"/>
      <c r="AG1158" s="116"/>
      <c r="AH1158" s="116"/>
      <c r="AI1158" s="115"/>
      <c r="AJ1158" s="62"/>
      <c r="AK1158" s="62"/>
      <c r="AL1158" s="62"/>
      <c r="AM1158" s="62"/>
      <c r="AN1158" s="62"/>
      <c r="AO1158" s="62"/>
      <c r="AP1158" s="62"/>
      <c r="AQ1158" s="62"/>
      <c r="AR1158" s="62"/>
      <c r="AS1158" s="62"/>
      <c r="AT1158" s="62"/>
      <c r="AU1158" s="62"/>
      <c r="AV1158" s="62"/>
      <c r="AW1158" s="62"/>
      <c r="AX1158" s="62"/>
      <c r="AY1158" s="62"/>
      <c r="AZ1158" s="62"/>
    </row>
    <row r="1159" spans="1:52" x14ac:dyDescent="0.25">
      <c r="A1159" s="62"/>
      <c r="B1159" s="86"/>
      <c r="C1159" s="86"/>
      <c r="D1159" s="87"/>
      <c r="E1159" s="88"/>
      <c r="F1159" s="89"/>
      <c r="G1159" s="89"/>
      <c r="H1159" s="62"/>
      <c r="I1159" s="85"/>
      <c r="J1159" s="85"/>
      <c r="K1159" s="115"/>
      <c r="L1159" s="62"/>
      <c r="M1159" s="62"/>
      <c r="N1159" s="86"/>
      <c r="O1159" s="86"/>
      <c r="P1159" s="87"/>
      <c r="Q1159" s="89"/>
      <c r="R1159" s="89"/>
      <c r="S1159" s="89"/>
      <c r="T1159" s="62"/>
      <c r="U1159" s="85"/>
      <c r="V1159" s="85"/>
      <c r="W1159" s="115"/>
      <c r="X1159" s="62"/>
      <c r="Y1159" s="62"/>
      <c r="Z1159" s="86"/>
      <c r="AA1159" s="86"/>
      <c r="AB1159" s="87"/>
      <c r="AC1159" s="88"/>
      <c r="AD1159" s="89"/>
      <c r="AE1159" s="89"/>
      <c r="AF1159" s="62"/>
      <c r="AG1159" s="85"/>
      <c r="AH1159" s="85"/>
      <c r="AI1159" s="115"/>
      <c r="AJ1159" s="62"/>
      <c r="AK1159" s="62"/>
      <c r="AL1159" s="62"/>
      <c r="AM1159" s="62"/>
      <c r="AN1159" s="62"/>
      <c r="AO1159" s="62"/>
      <c r="AP1159" s="62"/>
      <c r="AQ1159" s="62"/>
      <c r="AR1159" s="62"/>
      <c r="AS1159" s="62"/>
      <c r="AT1159" s="62"/>
      <c r="AU1159" s="62"/>
      <c r="AV1159" s="62"/>
      <c r="AW1159" s="62"/>
      <c r="AX1159" s="62"/>
      <c r="AY1159" s="62"/>
      <c r="AZ1159" s="62"/>
    </row>
    <row r="1160" spans="1:52" x14ac:dyDescent="0.25">
      <c r="A1160" s="62"/>
      <c r="B1160" s="68"/>
      <c r="C1160" s="86"/>
      <c r="D1160" s="60"/>
      <c r="E1160" s="60"/>
      <c r="F1160" s="60"/>
      <c r="G1160" s="60"/>
      <c r="H1160" s="61"/>
      <c r="I1160" s="61"/>
      <c r="J1160" s="61"/>
      <c r="K1160" s="61"/>
      <c r="L1160" s="62"/>
      <c r="M1160" s="62"/>
      <c r="N1160" s="68"/>
      <c r="O1160" s="86"/>
      <c r="P1160" s="60"/>
      <c r="Q1160" s="60"/>
      <c r="R1160" s="60"/>
      <c r="S1160" s="60"/>
      <c r="T1160" s="61"/>
      <c r="U1160" s="61"/>
      <c r="V1160" s="61"/>
      <c r="W1160" s="61"/>
      <c r="X1160" s="62"/>
      <c r="Y1160" s="62"/>
      <c r="Z1160" s="68"/>
      <c r="AA1160" s="86"/>
      <c r="AB1160" s="60"/>
      <c r="AC1160" s="60"/>
      <c r="AD1160" s="60"/>
      <c r="AE1160" s="60"/>
      <c r="AF1160" s="61"/>
      <c r="AG1160" s="61"/>
      <c r="AH1160" s="61"/>
      <c r="AI1160" s="61"/>
      <c r="AJ1160" s="62"/>
      <c r="AK1160" s="62"/>
      <c r="AL1160" s="62"/>
      <c r="AM1160" s="62"/>
      <c r="AN1160" s="62"/>
      <c r="AO1160" s="62"/>
      <c r="AP1160" s="62"/>
      <c r="AQ1160" s="62"/>
      <c r="AR1160" s="62"/>
      <c r="AS1160" s="62"/>
      <c r="AT1160" s="62"/>
      <c r="AU1160" s="62"/>
      <c r="AV1160" s="62"/>
      <c r="AW1160" s="62"/>
      <c r="AX1160" s="62"/>
      <c r="AY1160" s="62"/>
      <c r="AZ1160" s="62"/>
    </row>
    <row r="1161" spans="1:52" x14ac:dyDescent="0.25">
      <c r="A1161" s="62"/>
      <c r="B1161" s="68"/>
      <c r="C1161" s="86"/>
      <c r="D1161" s="60"/>
      <c r="E1161" s="60"/>
      <c r="F1161" s="60"/>
      <c r="G1161" s="60"/>
      <c r="H1161" s="61"/>
      <c r="I1161" s="61"/>
      <c r="J1161" s="61"/>
      <c r="K1161" s="61"/>
      <c r="L1161" s="62"/>
      <c r="M1161" s="62"/>
      <c r="N1161" s="68"/>
      <c r="O1161" s="86"/>
      <c r="P1161" s="60"/>
      <c r="Q1161" s="60"/>
      <c r="R1161" s="60"/>
      <c r="S1161" s="60"/>
      <c r="T1161" s="61"/>
      <c r="U1161" s="61"/>
      <c r="V1161" s="61"/>
      <c r="W1161" s="61"/>
      <c r="X1161" s="62"/>
      <c r="Y1161" s="62"/>
      <c r="Z1161" s="68"/>
      <c r="AA1161" s="86"/>
      <c r="AB1161" s="60"/>
      <c r="AC1161" s="60"/>
      <c r="AD1161" s="60"/>
      <c r="AE1161" s="60"/>
      <c r="AF1161" s="61"/>
      <c r="AG1161" s="61"/>
      <c r="AH1161" s="61"/>
      <c r="AI1161" s="61"/>
      <c r="AJ1161" s="62"/>
      <c r="AK1161" s="62"/>
      <c r="AL1161" s="62"/>
      <c r="AM1161" s="62"/>
      <c r="AN1161" s="62"/>
      <c r="AO1161" s="62"/>
      <c r="AP1161" s="62"/>
      <c r="AQ1161" s="62"/>
      <c r="AR1161" s="62"/>
      <c r="AS1161" s="62"/>
      <c r="AT1161" s="62"/>
      <c r="AU1161" s="62"/>
      <c r="AV1161" s="62"/>
      <c r="AW1161" s="62"/>
      <c r="AX1161" s="62"/>
      <c r="AY1161" s="62"/>
      <c r="AZ1161" s="62"/>
    </row>
    <row r="1162" spans="1:52" x14ac:dyDescent="0.25">
      <c r="A1162" s="62"/>
      <c r="B1162" s="68"/>
      <c r="C1162" s="86"/>
      <c r="D1162" s="60"/>
      <c r="E1162" s="60"/>
      <c r="F1162" s="60"/>
      <c r="G1162" s="60"/>
      <c r="H1162" s="61"/>
      <c r="I1162" s="61"/>
      <c r="J1162" s="61"/>
      <c r="K1162" s="61"/>
      <c r="L1162" s="62"/>
      <c r="M1162" s="62"/>
      <c r="N1162" s="68"/>
      <c r="O1162" s="86"/>
      <c r="P1162" s="60"/>
      <c r="Q1162" s="60"/>
      <c r="R1162" s="60"/>
      <c r="S1162" s="60"/>
      <c r="T1162" s="61"/>
      <c r="U1162" s="61"/>
      <c r="V1162" s="61"/>
      <c r="W1162" s="61"/>
      <c r="X1162" s="62"/>
      <c r="Y1162" s="62"/>
      <c r="Z1162" s="68"/>
      <c r="AA1162" s="86"/>
      <c r="AB1162" s="60"/>
      <c r="AC1162" s="60"/>
      <c r="AD1162" s="60"/>
      <c r="AE1162" s="60"/>
      <c r="AF1162" s="61"/>
      <c r="AG1162" s="61"/>
      <c r="AH1162" s="61"/>
      <c r="AI1162" s="61"/>
      <c r="AJ1162" s="62"/>
      <c r="AK1162" s="62"/>
      <c r="AL1162" s="62"/>
      <c r="AM1162" s="62"/>
      <c r="AN1162" s="62"/>
      <c r="AO1162" s="62"/>
      <c r="AP1162" s="62"/>
      <c r="AQ1162" s="62"/>
      <c r="AR1162" s="62"/>
      <c r="AS1162" s="62"/>
      <c r="AT1162" s="62"/>
      <c r="AU1162" s="62"/>
      <c r="AV1162" s="62"/>
      <c r="AW1162" s="62"/>
      <c r="AX1162" s="62"/>
      <c r="AY1162" s="62"/>
      <c r="AZ1162" s="62"/>
    </row>
    <row r="1163" spans="1:52" x14ac:dyDescent="0.25">
      <c r="A1163" s="62"/>
      <c r="B1163" s="68"/>
      <c r="C1163" s="86"/>
      <c r="D1163" s="60"/>
      <c r="E1163" s="60"/>
      <c r="F1163" s="60"/>
      <c r="G1163" s="60"/>
      <c r="H1163" s="61"/>
      <c r="I1163" s="61"/>
      <c r="J1163" s="61"/>
      <c r="K1163" s="61"/>
      <c r="L1163" s="62"/>
      <c r="M1163" s="62"/>
      <c r="N1163" s="68"/>
      <c r="O1163" s="86"/>
      <c r="P1163" s="60"/>
      <c r="Q1163" s="60"/>
      <c r="R1163" s="60"/>
      <c r="S1163" s="60"/>
      <c r="T1163" s="61"/>
      <c r="U1163" s="61"/>
      <c r="V1163" s="61"/>
      <c r="W1163" s="61"/>
      <c r="X1163" s="62"/>
      <c r="Y1163" s="62"/>
      <c r="Z1163" s="68"/>
      <c r="AA1163" s="86"/>
      <c r="AB1163" s="60"/>
      <c r="AC1163" s="60"/>
      <c r="AD1163" s="60"/>
      <c r="AE1163" s="60"/>
      <c r="AF1163" s="61"/>
      <c r="AG1163" s="61"/>
      <c r="AH1163" s="61"/>
      <c r="AI1163" s="61"/>
      <c r="AJ1163" s="62"/>
      <c r="AK1163" s="62"/>
      <c r="AL1163" s="62"/>
      <c r="AM1163" s="62"/>
      <c r="AN1163" s="62"/>
      <c r="AO1163" s="62"/>
      <c r="AP1163" s="62"/>
      <c r="AQ1163" s="62"/>
      <c r="AR1163" s="62"/>
      <c r="AS1163" s="62"/>
      <c r="AT1163" s="62"/>
      <c r="AU1163" s="62"/>
      <c r="AV1163" s="62"/>
      <c r="AW1163" s="62"/>
      <c r="AX1163" s="62"/>
      <c r="AY1163" s="62"/>
      <c r="AZ1163" s="62"/>
    </row>
    <row r="1164" spans="1:52" x14ac:dyDescent="0.25">
      <c r="A1164" s="62"/>
      <c r="B1164" s="68"/>
      <c r="C1164" s="86"/>
      <c r="D1164" s="60"/>
      <c r="E1164" s="60"/>
      <c r="F1164" s="60"/>
      <c r="G1164" s="60"/>
      <c r="H1164" s="61"/>
      <c r="I1164" s="61"/>
      <c r="J1164" s="61"/>
      <c r="K1164" s="61"/>
      <c r="L1164" s="62"/>
      <c r="M1164" s="62"/>
      <c r="N1164" s="68"/>
      <c r="O1164" s="86"/>
      <c r="P1164" s="60"/>
      <c r="Q1164" s="60"/>
      <c r="R1164" s="60"/>
      <c r="S1164" s="60"/>
      <c r="T1164" s="61"/>
      <c r="U1164" s="61"/>
      <c r="V1164" s="61"/>
      <c r="W1164" s="61"/>
      <c r="X1164" s="62"/>
      <c r="Y1164" s="62"/>
      <c r="Z1164" s="68"/>
      <c r="AA1164" s="86"/>
      <c r="AB1164" s="60"/>
      <c r="AC1164" s="60"/>
      <c r="AD1164" s="60"/>
      <c r="AE1164" s="60"/>
      <c r="AF1164" s="61"/>
      <c r="AG1164" s="61"/>
      <c r="AH1164" s="61"/>
      <c r="AI1164" s="61"/>
      <c r="AJ1164" s="62"/>
      <c r="AK1164" s="62"/>
      <c r="AL1164" s="62"/>
      <c r="AM1164" s="62"/>
      <c r="AN1164" s="62"/>
      <c r="AO1164" s="62"/>
      <c r="AP1164" s="62"/>
      <c r="AQ1164" s="62"/>
      <c r="AR1164" s="62"/>
      <c r="AS1164" s="62"/>
      <c r="AT1164" s="62"/>
      <c r="AU1164" s="62"/>
      <c r="AV1164" s="62"/>
      <c r="AW1164" s="62"/>
      <c r="AX1164" s="62"/>
      <c r="AY1164" s="62"/>
      <c r="AZ1164" s="62"/>
    </row>
    <row r="1165" spans="1:52" x14ac:dyDescent="0.25">
      <c r="A1165" s="62"/>
      <c r="B1165" s="68"/>
      <c r="C1165" s="86"/>
      <c r="D1165" s="60"/>
      <c r="E1165" s="60"/>
      <c r="F1165" s="60"/>
      <c r="G1165" s="60"/>
      <c r="H1165" s="61"/>
      <c r="I1165" s="61"/>
      <c r="J1165" s="61"/>
      <c r="K1165" s="61"/>
      <c r="L1165" s="62"/>
      <c r="M1165" s="62"/>
      <c r="N1165" s="68"/>
      <c r="O1165" s="86"/>
      <c r="P1165" s="60"/>
      <c r="Q1165" s="60"/>
      <c r="R1165" s="60"/>
      <c r="S1165" s="60"/>
      <c r="T1165" s="61"/>
      <c r="U1165" s="61"/>
      <c r="V1165" s="62"/>
      <c r="W1165" s="61"/>
      <c r="X1165" s="62"/>
      <c r="Y1165" s="62"/>
      <c r="Z1165" s="68"/>
      <c r="AA1165" s="86"/>
      <c r="AB1165" s="60"/>
      <c r="AC1165" s="60"/>
      <c r="AD1165" s="60"/>
      <c r="AE1165" s="60"/>
      <c r="AF1165" s="61"/>
      <c r="AG1165" s="61"/>
      <c r="AH1165" s="61"/>
      <c r="AI1165" s="61"/>
      <c r="AJ1165" s="62"/>
      <c r="AK1165" s="62"/>
      <c r="AL1165" s="62"/>
      <c r="AM1165" s="62"/>
      <c r="AN1165" s="62"/>
      <c r="AO1165" s="62"/>
      <c r="AP1165" s="62"/>
      <c r="AQ1165" s="62"/>
      <c r="AR1165" s="62"/>
      <c r="AS1165" s="62"/>
      <c r="AT1165" s="62"/>
      <c r="AU1165" s="62"/>
      <c r="AV1165" s="62"/>
      <c r="AW1165" s="62"/>
      <c r="AX1165" s="62"/>
      <c r="AY1165" s="62"/>
      <c r="AZ1165" s="62"/>
    </row>
    <row r="1166" spans="1:52" x14ac:dyDescent="0.25">
      <c r="A1166" s="62"/>
      <c r="B1166" s="68"/>
      <c r="C1166" s="86"/>
      <c r="D1166" s="60"/>
      <c r="E1166" s="60"/>
      <c r="F1166" s="60"/>
      <c r="G1166" s="60"/>
      <c r="H1166" s="61"/>
      <c r="I1166" s="61"/>
      <c r="J1166" s="61"/>
      <c r="K1166" s="61"/>
      <c r="L1166" s="62"/>
      <c r="M1166" s="62"/>
      <c r="N1166" s="68"/>
      <c r="O1166" s="86"/>
      <c r="P1166" s="60"/>
      <c r="Q1166" s="60"/>
      <c r="R1166" s="60"/>
      <c r="S1166" s="60"/>
      <c r="T1166" s="61"/>
      <c r="U1166" s="61"/>
      <c r="V1166" s="61"/>
      <c r="W1166" s="61"/>
      <c r="X1166" s="62"/>
      <c r="Y1166" s="62"/>
      <c r="Z1166" s="68"/>
      <c r="AA1166" s="66"/>
      <c r="AB1166" s="60"/>
      <c r="AC1166" s="60"/>
      <c r="AD1166" s="60"/>
      <c r="AE1166" s="60"/>
      <c r="AF1166" s="61"/>
      <c r="AG1166" s="61"/>
      <c r="AH1166" s="61"/>
      <c r="AI1166" s="61"/>
      <c r="AJ1166" s="62"/>
      <c r="AK1166" s="62"/>
      <c r="AL1166" s="62"/>
      <c r="AM1166" s="62"/>
      <c r="AN1166" s="62"/>
      <c r="AO1166" s="62"/>
      <c r="AP1166" s="62"/>
      <c r="AQ1166" s="62"/>
      <c r="AR1166" s="62"/>
      <c r="AS1166" s="62"/>
      <c r="AT1166" s="62"/>
      <c r="AU1166" s="62"/>
      <c r="AV1166" s="62"/>
      <c r="AW1166" s="62"/>
      <c r="AX1166" s="62"/>
      <c r="AY1166" s="62"/>
      <c r="AZ1166" s="62"/>
    </row>
    <row r="1167" spans="1:52" x14ac:dyDescent="0.25">
      <c r="A1167" s="62"/>
      <c r="B1167" s="68"/>
      <c r="C1167" s="86"/>
      <c r="D1167" s="60"/>
      <c r="E1167" s="60"/>
      <c r="F1167" s="60"/>
      <c r="G1167" s="60"/>
      <c r="H1167" s="61"/>
      <c r="I1167" s="61"/>
      <c r="J1167" s="61"/>
      <c r="K1167" s="61"/>
      <c r="L1167" s="62"/>
      <c r="M1167" s="62"/>
      <c r="N1167" s="68"/>
      <c r="O1167" s="86"/>
      <c r="P1167" s="60"/>
      <c r="Q1167" s="60"/>
      <c r="R1167" s="60"/>
      <c r="S1167" s="60"/>
      <c r="T1167" s="61"/>
      <c r="U1167" s="61"/>
      <c r="V1167" s="61"/>
      <c r="W1167" s="61"/>
      <c r="X1167" s="62"/>
      <c r="Y1167" s="62"/>
      <c r="Z1167" s="68"/>
      <c r="AA1167" s="86"/>
      <c r="AB1167" s="60"/>
      <c r="AC1167" s="60"/>
      <c r="AD1167" s="60"/>
      <c r="AE1167" s="60"/>
      <c r="AF1167" s="61"/>
      <c r="AG1167" s="61"/>
      <c r="AH1167" s="61"/>
      <c r="AI1167" s="61"/>
      <c r="AJ1167" s="62"/>
      <c r="AK1167" s="62"/>
      <c r="AL1167" s="62"/>
      <c r="AM1167" s="62"/>
      <c r="AN1167" s="62"/>
      <c r="AO1167" s="62"/>
      <c r="AP1167" s="62"/>
      <c r="AQ1167" s="62"/>
      <c r="AR1167" s="62"/>
      <c r="AS1167" s="62"/>
      <c r="AT1167" s="62"/>
      <c r="AU1167" s="62"/>
      <c r="AV1167" s="62"/>
      <c r="AW1167" s="62"/>
      <c r="AX1167" s="62"/>
      <c r="AY1167" s="62"/>
      <c r="AZ1167" s="62"/>
    </row>
    <row r="1168" spans="1:52" x14ac:dyDescent="0.25">
      <c r="A1168" s="62"/>
      <c r="B1168" s="68"/>
      <c r="C1168" s="86"/>
      <c r="D1168" s="60"/>
      <c r="E1168" s="60"/>
      <c r="F1168" s="60"/>
      <c r="G1168" s="60"/>
      <c r="H1168" s="61"/>
      <c r="I1168" s="61"/>
      <c r="J1168" s="61"/>
      <c r="K1168" s="61"/>
      <c r="L1168" s="62"/>
      <c r="M1168" s="62"/>
      <c r="N1168" s="68"/>
      <c r="O1168" s="86"/>
      <c r="P1168" s="60"/>
      <c r="Q1168" s="60"/>
      <c r="R1168" s="60"/>
      <c r="S1168" s="60"/>
      <c r="T1168" s="61"/>
      <c r="U1168" s="61"/>
      <c r="V1168" s="61"/>
      <c r="W1168" s="61"/>
      <c r="X1168" s="62"/>
      <c r="Y1168" s="62"/>
      <c r="Z1168" s="68"/>
      <c r="AA1168" s="86"/>
      <c r="AB1168" s="60"/>
      <c r="AC1168" s="60"/>
      <c r="AD1168" s="60"/>
      <c r="AE1168" s="60"/>
      <c r="AF1168" s="61"/>
      <c r="AG1168" s="61"/>
      <c r="AH1168" s="61"/>
      <c r="AI1168" s="61"/>
      <c r="AJ1168" s="62"/>
      <c r="AK1168" s="62"/>
      <c r="AL1168" s="62"/>
      <c r="AM1168" s="62"/>
      <c r="AN1168" s="62"/>
      <c r="AO1168" s="62"/>
      <c r="AP1168" s="62"/>
      <c r="AQ1168" s="62"/>
      <c r="AR1168" s="62"/>
      <c r="AS1168" s="62"/>
      <c r="AT1168" s="62"/>
      <c r="AU1168" s="62"/>
      <c r="AV1168" s="62"/>
      <c r="AW1168" s="62"/>
      <c r="AX1168" s="62"/>
      <c r="AY1168" s="62"/>
      <c r="AZ1168" s="62"/>
    </row>
    <row r="1169" spans="1:52" x14ac:dyDescent="0.25">
      <c r="A1169" s="62"/>
      <c r="B1169" s="68"/>
      <c r="C1169" s="86"/>
      <c r="D1169" s="60"/>
      <c r="E1169" s="60"/>
      <c r="F1169" s="60"/>
      <c r="G1169" s="60"/>
      <c r="H1169" s="61"/>
      <c r="I1169" s="61"/>
      <c r="J1169" s="61"/>
      <c r="K1169" s="61"/>
      <c r="L1169" s="62"/>
      <c r="M1169" s="62"/>
      <c r="N1169" s="68"/>
      <c r="O1169" s="86"/>
      <c r="P1169" s="60"/>
      <c r="Q1169" s="60"/>
      <c r="R1169" s="60"/>
      <c r="S1169" s="60"/>
      <c r="T1169" s="61"/>
      <c r="U1169" s="61"/>
      <c r="V1169" s="61"/>
      <c r="W1169" s="61"/>
      <c r="X1169" s="62"/>
      <c r="Y1169" s="62"/>
      <c r="Z1169" s="68"/>
      <c r="AA1169" s="86"/>
      <c r="AB1169" s="60"/>
      <c r="AC1169" s="60"/>
      <c r="AD1169" s="60"/>
      <c r="AE1169" s="60"/>
      <c r="AF1169" s="61"/>
      <c r="AG1169" s="61"/>
      <c r="AH1169" s="61"/>
      <c r="AI1169" s="61"/>
      <c r="AJ1169" s="62"/>
      <c r="AK1169" s="62"/>
      <c r="AL1169" s="62"/>
      <c r="AM1169" s="62"/>
      <c r="AN1169" s="62"/>
      <c r="AO1169" s="62"/>
      <c r="AP1169" s="62"/>
      <c r="AQ1169" s="62"/>
      <c r="AR1169" s="62"/>
      <c r="AS1169" s="62"/>
      <c r="AT1169" s="62"/>
      <c r="AU1169" s="62"/>
      <c r="AV1169" s="62"/>
      <c r="AW1169" s="62"/>
      <c r="AX1169" s="62"/>
      <c r="AY1169" s="62"/>
      <c r="AZ1169" s="62"/>
    </row>
    <row r="1170" spans="1:52" x14ac:dyDescent="0.25">
      <c r="A1170" s="62"/>
      <c r="B1170" s="68"/>
      <c r="C1170" s="86"/>
      <c r="D1170" s="60"/>
      <c r="E1170" s="60"/>
      <c r="F1170" s="60"/>
      <c r="G1170" s="60"/>
      <c r="H1170" s="61"/>
      <c r="I1170" s="61"/>
      <c r="J1170" s="61"/>
      <c r="K1170" s="61"/>
      <c r="L1170" s="62"/>
      <c r="M1170" s="62"/>
      <c r="N1170" s="68"/>
      <c r="O1170" s="86"/>
      <c r="P1170" s="60"/>
      <c r="Q1170" s="60"/>
      <c r="R1170" s="60"/>
      <c r="S1170" s="60"/>
      <c r="T1170" s="61"/>
      <c r="U1170" s="61"/>
      <c r="V1170" s="61"/>
      <c r="W1170" s="61"/>
      <c r="X1170" s="62"/>
      <c r="Y1170" s="62"/>
      <c r="Z1170" s="68"/>
      <c r="AA1170" s="86"/>
      <c r="AB1170" s="60"/>
      <c r="AC1170" s="60"/>
      <c r="AD1170" s="60"/>
      <c r="AE1170" s="60"/>
      <c r="AF1170" s="61"/>
      <c r="AG1170" s="61"/>
      <c r="AH1170" s="61"/>
      <c r="AI1170" s="61"/>
      <c r="AJ1170" s="62"/>
      <c r="AK1170" s="62"/>
      <c r="AL1170" s="62"/>
      <c r="AM1170" s="62"/>
      <c r="AN1170" s="62"/>
      <c r="AO1170" s="62"/>
      <c r="AP1170" s="62"/>
      <c r="AQ1170" s="62"/>
      <c r="AR1170" s="62"/>
      <c r="AS1170" s="62"/>
      <c r="AT1170" s="62"/>
      <c r="AU1170" s="62"/>
      <c r="AV1170" s="62"/>
      <c r="AW1170" s="62"/>
      <c r="AX1170" s="62"/>
      <c r="AY1170" s="62"/>
      <c r="AZ1170" s="62"/>
    </row>
    <row r="1171" spans="1:52" x14ac:dyDescent="0.25">
      <c r="A1171" s="62"/>
      <c r="B1171" s="68"/>
      <c r="C1171" s="86"/>
      <c r="D1171" s="60"/>
      <c r="E1171" s="60"/>
      <c r="F1171" s="60"/>
      <c r="G1171" s="60"/>
      <c r="H1171" s="61"/>
      <c r="I1171" s="61"/>
      <c r="J1171" s="62"/>
      <c r="K1171" s="61"/>
      <c r="L1171" s="62"/>
      <c r="M1171" s="62"/>
      <c r="N1171" s="68"/>
      <c r="O1171" s="86"/>
      <c r="P1171" s="60"/>
      <c r="Q1171" s="60"/>
      <c r="R1171" s="60"/>
      <c r="S1171" s="60"/>
      <c r="T1171" s="61"/>
      <c r="U1171" s="61"/>
      <c r="V1171" s="61"/>
      <c r="W1171" s="61"/>
      <c r="X1171" s="62"/>
      <c r="Y1171" s="62"/>
      <c r="Z1171" s="68"/>
      <c r="AA1171" s="86"/>
      <c r="AB1171" s="60"/>
      <c r="AC1171" s="60"/>
      <c r="AD1171" s="60"/>
      <c r="AE1171" s="60"/>
      <c r="AF1171" s="61"/>
      <c r="AG1171" s="61"/>
      <c r="AH1171" s="62"/>
      <c r="AI1171" s="61"/>
      <c r="AJ1171" s="62"/>
      <c r="AK1171" s="62"/>
      <c r="AL1171" s="62"/>
      <c r="AM1171" s="62"/>
      <c r="AN1171" s="62"/>
      <c r="AO1171" s="62"/>
      <c r="AP1171" s="62"/>
      <c r="AQ1171" s="62"/>
      <c r="AR1171" s="62"/>
      <c r="AS1171" s="62"/>
      <c r="AT1171" s="62"/>
      <c r="AU1171" s="62"/>
      <c r="AV1171" s="62"/>
      <c r="AW1171" s="62"/>
      <c r="AX1171" s="62"/>
      <c r="AY1171" s="62"/>
      <c r="AZ1171" s="62"/>
    </row>
    <row r="1172" spans="1:52" x14ac:dyDescent="0.25">
      <c r="A1172" s="62"/>
      <c r="B1172" s="68"/>
      <c r="C1172" s="86"/>
      <c r="D1172" s="60"/>
      <c r="E1172" s="60"/>
      <c r="F1172" s="60"/>
      <c r="G1172" s="60"/>
      <c r="H1172" s="61"/>
      <c r="I1172" s="61"/>
      <c r="J1172" s="61"/>
      <c r="K1172" s="61"/>
      <c r="L1172" s="62"/>
      <c r="M1172" s="62"/>
      <c r="N1172" s="68"/>
      <c r="O1172" s="86"/>
      <c r="P1172" s="60"/>
      <c r="Q1172" s="60"/>
      <c r="R1172" s="60"/>
      <c r="S1172" s="60"/>
      <c r="T1172" s="61"/>
      <c r="U1172" s="61"/>
      <c r="V1172" s="61"/>
      <c r="W1172" s="61"/>
      <c r="X1172" s="62"/>
      <c r="Y1172" s="62"/>
      <c r="Z1172" s="68"/>
      <c r="AA1172" s="86"/>
      <c r="AB1172" s="60"/>
      <c r="AC1172" s="60"/>
      <c r="AD1172" s="60"/>
      <c r="AE1172" s="60"/>
      <c r="AF1172" s="61"/>
      <c r="AG1172" s="61"/>
      <c r="AH1172" s="61"/>
      <c r="AI1172" s="61"/>
      <c r="AJ1172" s="62"/>
      <c r="AK1172" s="62"/>
      <c r="AL1172" s="62"/>
      <c r="AM1172" s="62"/>
      <c r="AN1172" s="62"/>
      <c r="AO1172" s="62"/>
      <c r="AP1172" s="62"/>
      <c r="AQ1172" s="62"/>
      <c r="AR1172" s="62"/>
      <c r="AS1172" s="62"/>
      <c r="AT1172" s="62"/>
      <c r="AU1172" s="62"/>
      <c r="AV1172" s="62"/>
      <c r="AW1172" s="62"/>
      <c r="AX1172" s="62"/>
      <c r="AY1172" s="62"/>
      <c r="AZ1172" s="62"/>
    </row>
    <row r="1173" spans="1:52" x14ac:dyDescent="0.25">
      <c r="A1173" s="62"/>
      <c r="B1173" s="68"/>
      <c r="C1173" s="86"/>
      <c r="D1173" s="60"/>
      <c r="E1173" s="60"/>
      <c r="F1173" s="60"/>
      <c r="G1173" s="60"/>
      <c r="H1173" s="61"/>
      <c r="I1173" s="61"/>
      <c r="J1173" s="61"/>
      <c r="K1173" s="61"/>
      <c r="L1173" s="62"/>
      <c r="M1173" s="62"/>
      <c r="N1173" s="68"/>
      <c r="O1173" s="86"/>
      <c r="P1173" s="60"/>
      <c r="Q1173" s="60"/>
      <c r="R1173" s="60"/>
      <c r="S1173" s="60"/>
      <c r="T1173" s="61"/>
      <c r="U1173" s="61"/>
      <c r="V1173" s="61"/>
      <c r="W1173" s="61"/>
      <c r="X1173" s="62"/>
      <c r="Y1173" s="62"/>
      <c r="Z1173" s="68"/>
      <c r="AA1173" s="86"/>
      <c r="AB1173" s="60"/>
      <c r="AC1173" s="60"/>
      <c r="AD1173" s="60"/>
      <c r="AE1173" s="60"/>
      <c r="AF1173" s="61"/>
      <c r="AG1173" s="61"/>
      <c r="AH1173" s="61"/>
      <c r="AI1173" s="61"/>
      <c r="AJ1173" s="62"/>
      <c r="AK1173" s="62"/>
      <c r="AL1173" s="62"/>
      <c r="AM1173" s="62"/>
      <c r="AN1173" s="62"/>
      <c r="AO1173" s="62"/>
      <c r="AP1173" s="62"/>
      <c r="AQ1173" s="62"/>
      <c r="AR1173" s="62"/>
      <c r="AS1173" s="62"/>
      <c r="AT1173" s="62"/>
      <c r="AU1173" s="62"/>
      <c r="AV1173" s="62"/>
      <c r="AW1173" s="62"/>
      <c r="AX1173" s="62"/>
      <c r="AY1173" s="62"/>
      <c r="AZ1173" s="62"/>
    </row>
    <row r="1174" spans="1:52" x14ac:dyDescent="0.25">
      <c r="A1174" s="62"/>
      <c r="B1174" s="68"/>
      <c r="C1174" s="86"/>
      <c r="D1174" s="60"/>
      <c r="E1174" s="60"/>
      <c r="F1174" s="60"/>
      <c r="G1174" s="60"/>
      <c r="H1174" s="61"/>
      <c r="I1174" s="61"/>
      <c r="J1174" s="61"/>
      <c r="K1174" s="61"/>
      <c r="L1174" s="62"/>
      <c r="M1174" s="62"/>
      <c r="N1174" s="68"/>
      <c r="O1174" s="86"/>
      <c r="P1174" s="60"/>
      <c r="Q1174" s="60"/>
      <c r="R1174" s="60"/>
      <c r="S1174" s="60"/>
      <c r="T1174" s="61"/>
      <c r="U1174" s="61"/>
      <c r="V1174" s="61"/>
      <c r="W1174" s="61"/>
      <c r="X1174" s="62"/>
      <c r="Y1174" s="62"/>
      <c r="Z1174" s="68"/>
      <c r="AA1174" s="86"/>
      <c r="AB1174" s="60"/>
      <c r="AC1174" s="60"/>
      <c r="AD1174" s="60"/>
      <c r="AE1174" s="60"/>
      <c r="AF1174" s="61"/>
      <c r="AG1174" s="61"/>
      <c r="AH1174" s="61"/>
      <c r="AI1174" s="61"/>
      <c r="AJ1174" s="62"/>
      <c r="AK1174" s="62"/>
      <c r="AL1174" s="62"/>
      <c r="AM1174" s="62"/>
      <c r="AN1174" s="62"/>
      <c r="AO1174" s="62"/>
      <c r="AP1174" s="62"/>
      <c r="AQ1174" s="62"/>
      <c r="AR1174" s="62"/>
      <c r="AS1174" s="62"/>
      <c r="AT1174" s="62"/>
      <c r="AU1174" s="62"/>
      <c r="AV1174" s="62"/>
      <c r="AW1174" s="62"/>
      <c r="AX1174" s="62"/>
      <c r="AY1174" s="62"/>
      <c r="AZ1174" s="62"/>
    </row>
    <row r="1175" spans="1:52" x14ac:dyDescent="0.25">
      <c r="A1175" s="62"/>
      <c r="B1175" s="68"/>
      <c r="C1175" s="86"/>
      <c r="D1175" s="60"/>
      <c r="E1175" s="60"/>
      <c r="F1175" s="60"/>
      <c r="G1175" s="60"/>
      <c r="H1175" s="61"/>
      <c r="I1175" s="61"/>
      <c r="J1175" s="61"/>
      <c r="K1175" s="61"/>
      <c r="L1175" s="62"/>
      <c r="M1175" s="62"/>
      <c r="N1175" s="68"/>
      <c r="O1175" s="86"/>
      <c r="P1175" s="60"/>
      <c r="Q1175" s="60"/>
      <c r="R1175" s="60"/>
      <c r="S1175" s="60"/>
      <c r="T1175" s="61"/>
      <c r="U1175" s="61"/>
      <c r="V1175" s="61"/>
      <c r="W1175" s="61"/>
      <c r="X1175" s="62"/>
      <c r="Y1175" s="62"/>
      <c r="Z1175" s="68"/>
      <c r="AA1175" s="86"/>
      <c r="AB1175" s="60"/>
      <c r="AC1175" s="60"/>
      <c r="AD1175" s="60"/>
      <c r="AE1175" s="60"/>
      <c r="AF1175" s="61"/>
      <c r="AG1175" s="61"/>
      <c r="AH1175" s="61"/>
      <c r="AI1175" s="61"/>
      <c r="AJ1175" s="62"/>
      <c r="AK1175" s="62"/>
      <c r="AL1175" s="62"/>
      <c r="AM1175" s="62"/>
      <c r="AN1175" s="62"/>
      <c r="AO1175" s="62"/>
      <c r="AP1175" s="62"/>
      <c r="AQ1175" s="62"/>
      <c r="AR1175" s="62"/>
      <c r="AS1175" s="62"/>
      <c r="AT1175" s="62"/>
      <c r="AU1175" s="62"/>
      <c r="AV1175" s="62"/>
      <c r="AW1175" s="62"/>
      <c r="AX1175" s="62"/>
      <c r="AY1175" s="62"/>
      <c r="AZ1175" s="62"/>
    </row>
    <row r="1176" spans="1:52" x14ac:dyDescent="0.25">
      <c r="A1176" s="62"/>
      <c r="B1176" s="68"/>
      <c r="C1176" s="86"/>
      <c r="D1176" s="60"/>
      <c r="E1176" s="60"/>
      <c r="F1176" s="60"/>
      <c r="G1176" s="60"/>
      <c r="H1176" s="61"/>
      <c r="I1176" s="61"/>
      <c r="J1176" s="61"/>
      <c r="K1176" s="61"/>
      <c r="L1176" s="62"/>
      <c r="M1176" s="62"/>
      <c r="N1176" s="68"/>
      <c r="O1176" s="86"/>
      <c r="P1176" s="60"/>
      <c r="Q1176" s="60"/>
      <c r="R1176" s="60"/>
      <c r="S1176" s="60"/>
      <c r="T1176" s="61"/>
      <c r="U1176" s="61"/>
      <c r="V1176" s="61"/>
      <c r="W1176" s="61"/>
      <c r="X1176" s="62"/>
      <c r="Y1176" s="62"/>
      <c r="Z1176" s="68"/>
      <c r="AA1176" s="86"/>
      <c r="AB1176" s="60"/>
      <c r="AC1176" s="60"/>
      <c r="AD1176" s="60"/>
      <c r="AE1176" s="60"/>
      <c r="AF1176" s="61"/>
      <c r="AG1176" s="61"/>
      <c r="AH1176" s="61"/>
      <c r="AI1176" s="61"/>
      <c r="AJ1176" s="62"/>
      <c r="AK1176" s="62"/>
      <c r="AL1176" s="62"/>
      <c r="AM1176" s="62"/>
      <c r="AN1176" s="62"/>
      <c r="AO1176" s="62"/>
      <c r="AP1176" s="62"/>
      <c r="AQ1176" s="62"/>
      <c r="AR1176" s="62"/>
      <c r="AS1176" s="62"/>
      <c r="AT1176" s="62"/>
      <c r="AU1176" s="62"/>
      <c r="AV1176" s="62"/>
      <c r="AW1176" s="62"/>
      <c r="AX1176" s="62"/>
      <c r="AY1176" s="62"/>
      <c r="AZ1176" s="62"/>
    </row>
    <row r="1177" spans="1:52" x14ac:dyDescent="0.25">
      <c r="A1177" s="62"/>
      <c r="B1177" s="68"/>
      <c r="C1177" s="86"/>
      <c r="D1177" s="60"/>
      <c r="E1177" s="60"/>
      <c r="F1177" s="60"/>
      <c r="G1177" s="60"/>
      <c r="H1177" s="61"/>
      <c r="I1177" s="61"/>
      <c r="J1177" s="61"/>
      <c r="K1177" s="61"/>
      <c r="L1177" s="62"/>
      <c r="M1177" s="62"/>
      <c r="N1177" s="68"/>
      <c r="O1177" s="86"/>
      <c r="P1177" s="60"/>
      <c r="Q1177" s="60"/>
      <c r="R1177" s="60"/>
      <c r="S1177" s="60"/>
      <c r="T1177" s="61"/>
      <c r="U1177" s="61"/>
      <c r="V1177" s="61"/>
      <c r="W1177" s="61"/>
      <c r="X1177" s="62"/>
      <c r="Y1177" s="62"/>
      <c r="Z1177" s="68"/>
      <c r="AA1177" s="86"/>
      <c r="AB1177" s="60"/>
      <c r="AC1177" s="60"/>
      <c r="AD1177" s="60"/>
      <c r="AE1177" s="60"/>
      <c r="AF1177" s="61"/>
      <c r="AG1177" s="61"/>
      <c r="AH1177" s="61"/>
      <c r="AI1177" s="61"/>
      <c r="AJ1177" s="62"/>
      <c r="AK1177" s="62"/>
      <c r="AL1177" s="62"/>
      <c r="AM1177" s="62"/>
      <c r="AN1177" s="62"/>
      <c r="AO1177" s="62"/>
      <c r="AP1177" s="62"/>
      <c r="AQ1177" s="62"/>
      <c r="AR1177" s="62"/>
      <c r="AS1177" s="62"/>
      <c r="AT1177" s="62"/>
      <c r="AU1177" s="62"/>
      <c r="AV1177" s="62"/>
      <c r="AW1177" s="62"/>
      <c r="AX1177" s="62"/>
      <c r="AY1177" s="62"/>
      <c r="AZ1177" s="62"/>
    </row>
    <row r="1178" spans="1:52" x14ac:dyDescent="0.25">
      <c r="A1178" s="62"/>
      <c r="B1178" s="68"/>
      <c r="C1178" s="66"/>
      <c r="D1178" s="60"/>
      <c r="E1178" s="60"/>
      <c r="F1178" s="60"/>
      <c r="G1178" s="60"/>
      <c r="H1178" s="61"/>
      <c r="I1178" s="61"/>
      <c r="J1178" s="61"/>
      <c r="K1178" s="61"/>
      <c r="L1178" s="62"/>
      <c r="M1178" s="62"/>
      <c r="N1178" s="68"/>
      <c r="O1178" s="86"/>
      <c r="P1178" s="60"/>
      <c r="Q1178" s="60"/>
      <c r="R1178" s="60"/>
      <c r="S1178" s="60"/>
      <c r="T1178" s="61"/>
      <c r="U1178" s="61"/>
      <c r="V1178" s="61"/>
      <c r="W1178" s="61"/>
      <c r="X1178" s="62"/>
      <c r="Y1178" s="62"/>
      <c r="Z1178" s="68"/>
      <c r="AA1178" s="86"/>
      <c r="AB1178" s="60"/>
      <c r="AC1178" s="60"/>
      <c r="AD1178" s="60"/>
      <c r="AE1178" s="60"/>
      <c r="AF1178" s="61"/>
      <c r="AG1178" s="61"/>
      <c r="AH1178" s="61"/>
      <c r="AI1178" s="61"/>
      <c r="AJ1178" s="62"/>
      <c r="AK1178" s="62"/>
      <c r="AL1178" s="62"/>
      <c r="AM1178" s="62"/>
      <c r="AN1178" s="62"/>
      <c r="AO1178" s="62"/>
      <c r="AP1178" s="62"/>
      <c r="AQ1178" s="62"/>
      <c r="AR1178" s="62"/>
      <c r="AS1178" s="62"/>
      <c r="AT1178" s="62"/>
      <c r="AU1178" s="62"/>
      <c r="AV1178" s="62"/>
      <c r="AW1178" s="62"/>
      <c r="AX1178" s="62"/>
      <c r="AY1178" s="62"/>
      <c r="AZ1178" s="62"/>
    </row>
    <row r="1179" spans="1:52" x14ac:dyDescent="0.25">
      <c r="A1179" s="62"/>
      <c r="B1179" s="68"/>
      <c r="C1179" s="86"/>
      <c r="D1179" s="60"/>
      <c r="E1179" s="60"/>
      <c r="F1179" s="60"/>
      <c r="G1179" s="60"/>
      <c r="H1179" s="61"/>
      <c r="I1179" s="61"/>
      <c r="J1179" s="61"/>
      <c r="K1179" s="61"/>
      <c r="L1179" s="62"/>
      <c r="M1179" s="62"/>
      <c r="N1179" s="68"/>
      <c r="O1179" s="86"/>
      <c r="P1179" s="60"/>
      <c r="Q1179" s="60"/>
      <c r="R1179" s="60"/>
      <c r="S1179" s="60"/>
      <c r="T1179" s="61"/>
      <c r="U1179" s="61"/>
      <c r="V1179" s="61"/>
      <c r="W1179" s="61"/>
      <c r="X1179" s="62"/>
      <c r="Y1179" s="62"/>
      <c r="Z1179" s="68"/>
      <c r="AA1179" s="86"/>
      <c r="AB1179" s="60"/>
      <c r="AC1179" s="60"/>
      <c r="AD1179" s="60"/>
      <c r="AE1179" s="60"/>
      <c r="AF1179" s="61"/>
      <c r="AG1179" s="61"/>
      <c r="AH1179" s="61"/>
      <c r="AI1179" s="61"/>
      <c r="AJ1179" s="62"/>
      <c r="AK1179" s="62"/>
      <c r="AL1179" s="62"/>
      <c r="AM1179" s="62"/>
      <c r="AN1179" s="62"/>
      <c r="AO1179" s="62"/>
      <c r="AP1179" s="62"/>
      <c r="AQ1179" s="62"/>
      <c r="AR1179" s="62"/>
      <c r="AS1179" s="62"/>
      <c r="AT1179" s="62"/>
      <c r="AU1179" s="62"/>
      <c r="AV1179" s="62"/>
      <c r="AW1179" s="62"/>
      <c r="AX1179" s="62"/>
      <c r="AY1179" s="62"/>
      <c r="AZ1179" s="62"/>
    </row>
    <row r="1180" spans="1:52" x14ac:dyDescent="0.25">
      <c r="A1180" s="62"/>
      <c r="B1180" s="68"/>
      <c r="C1180" s="86"/>
      <c r="D1180" s="60"/>
      <c r="E1180" s="60"/>
      <c r="F1180" s="60"/>
      <c r="G1180" s="60"/>
      <c r="H1180" s="62"/>
      <c r="I1180" s="62"/>
      <c r="J1180" s="62"/>
      <c r="K1180" s="61"/>
      <c r="L1180" s="62"/>
      <c r="M1180" s="62"/>
      <c r="N1180" s="68"/>
      <c r="O1180" s="86"/>
      <c r="P1180" s="69"/>
      <c r="Q1180" s="86"/>
      <c r="R1180" s="86"/>
      <c r="S1180" s="60"/>
      <c r="T1180" s="62"/>
      <c r="U1180" s="62"/>
      <c r="V1180" s="62"/>
      <c r="W1180" s="61"/>
      <c r="X1180" s="62"/>
      <c r="Y1180" s="62"/>
      <c r="Z1180" s="68"/>
      <c r="AA1180" s="62"/>
      <c r="AB1180" s="60"/>
      <c r="AC1180" s="60"/>
      <c r="AD1180" s="60"/>
      <c r="AE1180" s="60"/>
      <c r="AF1180" s="62"/>
      <c r="AG1180" s="62"/>
      <c r="AH1180" s="62"/>
      <c r="AI1180" s="61"/>
      <c r="AJ1180" s="62"/>
      <c r="AK1180" s="62"/>
      <c r="AL1180" s="62"/>
      <c r="AM1180" s="62"/>
      <c r="AN1180" s="62"/>
      <c r="AO1180" s="62"/>
      <c r="AP1180" s="62"/>
      <c r="AQ1180" s="62"/>
      <c r="AR1180" s="62"/>
      <c r="AS1180" s="62"/>
      <c r="AT1180" s="62"/>
      <c r="AU1180" s="62"/>
      <c r="AV1180" s="62"/>
      <c r="AW1180" s="62"/>
      <c r="AX1180" s="62"/>
      <c r="AY1180" s="62"/>
      <c r="AZ1180" s="62"/>
    </row>
    <row r="1181" spans="1:52" x14ac:dyDescent="0.25">
      <c r="A1181" s="62"/>
      <c r="B1181" s="68"/>
      <c r="C1181" s="86"/>
      <c r="D1181" s="60"/>
      <c r="E1181" s="60"/>
      <c r="F1181" s="60"/>
      <c r="G1181" s="60"/>
      <c r="H1181" s="62"/>
      <c r="I1181" s="62"/>
      <c r="J1181" s="62"/>
      <c r="K1181" s="61"/>
      <c r="L1181" s="62"/>
      <c r="M1181" s="62"/>
      <c r="N1181" s="68"/>
      <c r="O1181" s="86"/>
      <c r="P1181" s="70"/>
      <c r="Q1181" s="86"/>
      <c r="R1181" s="86"/>
      <c r="S1181" s="60"/>
      <c r="T1181" s="62"/>
      <c r="U1181" s="62"/>
      <c r="V1181" s="62"/>
      <c r="W1181" s="61"/>
      <c r="X1181" s="62"/>
      <c r="Y1181" s="62"/>
      <c r="Z1181" s="68"/>
      <c r="AA1181" s="86"/>
      <c r="AB1181" s="60"/>
      <c r="AC1181" s="60"/>
      <c r="AD1181" s="60"/>
      <c r="AE1181" s="60"/>
      <c r="AF1181" s="62"/>
      <c r="AG1181" s="62"/>
      <c r="AH1181" s="62"/>
      <c r="AI1181" s="61"/>
      <c r="AJ1181" s="62"/>
      <c r="AK1181" s="62"/>
      <c r="AL1181" s="62"/>
      <c r="AM1181" s="62"/>
      <c r="AN1181" s="62"/>
      <c r="AO1181" s="62"/>
      <c r="AP1181" s="62"/>
      <c r="AQ1181" s="62"/>
      <c r="AR1181" s="62"/>
      <c r="AS1181" s="62"/>
      <c r="AT1181" s="62"/>
      <c r="AU1181" s="62"/>
      <c r="AV1181" s="62"/>
      <c r="AW1181" s="62"/>
      <c r="AX1181" s="62"/>
      <c r="AY1181" s="62"/>
      <c r="AZ1181" s="62"/>
    </row>
    <row r="1182" spans="1:52" x14ac:dyDescent="0.25">
      <c r="A1182" s="62"/>
      <c r="B1182" s="68"/>
      <c r="C1182" s="86"/>
      <c r="D1182" s="60"/>
      <c r="E1182" s="60"/>
      <c r="F1182" s="60"/>
      <c r="G1182" s="60"/>
      <c r="H1182" s="62"/>
      <c r="I1182" s="62"/>
      <c r="J1182" s="61"/>
      <c r="K1182" s="61"/>
      <c r="L1182" s="62"/>
      <c r="M1182" s="62"/>
      <c r="N1182" s="68"/>
      <c r="O1182" s="66"/>
      <c r="P1182" s="71"/>
      <c r="Q1182" s="62"/>
      <c r="R1182" s="62"/>
      <c r="S1182" s="60"/>
      <c r="T1182" s="62"/>
      <c r="U1182" s="62"/>
      <c r="V1182" s="62"/>
      <c r="W1182" s="61"/>
      <c r="X1182" s="62"/>
      <c r="Y1182" s="62"/>
      <c r="Z1182" s="68"/>
      <c r="AA1182" s="86"/>
      <c r="AB1182" s="60"/>
      <c r="AC1182" s="60"/>
      <c r="AD1182" s="60"/>
      <c r="AE1182" s="60"/>
      <c r="AF1182" s="62"/>
      <c r="AG1182" s="62"/>
      <c r="AH1182" s="61"/>
      <c r="AI1182" s="61"/>
      <c r="AJ1182" s="62"/>
      <c r="AK1182" s="62"/>
      <c r="AL1182" s="62"/>
      <c r="AM1182" s="62"/>
      <c r="AN1182" s="62"/>
      <c r="AO1182" s="62"/>
      <c r="AP1182" s="62"/>
      <c r="AQ1182" s="62"/>
      <c r="AR1182" s="62"/>
      <c r="AS1182" s="62"/>
      <c r="AT1182" s="62"/>
      <c r="AU1182" s="62"/>
      <c r="AV1182" s="62"/>
      <c r="AW1182" s="62"/>
      <c r="AX1182" s="62"/>
      <c r="AY1182" s="62"/>
      <c r="AZ1182" s="62"/>
    </row>
    <row r="1183" spans="1:52" x14ac:dyDescent="0.25">
      <c r="A1183" s="62"/>
      <c r="B1183" s="68"/>
      <c r="C1183" s="86"/>
      <c r="D1183" s="60"/>
      <c r="E1183" s="60"/>
      <c r="F1183" s="60"/>
      <c r="G1183" s="60"/>
      <c r="H1183" s="62"/>
      <c r="I1183" s="62"/>
      <c r="J1183" s="62"/>
      <c r="K1183" s="61"/>
      <c r="L1183" s="62"/>
      <c r="M1183" s="62"/>
      <c r="N1183" s="68"/>
      <c r="O1183" s="86"/>
      <c r="P1183" s="71"/>
      <c r="Q1183" s="86"/>
      <c r="R1183" s="86"/>
      <c r="S1183" s="60"/>
      <c r="T1183" s="62"/>
      <c r="U1183" s="62"/>
      <c r="V1183" s="62"/>
      <c r="W1183" s="61"/>
      <c r="X1183" s="62"/>
      <c r="Y1183" s="62"/>
      <c r="Z1183" s="68"/>
      <c r="AA1183" s="86"/>
      <c r="AB1183" s="60"/>
      <c r="AC1183" s="60"/>
      <c r="AD1183" s="60"/>
      <c r="AE1183" s="60"/>
      <c r="AF1183" s="62"/>
      <c r="AG1183" s="62"/>
      <c r="AH1183" s="62"/>
      <c r="AI1183" s="61"/>
      <c r="AJ1183" s="62"/>
      <c r="AK1183" s="62"/>
      <c r="AL1183" s="62"/>
      <c r="AM1183" s="62"/>
      <c r="AN1183" s="62"/>
      <c r="AO1183" s="62"/>
      <c r="AP1183" s="62"/>
      <c r="AQ1183" s="62"/>
      <c r="AR1183" s="62"/>
      <c r="AS1183" s="62"/>
      <c r="AT1183" s="62"/>
      <c r="AU1183" s="62"/>
      <c r="AV1183" s="62"/>
      <c r="AW1183" s="62"/>
      <c r="AX1183" s="62"/>
      <c r="AY1183" s="62"/>
      <c r="AZ1183" s="62"/>
    </row>
    <row r="1184" spans="1:52" x14ac:dyDescent="0.25">
      <c r="A1184" s="62"/>
      <c r="B1184" s="68"/>
      <c r="C1184" s="86"/>
      <c r="D1184" s="60"/>
      <c r="E1184" s="60"/>
      <c r="F1184" s="60"/>
      <c r="G1184" s="60"/>
      <c r="H1184" s="62"/>
      <c r="I1184" s="62"/>
      <c r="J1184" s="62"/>
      <c r="K1184" s="61"/>
      <c r="L1184" s="62"/>
      <c r="M1184" s="62"/>
      <c r="N1184" s="68"/>
      <c r="O1184" s="86"/>
      <c r="P1184" s="71"/>
      <c r="Q1184" s="86"/>
      <c r="R1184" s="86"/>
      <c r="S1184" s="60"/>
      <c r="T1184" s="62"/>
      <c r="U1184" s="62"/>
      <c r="V1184" s="62"/>
      <c r="W1184" s="61"/>
      <c r="X1184" s="62"/>
      <c r="Y1184" s="62"/>
      <c r="Z1184" s="68"/>
      <c r="AA1184" s="86"/>
      <c r="AB1184" s="60"/>
      <c r="AC1184" s="60"/>
      <c r="AD1184" s="60"/>
      <c r="AE1184" s="60"/>
      <c r="AF1184" s="62"/>
      <c r="AG1184" s="62"/>
      <c r="AH1184" s="62"/>
      <c r="AI1184" s="61"/>
      <c r="AJ1184" s="62"/>
      <c r="AK1184" s="62"/>
      <c r="AL1184" s="62"/>
      <c r="AM1184" s="62"/>
      <c r="AN1184" s="62"/>
      <c r="AO1184" s="62"/>
      <c r="AP1184" s="62"/>
      <c r="AQ1184" s="62"/>
      <c r="AR1184" s="62"/>
      <c r="AS1184" s="62"/>
      <c r="AT1184" s="62"/>
      <c r="AU1184" s="62"/>
      <c r="AV1184" s="62"/>
      <c r="AW1184" s="62"/>
      <c r="AX1184" s="62"/>
      <c r="AY1184" s="62"/>
      <c r="AZ1184" s="62"/>
    </row>
    <row r="1185" spans="1:52" x14ac:dyDescent="0.25">
      <c r="A1185" s="62"/>
      <c r="B1185" s="68"/>
      <c r="C1185" s="86"/>
      <c r="D1185" s="60"/>
      <c r="E1185" s="60"/>
      <c r="F1185" s="60"/>
      <c r="G1185" s="60"/>
      <c r="H1185" s="62"/>
      <c r="I1185" s="62"/>
      <c r="J1185" s="62"/>
      <c r="K1185" s="61"/>
      <c r="L1185" s="62"/>
      <c r="M1185" s="62"/>
      <c r="N1185" s="68"/>
      <c r="O1185" s="86"/>
      <c r="P1185" s="71"/>
      <c r="Q1185" s="86"/>
      <c r="R1185" s="86"/>
      <c r="S1185" s="60"/>
      <c r="T1185" s="62"/>
      <c r="U1185" s="62"/>
      <c r="V1185" s="62"/>
      <c r="W1185" s="61"/>
      <c r="X1185" s="62"/>
      <c r="Y1185" s="62"/>
      <c r="Z1185" s="68"/>
      <c r="AA1185" s="86"/>
      <c r="AB1185" s="60"/>
      <c r="AC1185" s="60"/>
      <c r="AD1185" s="60"/>
      <c r="AE1185" s="60"/>
      <c r="AF1185" s="62"/>
      <c r="AG1185" s="62"/>
      <c r="AH1185" s="62"/>
      <c r="AI1185" s="61"/>
      <c r="AJ1185" s="62"/>
      <c r="AK1185" s="62"/>
      <c r="AL1185" s="62"/>
      <c r="AM1185" s="62"/>
      <c r="AN1185" s="62"/>
      <c r="AO1185" s="62"/>
      <c r="AP1185" s="62"/>
      <c r="AQ1185" s="62"/>
      <c r="AR1185" s="62"/>
      <c r="AS1185" s="62"/>
      <c r="AT1185" s="62"/>
      <c r="AU1185" s="62"/>
      <c r="AV1185" s="62"/>
      <c r="AW1185" s="62"/>
      <c r="AX1185" s="62"/>
      <c r="AY1185" s="62"/>
      <c r="AZ1185" s="62"/>
    </row>
    <row r="1186" spans="1:52" x14ac:dyDescent="0.25">
      <c r="A1186" s="62"/>
      <c r="B1186" s="68"/>
      <c r="C1186" s="86"/>
      <c r="D1186" s="60"/>
      <c r="E1186" s="60"/>
      <c r="F1186" s="60"/>
      <c r="G1186" s="60"/>
      <c r="H1186" s="62"/>
      <c r="I1186" s="62"/>
      <c r="J1186" s="62"/>
      <c r="K1186" s="61"/>
      <c r="L1186" s="62"/>
      <c r="M1186" s="62"/>
      <c r="N1186" s="68"/>
      <c r="O1186" s="86"/>
      <c r="P1186" s="71"/>
      <c r="Q1186" s="86"/>
      <c r="R1186" s="86"/>
      <c r="S1186" s="60"/>
      <c r="T1186" s="62"/>
      <c r="U1186" s="62"/>
      <c r="V1186" s="62"/>
      <c r="W1186" s="61"/>
      <c r="X1186" s="62"/>
      <c r="Y1186" s="62"/>
      <c r="Z1186" s="68"/>
      <c r="AA1186" s="86"/>
      <c r="AB1186" s="60"/>
      <c r="AC1186" s="60"/>
      <c r="AD1186" s="60"/>
      <c r="AE1186" s="60"/>
      <c r="AF1186" s="62"/>
      <c r="AG1186" s="62"/>
      <c r="AH1186" s="62"/>
      <c r="AI1186" s="61"/>
      <c r="AJ1186" s="62"/>
      <c r="AK1186" s="62"/>
      <c r="AL1186" s="62"/>
      <c r="AM1186" s="62"/>
      <c r="AN1186" s="62"/>
      <c r="AO1186" s="62"/>
      <c r="AP1186" s="62"/>
      <c r="AQ1186" s="62"/>
      <c r="AR1186" s="62"/>
      <c r="AS1186" s="62"/>
      <c r="AT1186" s="62"/>
      <c r="AU1186" s="62"/>
      <c r="AV1186" s="62"/>
      <c r="AW1186" s="62"/>
      <c r="AX1186" s="62"/>
      <c r="AY1186" s="62"/>
      <c r="AZ1186" s="62"/>
    </row>
    <row r="1187" spans="1:52" x14ac:dyDescent="0.25">
      <c r="A1187" s="62"/>
      <c r="B1187" s="68"/>
      <c r="C1187" s="86"/>
      <c r="D1187" s="60"/>
      <c r="E1187" s="60"/>
      <c r="F1187" s="60"/>
      <c r="G1187" s="60"/>
      <c r="H1187" s="62"/>
      <c r="I1187" s="62"/>
      <c r="J1187" s="62"/>
      <c r="K1187" s="61"/>
      <c r="L1187" s="62"/>
      <c r="M1187" s="62"/>
      <c r="N1187" s="68"/>
      <c r="O1187" s="86"/>
      <c r="P1187" s="71"/>
      <c r="Q1187" s="86"/>
      <c r="R1187" s="86"/>
      <c r="S1187" s="60"/>
      <c r="T1187" s="62"/>
      <c r="U1187" s="62"/>
      <c r="V1187" s="62"/>
      <c r="W1187" s="61"/>
      <c r="X1187" s="62"/>
      <c r="Y1187" s="62"/>
      <c r="Z1187" s="68"/>
      <c r="AA1187" s="86"/>
      <c r="AB1187" s="60"/>
      <c r="AC1187" s="60"/>
      <c r="AD1187" s="60"/>
      <c r="AE1187" s="60"/>
      <c r="AF1187" s="62"/>
      <c r="AG1187" s="62"/>
      <c r="AH1187" s="62"/>
      <c r="AI1187" s="61"/>
      <c r="AJ1187" s="62"/>
      <c r="AK1187" s="62"/>
      <c r="AL1187" s="62"/>
      <c r="AM1187" s="62"/>
      <c r="AN1187" s="62"/>
      <c r="AO1187" s="62"/>
      <c r="AP1187" s="62"/>
      <c r="AQ1187" s="62"/>
      <c r="AR1187" s="62"/>
      <c r="AS1187" s="62"/>
      <c r="AT1187" s="62"/>
      <c r="AU1187" s="62"/>
      <c r="AV1187" s="62"/>
      <c r="AW1187" s="62"/>
      <c r="AX1187" s="62"/>
      <c r="AY1187" s="62"/>
      <c r="AZ1187" s="62"/>
    </row>
    <row r="1188" spans="1:52" x14ac:dyDescent="0.25">
      <c r="A1188" s="62"/>
      <c r="B1188" s="68"/>
      <c r="C1188" s="86"/>
      <c r="D1188" s="60"/>
      <c r="E1188" s="60"/>
      <c r="F1188" s="60"/>
      <c r="G1188" s="60"/>
      <c r="H1188" s="62"/>
      <c r="I1188" s="62"/>
      <c r="J1188" s="62"/>
      <c r="K1188" s="61"/>
      <c r="L1188" s="62"/>
      <c r="M1188" s="62"/>
      <c r="N1188" s="68"/>
      <c r="O1188" s="86"/>
      <c r="P1188" s="71"/>
      <c r="Q1188" s="86"/>
      <c r="R1188" s="86"/>
      <c r="S1188" s="60"/>
      <c r="T1188" s="62"/>
      <c r="U1188" s="62"/>
      <c r="V1188" s="62"/>
      <c r="W1188" s="61"/>
      <c r="X1188" s="62"/>
      <c r="Y1188" s="62"/>
      <c r="Z1188" s="68"/>
      <c r="AA1188" s="86"/>
      <c r="AB1188" s="60"/>
      <c r="AC1188" s="60"/>
      <c r="AD1188" s="60"/>
      <c r="AE1188" s="60"/>
      <c r="AF1188" s="62"/>
      <c r="AG1188" s="62"/>
      <c r="AH1188" s="62"/>
      <c r="AI1188" s="61"/>
      <c r="AJ1188" s="62"/>
      <c r="AK1188" s="62"/>
      <c r="AL1188" s="62"/>
      <c r="AM1188" s="62"/>
      <c r="AN1188" s="62"/>
      <c r="AO1188" s="62"/>
      <c r="AP1188" s="62"/>
      <c r="AQ1188" s="62"/>
      <c r="AR1188" s="62"/>
      <c r="AS1188" s="62"/>
      <c r="AT1188" s="62"/>
      <c r="AU1188" s="62"/>
      <c r="AV1188" s="62"/>
      <c r="AW1188" s="62"/>
      <c r="AX1188" s="62"/>
      <c r="AY1188" s="62"/>
      <c r="AZ1188" s="62"/>
    </row>
    <row r="1189" spans="1:52" x14ac:dyDescent="0.25">
      <c r="A1189" s="62"/>
      <c r="B1189" s="68"/>
      <c r="C1189" s="86"/>
      <c r="D1189" s="60"/>
      <c r="E1189" s="60"/>
      <c r="F1189" s="60"/>
      <c r="G1189" s="60"/>
      <c r="H1189" s="62"/>
      <c r="I1189" s="62"/>
      <c r="J1189" s="62"/>
      <c r="K1189" s="61"/>
      <c r="L1189" s="62"/>
      <c r="M1189" s="62"/>
      <c r="N1189" s="68"/>
      <c r="O1189" s="86"/>
      <c r="P1189" s="71"/>
      <c r="Q1189" s="86"/>
      <c r="R1189" s="86"/>
      <c r="S1189" s="60"/>
      <c r="T1189" s="62"/>
      <c r="U1189" s="62"/>
      <c r="V1189" s="62"/>
      <c r="W1189" s="61"/>
      <c r="X1189" s="62"/>
      <c r="Y1189" s="62"/>
      <c r="Z1189" s="68"/>
      <c r="AA1189" s="86"/>
      <c r="AB1189" s="60"/>
      <c r="AC1189" s="60"/>
      <c r="AD1189" s="60"/>
      <c r="AE1189" s="60"/>
      <c r="AF1189" s="62"/>
      <c r="AG1189" s="62"/>
      <c r="AH1189" s="62"/>
      <c r="AI1189" s="61"/>
      <c r="AJ1189" s="62"/>
      <c r="AK1189" s="62"/>
      <c r="AL1189" s="62"/>
      <c r="AM1189" s="62"/>
      <c r="AN1189" s="62"/>
      <c r="AO1189" s="62"/>
      <c r="AP1189" s="62"/>
      <c r="AQ1189" s="62"/>
      <c r="AR1189" s="62"/>
      <c r="AS1189" s="62"/>
      <c r="AT1189" s="62"/>
      <c r="AU1189" s="62"/>
      <c r="AV1189" s="62"/>
      <c r="AW1189" s="62"/>
      <c r="AX1189" s="62"/>
      <c r="AY1189" s="62"/>
      <c r="AZ1189" s="62"/>
    </row>
    <row r="1190" spans="1:52" x14ac:dyDescent="0.25">
      <c r="A1190" s="62"/>
      <c r="B1190" s="68"/>
      <c r="C1190" s="86"/>
      <c r="D1190" s="60"/>
      <c r="E1190" s="60"/>
      <c r="F1190" s="60"/>
      <c r="G1190" s="60"/>
      <c r="H1190" s="62"/>
      <c r="I1190" s="62"/>
      <c r="J1190" s="62"/>
      <c r="K1190" s="61"/>
      <c r="L1190" s="62"/>
      <c r="M1190" s="62"/>
      <c r="N1190" s="68"/>
      <c r="O1190" s="62"/>
      <c r="P1190" s="71"/>
      <c r="Q1190" s="86"/>
      <c r="R1190" s="86"/>
      <c r="S1190" s="60"/>
      <c r="T1190" s="62"/>
      <c r="U1190" s="62"/>
      <c r="V1190" s="62"/>
      <c r="W1190" s="61"/>
      <c r="X1190" s="62"/>
      <c r="Y1190" s="62"/>
      <c r="Z1190" s="68"/>
      <c r="AA1190" s="62"/>
      <c r="AB1190" s="60"/>
      <c r="AC1190" s="60"/>
      <c r="AD1190" s="60"/>
      <c r="AE1190" s="60"/>
      <c r="AF1190" s="62"/>
      <c r="AG1190" s="62"/>
      <c r="AH1190" s="62"/>
      <c r="AI1190" s="61"/>
      <c r="AJ1190" s="62"/>
      <c r="AK1190" s="62"/>
      <c r="AL1190" s="62"/>
      <c r="AM1190" s="62"/>
      <c r="AN1190" s="62"/>
      <c r="AO1190" s="62"/>
      <c r="AP1190" s="62"/>
      <c r="AQ1190" s="62"/>
      <c r="AR1190" s="62"/>
      <c r="AS1190" s="62"/>
      <c r="AT1190" s="62"/>
      <c r="AU1190" s="62"/>
      <c r="AV1190" s="62"/>
      <c r="AW1190" s="62"/>
      <c r="AX1190" s="62"/>
      <c r="AY1190" s="62"/>
      <c r="AZ1190" s="62"/>
    </row>
    <row r="1191" spans="1:52" x14ac:dyDescent="0.25">
      <c r="A1191" s="62"/>
      <c r="B1191" s="68"/>
      <c r="C1191" s="86"/>
      <c r="D1191" s="60"/>
      <c r="E1191" s="60"/>
      <c r="F1191" s="60"/>
      <c r="G1191" s="60"/>
      <c r="H1191" s="62"/>
      <c r="I1191" s="62"/>
      <c r="J1191" s="62"/>
      <c r="K1191" s="61"/>
      <c r="L1191" s="62"/>
      <c r="M1191" s="62"/>
      <c r="N1191" s="68"/>
      <c r="O1191" s="86"/>
      <c r="P1191" s="71"/>
      <c r="Q1191" s="86"/>
      <c r="R1191" s="86"/>
      <c r="S1191" s="60"/>
      <c r="T1191" s="62"/>
      <c r="U1191" s="62"/>
      <c r="V1191" s="62"/>
      <c r="W1191" s="61"/>
      <c r="X1191" s="62"/>
      <c r="Y1191" s="62"/>
      <c r="Z1191" s="68"/>
      <c r="AA1191" s="86"/>
      <c r="AB1191" s="60"/>
      <c r="AC1191" s="60"/>
      <c r="AD1191" s="60"/>
      <c r="AE1191" s="60"/>
      <c r="AF1191" s="62"/>
      <c r="AG1191" s="62"/>
      <c r="AH1191" s="62"/>
      <c r="AI1191" s="61"/>
      <c r="AJ1191" s="62"/>
      <c r="AK1191" s="62"/>
      <c r="AL1191" s="62"/>
      <c r="AM1191" s="62"/>
      <c r="AN1191" s="62"/>
      <c r="AO1191" s="62"/>
      <c r="AP1191" s="62"/>
      <c r="AQ1191" s="62"/>
      <c r="AR1191" s="62"/>
      <c r="AS1191" s="62"/>
      <c r="AT1191" s="62"/>
      <c r="AU1191" s="62"/>
      <c r="AV1191" s="62"/>
      <c r="AW1191" s="62"/>
      <c r="AX1191" s="62"/>
      <c r="AY1191" s="62"/>
      <c r="AZ1191" s="62"/>
    </row>
    <row r="1192" spans="1:52" x14ac:dyDescent="0.25">
      <c r="A1192" s="62"/>
      <c r="B1192" s="68"/>
      <c r="C1192" s="86"/>
      <c r="D1192" s="60"/>
      <c r="E1192" s="60"/>
      <c r="F1192" s="60"/>
      <c r="G1192" s="60"/>
      <c r="H1192" s="62"/>
      <c r="I1192" s="62"/>
      <c r="J1192" s="62"/>
      <c r="K1192" s="61"/>
      <c r="L1192" s="62"/>
      <c r="M1192" s="62"/>
      <c r="N1192" s="68"/>
      <c r="O1192" s="86"/>
      <c r="P1192" s="71"/>
      <c r="Q1192" s="86"/>
      <c r="R1192" s="86"/>
      <c r="S1192" s="60"/>
      <c r="T1192" s="62"/>
      <c r="U1192" s="62"/>
      <c r="V1192" s="62"/>
      <c r="W1192" s="61"/>
      <c r="X1192" s="62"/>
      <c r="Y1192" s="62"/>
      <c r="Z1192" s="68"/>
      <c r="AA1192" s="86"/>
      <c r="AB1192" s="60"/>
      <c r="AC1192" s="60"/>
      <c r="AD1192" s="60"/>
      <c r="AE1192" s="60"/>
      <c r="AF1192" s="62"/>
      <c r="AG1192" s="62"/>
      <c r="AH1192" s="62"/>
      <c r="AI1192" s="61"/>
      <c r="AJ1192" s="62"/>
      <c r="AK1192" s="62"/>
      <c r="AL1192" s="62"/>
      <c r="AM1192" s="62"/>
      <c r="AN1192" s="62"/>
      <c r="AO1192" s="62"/>
      <c r="AP1192" s="62"/>
      <c r="AQ1192" s="62"/>
      <c r="AR1192" s="62"/>
      <c r="AS1192" s="62"/>
      <c r="AT1192" s="62"/>
      <c r="AU1192" s="62"/>
      <c r="AV1192" s="62"/>
      <c r="AW1192" s="62"/>
      <c r="AX1192" s="62"/>
      <c r="AY1192" s="62"/>
      <c r="AZ1192" s="62"/>
    </row>
    <row r="1193" spans="1:52" x14ac:dyDescent="0.25">
      <c r="A1193" s="62"/>
      <c r="B1193" s="68"/>
      <c r="C1193" s="66"/>
      <c r="D1193" s="60"/>
      <c r="E1193" s="60"/>
      <c r="F1193" s="60"/>
      <c r="G1193" s="60"/>
      <c r="H1193" s="62"/>
      <c r="I1193" s="62"/>
      <c r="J1193" s="62"/>
      <c r="K1193" s="61"/>
      <c r="L1193" s="62"/>
      <c r="M1193" s="62"/>
      <c r="N1193" s="68"/>
      <c r="O1193" s="86"/>
      <c r="P1193" s="71"/>
      <c r="Q1193" s="86"/>
      <c r="R1193" s="86"/>
      <c r="S1193" s="60"/>
      <c r="T1193" s="62"/>
      <c r="U1193" s="62"/>
      <c r="V1193" s="62"/>
      <c r="W1193" s="61"/>
      <c r="X1193" s="62"/>
      <c r="Y1193" s="62"/>
      <c r="Z1193" s="68"/>
      <c r="AA1193" s="86"/>
      <c r="AB1193" s="60"/>
      <c r="AC1193" s="60"/>
      <c r="AD1193" s="60"/>
      <c r="AE1193" s="60"/>
      <c r="AF1193" s="62"/>
      <c r="AG1193" s="62"/>
      <c r="AH1193" s="62"/>
      <c r="AI1193" s="61"/>
      <c r="AJ1193" s="62"/>
      <c r="AK1193" s="62"/>
      <c r="AL1193" s="62"/>
      <c r="AM1193" s="62"/>
      <c r="AN1193" s="62"/>
      <c r="AO1193" s="62"/>
      <c r="AP1193" s="62"/>
      <c r="AQ1193" s="62"/>
      <c r="AR1193" s="62"/>
      <c r="AS1193" s="62"/>
      <c r="AT1193" s="62"/>
      <c r="AU1193" s="62"/>
      <c r="AV1193" s="62"/>
      <c r="AW1193" s="62"/>
      <c r="AX1193" s="62"/>
      <c r="AY1193" s="62"/>
      <c r="AZ1193" s="62"/>
    </row>
    <row r="1194" spans="1:52" x14ac:dyDescent="0.25">
      <c r="A1194" s="62"/>
      <c r="B1194" s="68"/>
      <c r="C1194" s="86"/>
      <c r="D1194" s="60"/>
      <c r="E1194" s="60"/>
      <c r="F1194" s="60"/>
      <c r="G1194" s="60"/>
      <c r="H1194" s="62"/>
      <c r="I1194" s="62"/>
      <c r="J1194" s="62"/>
      <c r="K1194" s="61"/>
      <c r="L1194" s="62"/>
      <c r="M1194" s="62"/>
      <c r="N1194" s="68"/>
      <c r="O1194" s="86"/>
      <c r="P1194" s="71"/>
      <c r="Q1194" s="86"/>
      <c r="R1194" s="86"/>
      <c r="S1194" s="60"/>
      <c r="T1194" s="62"/>
      <c r="U1194" s="62"/>
      <c r="V1194" s="62"/>
      <c r="W1194" s="61"/>
      <c r="X1194" s="62"/>
      <c r="Y1194" s="62"/>
      <c r="Z1194" s="68"/>
      <c r="AA1194" s="86"/>
      <c r="AB1194" s="60"/>
      <c r="AC1194" s="60"/>
      <c r="AD1194" s="60"/>
      <c r="AE1194" s="60"/>
      <c r="AF1194" s="62"/>
      <c r="AG1194" s="62"/>
      <c r="AH1194" s="62"/>
      <c r="AI1194" s="61"/>
      <c r="AJ1194" s="62"/>
      <c r="AK1194" s="62"/>
      <c r="AL1194" s="62"/>
      <c r="AM1194" s="62"/>
      <c r="AN1194" s="62"/>
      <c r="AO1194" s="62"/>
      <c r="AP1194" s="62"/>
      <c r="AQ1194" s="62"/>
      <c r="AR1194" s="62"/>
      <c r="AS1194" s="62"/>
      <c r="AT1194" s="62"/>
      <c r="AU1194" s="62"/>
      <c r="AV1194" s="62"/>
      <c r="AW1194" s="62"/>
      <c r="AX1194" s="62"/>
      <c r="AY1194" s="62"/>
      <c r="AZ1194" s="62"/>
    </row>
    <row r="1195" spans="1:52" x14ac:dyDescent="0.25">
      <c r="A1195" s="62"/>
      <c r="B1195" s="68"/>
      <c r="C1195" s="86"/>
      <c r="D1195" s="60"/>
      <c r="E1195" s="60"/>
      <c r="F1195" s="60"/>
      <c r="G1195" s="60"/>
      <c r="H1195" s="62"/>
      <c r="I1195" s="62"/>
      <c r="J1195" s="62"/>
      <c r="K1195" s="61"/>
      <c r="L1195" s="62"/>
      <c r="M1195" s="62"/>
      <c r="N1195" s="68"/>
      <c r="O1195" s="86"/>
      <c r="P1195" s="71"/>
      <c r="Q1195" s="86"/>
      <c r="R1195" s="86"/>
      <c r="S1195" s="60"/>
      <c r="T1195" s="62"/>
      <c r="U1195" s="62"/>
      <c r="V1195" s="62"/>
      <c r="W1195" s="61"/>
      <c r="X1195" s="62"/>
      <c r="Y1195" s="62"/>
      <c r="Z1195" s="68"/>
      <c r="AA1195" s="86"/>
      <c r="AB1195" s="60"/>
      <c r="AC1195" s="60"/>
      <c r="AD1195" s="60"/>
      <c r="AE1195" s="60"/>
      <c r="AF1195" s="62"/>
      <c r="AG1195" s="62"/>
      <c r="AH1195" s="62"/>
      <c r="AI1195" s="61"/>
      <c r="AJ1195" s="62"/>
      <c r="AK1195" s="62"/>
      <c r="AL1195" s="62"/>
      <c r="AM1195" s="62"/>
      <c r="AN1195" s="62"/>
      <c r="AO1195" s="62"/>
      <c r="AP1195" s="62"/>
      <c r="AQ1195" s="62"/>
      <c r="AR1195" s="62"/>
      <c r="AS1195" s="62"/>
      <c r="AT1195" s="62"/>
      <c r="AU1195" s="62"/>
      <c r="AV1195" s="62"/>
      <c r="AW1195" s="62"/>
      <c r="AX1195" s="62"/>
      <c r="AY1195" s="62"/>
      <c r="AZ1195" s="62"/>
    </row>
    <row r="1196" spans="1:52" x14ac:dyDescent="0.25">
      <c r="A1196" s="62"/>
      <c r="B1196" s="68"/>
      <c r="C1196" s="86"/>
      <c r="D1196" s="60"/>
      <c r="E1196" s="60"/>
      <c r="F1196" s="60"/>
      <c r="G1196" s="60"/>
      <c r="H1196" s="62"/>
      <c r="I1196" s="62"/>
      <c r="J1196" s="62"/>
      <c r="K1196" s="61"/>
      <c r="L1196" s="62"/>
      <c r="M1196" s="62"/>
      <c r="N1196" s="68"/>
      <c r="O1196" s="86"/>
      <c r="P1196" s="71"/>
      <c r="Q1196" s="86"/>
      <c r="R1196" s="86"/>
      <c r="S1196" s="60"/>
      <c r="T1196" s="62"/>
      <c r="U1196" s="62"/>
      <c r="V1196" s="62"/>
      <c r="W1196" s="61"/>
      <c r="X1196" s="62"/>
      <c r="Y1196" s="62"/>
      <c r="Z1196" s="68"/>
      <c r="AA1196" s="86"/>
      <c r="AB1196" s="60"/>
      <c r="AC1196" s="60"/>
      <c r="AD1196" s="60"/>
      <c r="AE1196" s="60"/>
      <c r="AF1196" s="62"/>
      <c r="AG1196" s="62"/>
      <c r="AH1196" s="62"/>
      <c r="AI1196" s="61"/>
      <c r="AJ1196" s="62"/>
      <c r="AK1196" s="62"/>
      <c r="AL1196" s="62"/>
      <c r="AM1196" s="62"/>
      <c r="AN1196" s="62"/>
      <c r="AO1196" s="62"/>
      <c r="AP1196" s="62"/>
      <c r="AQ1196" s="62"/>
      <c r="AR1196" s="62"/>
      <c r="AS1196" s="62"/>
      <c r="AT1196" s="62"/>
      <c r="AU1196" s="62"/>
      <c r="AV1196" s="62"/>
      <c r="AW1196" s="62"/>
      <c r="AX1196" s="62"/>
      <c r="AY1196" s="62"/>
      <c r="AZ1196" s="62"/>
    </row>
    <row r="1197" spans="1:52" x14ac:dyDescent="0.25">
      <c r="A1197" s="62"/>
      <c r="B1197" s="68"/>
      <c r="C1197" s="86"/>
      <c r="D1197" s="60"/>
      <c r="E1197" s="60"/>
      <c r="F1197" s="60"/>
      <c r="G1197" s="60"/>
      <c r="H1197" s="62"/>
      <c r="I1197" s="62"/>
      <c r="J1197" s="62"/>
      <c r="K1197" s="61"/>
      <c r="L1197" s="62"/>
      <c r="M1197" s="62"/>
      <c r="N1197" s="68"/>
      <c r="O1197" s="86"/>
      <c r="P1197" s="71"/>
      <c r="Q1197" s="86"/>
      <c r="R1197" s="86"/>
      <c r="S1197" s="60"/>
      <c r="T1197" s="62"/>
      <c r="U1197" s="62"/>
      <c r="V1197" s="62"/>
      <c r="W1197" s="61"/>
      <c r="X1197" s="62"/>
      <c r="Y1197" s="62"/>
      <c r="Z1197" s="68"/>
      <c r="AA1197" s="86"/>
      <c r="AB1197" s="60"/>
      <c r="AC1197" s="60"/>
      <c r="AD1197" s="60"/>
      <c r="AE1197" s="60"/>
      <c r="AF1197" s="62"/>
      <c r="AG1197" s="62"/>
      <c r="AH1197" s="62"/>
      <c r="AI1197" s="61"/>
      <c r="AJ1197" s="62"/>
      <c r="AK1197" s="62"/>
      <c r="AL1197" s="62"/>
      <c r="AM1197" s="62"/>
      <c r="AN1197" s="62"/>
      <c r="AO1197" s="62"/>
      <c r="AP1197" s="62"/>
      <c r="AQ1197" s="62"/>
      <c r="AR1197" s="62"/>
      <c r="AS1197" s="62"/>
      <c r="AT1197" s="62"/>
      <c r="AU1197" s="62"/>
      <c r="AV1197" s="62"/>
      <c r="AW1197" s="62"/>
      <c r="AX1197" s="62"/>
      <c r="AY1197" s="62"/>
      <c r="AZ1197" s="62"/>
    </row>
    <row r="1198" spans="1:52" x14ac:dyDescent="0.25">
      <c r="A1198" s="62"/>
      <c r="B1198" s="68"/>
      <c r="C1198" s="86"/>
      <c r="D1198" s="60"/>
      <c r="E1198" s="60"/>
      <c r="F1198" s="60"/>
      <c r="G1198" s="60"/>
      <c r="H1198" s="62"/>
      <c r="I1198" s="62"/>
      <c r="J1198" s="62"/>
      <c r="K1198" s="61"/>
      <c r="L1198" s="62"/>
      <c r="M1198" s="62"/>
      <c r="N1198" s="68"/>
      <c r="O1198" s="86"/>
      <c r="P1198" s="71"/>
      <c r="Q1198" s="86"/>
      <c r="R1198" s="86"/>
      <c r="S1198" s="60"/>
      <c r="T1198" s="62"/>
      <c r="U1198" s="62"/>
      <c r="V1198" s="62"/>
      <c r="W1198" s="61"/>
      <c r="X1198" s="62"/>
      <c r="Y1198" s="62"/>
      <c r="Z1198" s="68"/>
      <c r="AA1198" s="86"/>
      <c r="AB1198" s="60"/>
      <c r="AC1198" s="60"/>
      <c r="AD1198" s="60"/>
      <c r="AE1198" s="60"/>
      <c r="AF1198" s="62"/>
      <c r="AG1198" s="62"/>
      <c r="AH1198" s="62"/>
      <c r="AI1198" s="61"/>
      <c r="AJ1198" s="62"/>
      <c r="AK1198" s="62"/>
      <c r="AL1198" s="62"/>
      <c r="AM1198" s="62"/>
      <c r="AN1198" s="62"/>
      <c r="AO1198" s="62"/>
      <c r="AP1198" s="62"/>
      <c r="AQ1198" s="62"/>
      <c r="AR1198" s="62"/>
      <c r="AS1198" s="62"/>
      <c r="AT1198" s="62"/>
      <c r="AU1198" s="62"/>
      <c r="AV1198" s="62"/>
      <c r="AW1198" s="62"/>
      <c r="AX1198" s="62"/>
      <c r="AY1198" s="62"/>
      <c r="AZ1198" s="62"/>
    </row>
    <row r="1199" spans="1:52" x14ac:dyDescent="0.25">
      <c r="A1199" s="62"/>
      <c r="B1199" s="68"/>
      <c r="C1199" s="86"/>
      <c r="D1199" s="60"/>
      <c r="E1199" s="60"/>
      <c r="F1199" s="60"/>
      <c r="G1199" s="60"/>
      <c r="H1199" s="62"/>
      <c r="I1199" s="62"/>
      <c r="J1199" s="62"/>
      <c r="K1199" s="61"/>
      <c r="L1199" s="62"/>
      <c r="M1199" s="62"/>
      <c r="N1199" s="68"/>
      <c r="O1199" s="86"/>
      <c r="P1199" s="71"/>
      <c r="Q1199" s="86"/>
      <c r="R1199" s="86"/>
      <c r="S1199" s="60"/>
      <c r="T1199" s="62"/>
      <c r="U1199" s="62"/>
      <c r="V1199" s="62"/>
      <c r="W1199" s="61"/>
      <c r="X1199" s="62"/>
      <c r="Y1199" s="62"/>
      <c r="Z1199" s="68"/>
      <c r="AA1199" s="86"/>
      <c r="AB1199" s="60"/>
      <c r="AC1199" s="60"/>
      <c r="AD1199" s="60"/>
      <c r="AE1199" s="60"/>
      <c r="AF1199" s="62"/>
      <c r="AG1199" s="62"/>
      <c r="AH1199" s="62"/>
      <c r="AI1199" s="61"/>
      <c r="AJ1199" s="62"/>
      <c r="AK1199" s="62"/>
      <c r="AL1199" s="62"/>
      <c r="AM1199" s="62"/>
      <c r="AN1199" s="62"/>
      <c r="AO1199" s="62"/>
      <c r="AP1199" s="62"/>
      <c r="AQ1199" s="62"/>
      <c r="AR1199" s="62"/>
      <c r="AS1199" s="62"/>
      <c r="AT1199" s="62"/>
      <c r="AU1199" s="62"/>
      <c r="AV1199" s="62"/>
      <c r="AW1199" s="62"/>
      <c r="AX1199" s="62"/>
      <c r="AY1199" s="62"/>
      <c r="AZ1199" s="62"/>
    </row>
    <row r="1200" spans="1:52" x14ac:dyDescent="0.25">
      <c r="A1200" s="62"/>
      <c r="B1200" s="68"/>
      <c r="C1200" s="86"/>
      <c r="D1200" s="60"/>
      <c r="E1200" s="60"/>
      <c r="F1200" s="60"/>
      <c r="G1200" s="60"/>
      <c r="H1200" s="62"/>
      <c r="I1200" s="62"/>
      <c r="J1200" s="62"/>
      <c r="K1200" s="61"/>
      <c r="L1200" s="62"/>
      <c r="M1200" s="62"/>
      <c r="N1200" s="68"/>
      <c r="O1200" s="86"/>
      <c r="P1200" s="71"/>
      <c r="Q1200" s="86"/>
      <c r="R1200" s="86"/>
      <c r="S1200" s="60"/>
      <c r="T1200" s="62"/>
      <c r="U1200" s="62"/>
      <c r="V1200" s="62"/>
      <c r="W1200" s="61"/>
      <c r="X1200" s="62"/>
      <c r="Y1200" s="62"/>
      <c r="Z1200" s="68"/>
      <c r="AA1200" s="86"/>
      <c r="AB1200" s="60"/>
      <c r="AC1200" s="60"/>
      <c r="AD1200" s="60"/>
      <c r="AE1200" s="60"/>
      <c r="AF1200" s="62"/>
      <c r="AG1200" s="62"/>
      <c r="AH1200" s="62"/>
      <c r="AI1200" s="61"/>
      <c r="AJ1200" s="62"/>
      <c r="AK1200" s="62"/>
      <c r="AL1200" s="62"/>
      <c r="AM1200" s="62"/>
      <c r="AN1200" s="62"/>
      <c r="AO1200" s="62"/>
      <c r="AP1200" s="62"/>
      <c r="AQ1200" s="62"/>
      <c r="AR1200" s="62"/>
      <c r="AS1200" s="62"/>
      <c r="AT1200" s="62"/>
      <c r="AU1200" s="62"/>
      <c r="AV1200" s="62"/>
      <c r="AW1200" s="62"/>
      <c r="AX1200" s="62"/>
      <c r="AY1200" s="62"/>
      <c r="AZ1200" s="62"/>
    </row>
    <row r="1201" spans="1:52" x14ac:dyDescent="0.25">
      <c r="A1201" s="62"/>
      <c r="B1201" s="68"/>
      <c r="C1201" s="86"/>
      <c r="D1201" s="60"/>
      <c r="E1201" s="60"/>
      <c r="F1201" s="60"/>
      <c r="G1201" s="60"/>
      <c r="H1201" s="62"/>
      <c r="I1201" s="62"/>
      <c r="J1201" s="62"/>
      <c r="K1201" s="61"/>
      <c r="L1201" s="62"/>
      <c r="M1201" s="62"/>
      <c r="N1201" s="68"/>
      <c r="O1201" s="86"/>
      <c r="P1201" s="71"/>
      <c r="Q1201" s="86"/>
      <c r="R1201" s="86"/>
      <c r="S1201" s="60"/>
      <c r="T1201" s="62"/>
      <c r="U1201" s="62"/>
      <c r="V1201" s="62"/>
      <c r="W1201" s="61"/>
      <c r="X1201" s="62"/>
      <c r="Y1201" s="62"/>
      <c r="Z1201" s="68"/>
      <c r="AA1201" s="86"/>
      <c r="AB1201" s="60"/>
      <c r="AC1201" s="60"/>
      <c r="AD1201" s="60"/>
      <c r="AE1201" s="60"/>
      <c r="AF1201" s="62"/>
      <c r="AG1201" s="62"/>
      <c r="AH1201" s="62"/>
      <c r="AI1201" s="61"/>
      <c r="AJ1201" s="62"/>
      <c r="AK1201" s="62"/>
      <c r="AL1201" s="62"/>
      <c r="AM1201" s="62"/>
      <c r="AN1201" s="62"/>
      <c r="AO1201" s="62"/>
      <c r="AP1201" s="62"/>
      <c r="AQ1201" s="62"/>
      <c r="AR1201" s="62"/>
      <c r="AS1201" s="62"/>
      <c r="AT1201" s="62"/>
      <c r="AU1201" s="62"/>
      <c r="AV1201" s="62"/>
      <c r="AW1201" s="62"/>
      <c r="AX1201" s="62"/>
      <c r="AY1201" s="62"/>
      <c r="AZ1201" s="62"/>
    </row>
    <row r="1202" spans="1:52" x14ac:dyDescent="0.25">
      <c r="A1202" s="62"/>
      <c r="B1202" s="68"/>
      <c r="C1202" s="86"/>
      <c r="D1202" s="60"/>
      <c r="E1202" s="60"/>
      <c r="F1202" s="60"/>
      <c r="G1202" s="60"/>
      <c r="H1202" s="62"/>
      <c r="I1202" s="62"/>
      <c r="J1202" s="62"/>
      <c r="K1202" s="61"/>
      <c r="L1202" s="62"/>
      <c r="M1202" s="62"/>
      <c r="N1202" s="68"/>
      <c r="O1202" s="86"/>
      <c r="P1202" s="71"/>
      <c r="Q1202" s="86"/>
      <c r="R1202" s="86"/>
      <c r="S1202" s="60"/>
      <c r="T1202" s="62"/>
      <c r="U1202" s="62"/>
      <c r="V1202" s="62"/>
      <c r="W1202" s="61"/>
      <c r="X1202" s="62"/>
      <c r="Y1202" s="62"/>
      <c r="Z1202" s="68"/>
      <c r="AA1202" s="86"/>
      <c r="AB1202" s="60"/>
      <c r="AC1202" s="60"/>
      <c r="AD1202" s="60"/>
      <c r="AE1202" s="60"/>
      <c r="AF1202" s="62"/>
      <c r="AG1202" s="62"/>
      <c r="AH1202" s="62"/>
      <c r="AI1202" s="61"/>
      <c r="AJ1202" s="62"/>
      <c r="AK1202" s="62"/>
      <c r="AL1202" s="62"/>
      <c r="AM1202" s="62"/>
      <c r="AN1202" s="62"/>
      <c r="AO1202" s="62"/>
      <c r="AP1202" s="62"/>
      <c r="AQ1202" s="62"/>
      <c r="AR1202" s="62"/>
      <c r="AS1202" s="62"/>
      <c r="AT1202" s="62"/>
      <c r="AU1202" s="62"/>
      <c r="AV1202" s="62"/>
      <c r="AW1202" s="62"/>
      <c r="AX1202" s="62"/>
      <c r="AY1202" s="62"/>
      <c r="AZ1202" s="62"/>
    </row>
    <row r="1203" spans="1:52" x14ac:dyDescent="0.25">
      <c r="A1203" s="62"/>
      <c r="B1203" s="68"/>
      <c r="C1203" s="86"/>
      <c r="D1203" s="60"/>
      <c r="E1203" s="60"/>
      <c r="F1203" s="60"/>
      <c r="G1203" s="60"/>
      <c r="H1203" s="62"/>
      <c r="I1203" s="62"/>
      <c r="J1203" s="62"/>
      <c r="K1203" s="61"/>
      <c r="L1203" s="62"/>
      <c r="M1203" s="62"/>
      <c r="N1203" s="68"/>
      <c r="O1203" s="86"/>
      <c r="P1203" s="71"/>
      <c r="Q1203" s="86"/>
      <c r="R1203" s="86"/>
      <c r="S1203" s="60"/>
      <c r="T1203" s="62"/>
      <c r="U1203" s="62"/>
      <c r="V1203" s="62"/>
      <c r="W1203" s="61"/>
      <c r="X1203" s="62"/>
      <c r="Y1203" s="62"/>
      <c r="Z1203" s="68"/>
      <c r="AA1203" s="86"/>
      <c r="AB1203" s="60"/>
      <c r="AC1203" s="60"/>
      <c r="AD1203" s="60"/>
      <c r="AE1203" s="60"/>
      <c r="AF1203" s="62"/>
      <c r="AG1203" s="62"/>
      <c r="AH1203" s="62"/>
      <c r="AI1203" s="61"/>
      <c r="AJ1203" s="62"/>
      <c r="AK1203" s="62"/>
      <c r="AL1203" s="62"/>
      <c r="AM1203" s="62"/>
      <c r="AN1203" s="62"/>
      <c r="AO1203" s="62"/>
      <c r="AP1203" s="62"/>
      <c r="AQ1203" s="62"/>
      <c r="AR1203" s="62"/>
      <c r="AS1203" s="62"/>
      <c r="AT1203" s="62"/>
      <c r="AU1203" s="62"/>
      <c r="AV1203" s="62"/>
      <c r="AW1203" s="62"/>
      <c r="AX1203" s="62"/>
      <c r="AY1203" s="62"/>
      <c r="AZ1203" s="62"/>
    </row>
    <row r="1204" spans="1:52" x14ac:dyDescent="0.25">
      <c r="A1204" s="62"/>
      <c r="B1204" s="68"/>
      <c r="C1204" s="86"/>
      <c r="D1204" s="60"/>
      <c r="E1204" s="60"/>
      <c r="F1204" s="60"/>
      <c r="G1204" s="60"/>
      <c r="H1204" s="62"/>
      <c r="I1204" s="62"/>
      <c r="J1204" s="62"/>
      <c r="K1204" s="61"/>
      <c r="L1204" s="62"/>
      <c r="M1204" s="62"/>
      <c r="N1204" s="68"/>
      <c r="O1204" s="86"/>
      <c r="P1204" s="71"/>
      <c r="Q1204" s="86"/>
      <c r="R1204" s="86"/>
      <c r="S1204" s="60"/>
      <c r="T1204" s="62"/>
      <c r="U1204" s="62"/>
      <c r="V1204" s="62"/>
      <c r="W1204" s="61"/>
      <c r="X1204" s="62"/>
      <c r="Y1204" s="62"/>
      <c r="Z1204" s="68"/>
      <c r="AA1204" s="86"/>
      <c r="AB1204" s="60"/>
      <c r="AC1204" s="60"/>
      <c r="AD1204" s="60"/>
      <c r="AE1204" s="60"/>
      <c r="AF1204" s="62"/>
      <c r="AG1204" s="62"/>
      <c r="AH1204" s="62"/>
      <c r="AI1204" s="61"/>
      <c r="AJ1204" s="62"/>
      <c r="AK1204" s="62"/>
      <c r="AL1204" s="62"/>
      <c r="AM1204" s="62"/>
      <c r="AN1204" s="62"/>
      <c r="AO1204" s="62"/>
      <c r="AP1204" s="62"/>
      <c r="AQ1204" s="62"/>
      <c r="AR1204" s="62"/>
      <c r="AS1204" s="62"/>
      <c r="AT1204" s="62"/>
      <c r="AU1204" s="62"/>
      <c r="AV1204" s="62"/>
      <c r="AW1204" s="62"/>
      <c r="AX1204" s="62"/>
      <c r="AY1204" s="62"/>
      <c r="AZ1204" s="62"/>
    </row>
    <row r="1205" spans="1:52" x14ac:dyDescent="0.25">
      <c r="A1205" s="62"/>
      <c r="B1205" s="68"/>
      <c r="C1205" s="86"/>
      <c r="D1205" s="60"/>
      <c r="E1205" s="60"/>
      <c r="F1205" s="60"/>
      <c r="G1205" s="60"/>
      <c r="H1205" s="62"/>
      <c r="I1205" s="62"/>
      <c r="J1205" s="62"/>
      <c r="K1205" s="61"/>
      <c r="L1205" s="62"/>
      <c r="M1205" s="62"/>
      <c r="N1205" s="68"/>
      <c r="O1205" s="86"/>
      <c r="P1205" s="71"/>
      <c r="Q1205" s="86"/>
      <c r="R1205" s="86"/>
      <c r="S1205" s="60"/>
      <c r="T1205" s="62"/>
      <c r="U1205" s="62"/>
      <c r="V1205" s="62"/>
      <c r="W1205" s="61"/>
      <c r="X1205" s="62"/>
      <c r="Y1205" s="62"/>
      <c r="Z1205" s="68"/>
      <c r="AA1205" s="86"/>
      <c r="AB1205" s="60"/>
      <c r="AC1205" s="60"/>
      <c r="AD1205" s="60"/>
      <c r="AE1205" s="60"/>
      <c r="AF1205" s="62"/>
      <c r="AG1205" s="62"/>
      <c r="AH1205" s="62"/>
      <c r="AI1205" s="61"/>
      <c r="AJ1205" s="62"/>
      <c r="AK1205" s="62"/>
      <c r="AL1205" s="62"/>
      <c r="AM1205" s="62"/>
      <c r="AN1205" s="62"/>
      <c r="AO1205" s="62"/>
      <c r="AP1205" s="62"/>
      <c r="AQ1205" s="62"/>
      <c r="AR1205" s="62"/>
      <c r="AS1205" s="62"/>
      <c r="AT1205" s="62"/>
      <c r="AU1205" s="62"/>
      <c r="AV1205" s="62"/>
      <c r="AW1205" s="62"/>
      <c r="AX1205" s="62"/>
      <c r="AY1205" s="62"/>
      <c r="AZ1205" s="62"/>
    </row>
    <row r="1206" spans="1:52" x14ac:dyDescent="0.25">
      <c r="A1206" s="62"/>
      <c r="B1206" s="68"/>
      <c r="C1206" s="86"/>
      <c r="D1206" s="60"/>
      <c r="E1206" s="60"/>
      <c r="F1206" s="60"/>
      <c r="G1206" s="60"/>
      <c r="H1206" s="62"/>
      <c r="I1206" s="62"/>
      <c r="J1206" s="62"/>
      <c r="K1206" s="61"/>
      <c r="L1206" s="62"/>
      <c r="M1206" s="62"/>
      <c r="N1206" s="68"/>
      <c r="O1206" s="86"/>
      <c r="P1206" s="71"/>
      <c r="Q1206" s="86"/>
      <c r="R1206" s="86"/>
      <c r="S1206" s="60"/>
      <c r="T1206" s="62"/>
      <c r="U1206" s="62"/>
      <c r="V1206" s="62"/>
      <c r="W1206" s="61"/>
      <c r="X1206" s="62"/>
      <c r="Y1206" s="62"/>
      <c r="Z1206" s="68"/>
      <c r="AA1206" s="86"/>
      <c r="AB1206" s="60"/>
      <c r="AC1206" s="60"/>
      <c r="AD1206" s="60"/>
      <c r="AE1206" s="60"/>
      <c r="AF1206" s="62"/>
      <c r="AG1206" s="62"/>
      <c r="AH1206" s="62"/>
      <c r="AI1206" s="61"/>
      <c r="AJ1206" s="62"/>
      <c r="AK1206" s="62"/>
      <c r="AL1206" s="62"/>
      <c r="AM1206" s="62"/>
      <c r="AN1206" s="62"/>
      <c r="AO1206" s="62"/>
      <c r="AP1206" s="62"/>
      <c r="AQ1206" s="62"/>
      <c r="AR1206" s="62"/>
      <c r="AS1206" s="62"/>
      <c r="AT1206" s="62"/>
      <c r="AU1206" s="62"/>
      <c r="AV1206" s="62"/>
      <c r="AW1206" s="62"/>
      <c r="AX1206" s="62"/>
      <c r="AY1206" s="62"/>
      <c r="AZ1206" s="62"/>
    </row>
    <row r="1207" spans="1:52" x14ac:dyDescent="0.25">
      <c r="A1207" s="62"/>
      <c r="B1207" s="68"/>
      <c r="C1207" s="86"/>
      <c r="D1207" s="60"/>
      <c r="E1207" s="60"/>
      <c r="F1207" s="60"/>
      <c r="G1207" s="60"/>
      <c r="H1207" s="62"/>
      <c r="I1207" s="62"/>
      <c r="J1207" s="62"/>
      <c r="K1207" s="61"/>
      <c r="L1207" s="62"/>
      <c r="M1207" s="62"/>
      <c r="N1207" s="68"/>
      <c r="O1207" s="62"/>
      <c r="P1207" s="71"/>
      <c r="Q1207" s="86"/>
      <c r="R1207" s="86"/>
      <c r="S1207" s="60"/>
      <c r="T1207" s="62"/>
      <c r="U1207" s="62"/>
      <c r="V1207" s="62"/>
      <c r="W1207" s="61"/>
      <c r="X1207" s="62"/>
      <c r="Y1207" s="62"/>
      <c r="Z1207" s="68"/>
      <c r="AA1207" s="86"/>
      <c r="AB1207" s="60"/>
      <c r="AC1207" s="60"/>
      <c r="AD1207" s="60"/>
      <c r="AE1207" s="60"/>
      <c r="AF1207" s="62"/>
      <c r="AG1207" s="62"/>
      <c r="AH1207" s="62"/>
      <c r="AI1207" s="61"/>
      <c r="AJ1207" s="62"/>
      <c r="AK1207" s="62"/>
      <c r="AL1207" s="62"/>
      <c r="AM1207" s="62"/>
      <c r="AN1207" s="62"/>
      <c r="AO1207" s="62"/>
      <c r="AP1207" s="62"/>
      <c r="AQ1207" s="62"/>
      <c r="AR1207" s="62"/>
      <c r="AS1207" s="62"/>
      <c r="AT1207" s="62"/>
      <c r="AU1207" s="62"/>
      <c r="AV1207" s="62"/>
      <c r="AW1207" s="62"/>
      <c r="AX1207" s="62"/>
      <c r="AY1207" s="62"/>
      <c r="AZ1207" s="62"/>
    </row>
    <row r="1208" spans="1:52" x14ac:dyDescent="0.25">
      <c r="A1208" s="62"/>
      <c r="B1208" s="68"/>
      <c r="C1208" s="86"/>
      <c r="D1208" s="60"/>
      <c r="E1208" s="60"/>
      <c r="F1208" s="60"/>
      <c r="G1208" s="60"/>
      <c r="H1208" s="62"/>
      <c r="I1208" s="62"/>
      <c r="J1208" s="62"/>
      <c r="K1208" s="61"/>
      <c r="L1208" s="62"/>
      <c r="M1208" s="62"/>
      <c r="N1208" s="68"/>
      <c r="O1208" s="86"/>
      <c r="P1208" s="71"/>
      <c r="Q1208" s="86"/>
      <c r="R1208" s="86"/>
      <c r="S1208" s="60"/>
      <c r="T1208" s="62"/>
      <c r="U1208" s="62"/>
      <c r="V1208" s="62"/>
      <c r="W1208" s="61"/>
      <c r="X1208" s="62"/>
      <c r="Y1208" s="62"/>
      <c r="Z1208" s="68"/>
      <c r="AA1208" s="86"/>
      <c r="AB1208" s="60"/>
      <c r="AC1208" s="60"/>
      <c r="AD1208" s="60"/>
      <c r="AE1208" s="60"/>
      <c r="AF1208" s="62"/>
      <c r="AG1208" s="62"/>
      <c r="AH1208" s="62"/>
      <c r="AI1208" s="61"/>
      <c r="AJ1208" s="62"/>
      <c r="AK1208" s="62"/>
      <c r="AL1208" s="62"/>
      <c r="AM1208" s="62"/>
      <c r="AN1208" s="62"/>
      <c r="AO1208" s="62"/>
      <c r="AP1208" s="62"/>
      <c r="AQ1208" s="62"/>
      <c r="AR1208" s="62"/>
      <c r="AS1208" s="62"/>
      <c r="AT1208" s="62"/>
      <c r="AU1208" s="62"/>
      <c r="AV1208" s="62"/>
      <c r="AW1208" s="62"/>
      <c r="AX1208" s="62"/>
      <c r="AY1208" s="62"/>
      <c r="AZ1208" s="62"/>
    </row>
    <row r="1209" spans="1:52" x14ac:dyDescent="0.25">
      <c r="A1209" s="62"/>
      <c r="B1209" s="68"/>
      <c r="C1209" s="68"/>
      <c r="D1209" s="60"/>
      <c r="E1209" s="60"/>
      <c r="F1209" s="60"/>
      <c r="G1209" s="60"/>
      <c r="H1209" s="62"/>
      <c r="I1209" s="62"/>
      <c r="J1209" s="62"/>
      <c r="K1209" s="61"/>
      <c r="L1209" s="62"/>
      <c r="M1209" s="62"/>
      <c r="N1209" s="86"/>
      <c r="O1209" s="86"/>
      <c r="P1209" s="86"/>
      <c r="Q1209" s="86"/>
      <c r="R1209" s="86"/>
      <c r="S1209" s="86"/>
      <c r="T1209" s="62"/>
      <c r="U1209" s="62"/>
      <c r="V1209" s="62"/>
      <c r="W1209" s="61"/>
      <c r="X1209" s="62"/>
      <c r="Y1209" s="62"/>
      <c r="Z1209" s="68"/>
      <c r="AA1209" s="68"/>
      <c r="AB1209" s="60"/>
      <c r="AC1209" s="60"/>
      <c r="AD1209" s="60"/>
      <c r="AE1209" s="60"/>
      <c r="AF1209" s="62"/>
      <c r="AG1209" s="62"/>
      <c r="AH1209" s="62"/>
      <c r="AI1209" s="61"/>
      <c r="AJ1209" s="62"/>
      <c r="AK1209" s="62"/>
      <c r="AL1209" s="62"/>
      <c r="AM1209" s="62"/>
      <c r="AN1209" s="62"/>
      <c r="AO1209" s="62"/>
      <c r="AP1209" s="62"/>
      <c r="AQ1209" s="62"/>
      <c r="AR1209" s="62"/>
      <c r="AS1209" s="62"/>
      <c r="AT1209" s="62"/>
      <c r="AU1209" s="62"/>
      <c r="AV1209" s="62"/>
      <c r="AW1209" s="62"/>
      <c r="AX1209" s="62"/>
      <c r="AY1209" s="62"/>
      <c r="AZ1209" s="62"/>
    </row>
    <row r="1210" spans="1:52" x14ac:dyDescent="0.25">
      <c r="A1210" s="62"/>
      <c r="B1210" s="86"/>
      <c r="C1210" s="86"/>
      <c r="D1210" s="86"/>
      <c r="E1210" s="86"/>
      <c r="F1210" s="86"/>
      <c r="G1210" s="86"/>
      <c r="H1210" s="62"/>
      <c r="I1210" s="62"/>
      <c r="J1210" s="62"/>
      <c r="K1210" s="62"/>
      <c r="L1210" s="62"/>
      <c r="M1210" s="62"/>
      <c r="N1210" s="86"/>
      <c r="O1210" s="86"/>
      <c r="P1210" s="86"/>
      <c r="Q1210" s="86"/>
      <c r="R1210" s="86"/>
      <c r="S1210" s="86"/>
      <c r="T1210" s="62"/>
      <c r="U1210" s="62"/>
      <c r="V1210" s="62"/>
      <c r="W1210" s="62"/>
      <c r="X1210" s="62"/>
      <c r="Y1210" s="62"/>
      <c r="Z1210" s="86"/>
      <c r="AA1210" s="86"/>
      <c r="AB1210" s="86"/>
      <c r="AC1210" s="86"/>
      <c r="AD1210" s="86"/>
      <c r="AE1210" s="86"/>
      <c r="AF1210" s="62"/>
      <c r="AG1210" s="62"/>
      <c r="AH1210" s="62"/>
      <c r="AI1210" s="62"/>
      <c r="AJ1210" s="62"/>
      <c r="AK1210" s="62"/>
      <c r="AL1210" s="62"/>
      <c r="AM1210" s="62"/>
      <c r="AN1210" s="62"/>
      <c r="AO1210" s="62"/>
      <c r="AP1210" s="62"/>
      <c r="AQ1210" s="62"/>
      <c r="AR1210" s="62"/>
      <c r="AS1210" s="62"/>
      <c r="AT1210" s="62"/>
      <c r="AU1210" s="62"/>
      <c r="AV1210" s="62"/>
      <c r="AW1210" s="62"/>
      <c r="AX1210" s="62"/>
      <c r="AY1210" s="62"/>
      <c r="AZ1210" s="62"/>
    </row>
    <row r="1211" spans="1:52" x14ac:dyDescent="0.25">
      <c r="A1211" s="62"/>
      <c r="B1211" s="86"/>
      <c r="C1211" s="86"/>
      <c r="D1211" s="72"/>
      <c r="E1211" s="72"/>
      <c r="F1211" s="72"/>
      <c r="G1211" s="72"/>
      <c r="H1211" s="64"/>
      <c r="I1211" s="72"/>
      <c r="J1211" s="72"/>
      <c r="K1211" s="72"/>
      <c r="L1211" s="62"/>
      <c r="M1211" s="62"/>
      <c r="N1211" s="86"/>
      <c r="O1211" s="86"/>
      <c r="P1211" s="72"/>
      <c r="Q1211" s="72"/>
      <c r="R1211" s="72"/>
      <c r="S1211" s="72"/>
      <c r="T1211" s="64"/>
      <c r="U1211" s="73"/>
      <c r="V1211" s="73"/>
      <c r="W1211" s="73"/>
      <c r="X1211" s="62"/>
      <c r="Y1211" s="62"/>
      <c r="Z1211" s="86"/>
      <c r="AA1211" s="86"/>
      <c r="AB1211" s="72"/>
      <c r="AC1211" s="72"/>
      <c r="AD1211" s="72"/>
      <c r="AE1211" s="72"/>
      <c r="AF1211" s="64"/>
      <c r="AG1211" s="72"/>
      <c r="AH1211" s="72"/>
      <c r="AI1211" s="72"/>
      <c r="AJ1211" s="62"/>
      <c r="AK1211" s="62"/>
      <c r="AL1211" s="62"/>
      <c r="AM1211" s="62"/>
      <c r="AN1211" s="62"/>
      <c r="AO1211" s="62"/>
      <c r="AP1211" s="62"/>
      <c r="AQ1211" s="62"/>
      <c r="AR1211" s="62"/>
      <c r="AS1211" s="62"/>
      <c r="AT1211" s="62"/>
      <c r="AU1211" s="62"/>
      <c r="AV1211" s="62"/>
      <c r="AW1211" s="62"/>
      <c r="AX1211" s="62"/>
      <c r="AY1211" s="62"/>
      <c r="AZ1211" s="62"/>
    </row>
    <row r="1212" spans="1:52" x14ac:dyDescent="0.25">
      <c r="A1212" s="62"/>
      <c r="B1212" s="62"/>
      <c r="C1212" s="62"/>
      <c r="D1212" s="62"/>
      <c r="E1212" s="62"/>
      <c r="F1212" s="62"/>
      <c r="G1212" s="62"/>
      <c r="H1212" s="62"/>
      <c r="I1212" s="62"/>
      <c r="J1212" s="62"/>
      <c r="K1212" s="62"/>
      <c r="L1212" s="62"/>
      <c r="M1212" s="62"/>
      <c r="N1212" s="62"/>
      <c r="O1212" s="62"/>
      <c r="P1212" s="62"/>
      <c r="Q1212" s="62"/>
      <c r="R1212" s="62"/>
      <c r="S1212" s="62"/>
      <c r="T1212" s="62"/>
      <c r="U1212" s="62"/>
      <c r="V1212" s="62"/>
      <c r="W1212" s="62"/>
      <c r="X1212" s="62"/>
      <c r="Y1212" s="62"/>
      <c r="Z1212" s="62"/>
      <c r="AA1212" s="62"/>
      <c r="AB1212" s="62"/>
      <c r="AC1212" s="62"/>
      <c r="AD1212" s="62"/>
      <c r="AE1212" s="62"/>
      <c r="AF1212" s="62"/>
      <c r="AG1212" s="62"/>
      <c r="AH1212" s="62"/>
      <c r="AI1212" s="62"/>
      <c r="AJ1212" s="62"/>
      <c r="AK1212" s="62"/>
      <c r="AL1212" s="62"/>
      <c r="AM1212" s="62"/>
      <c r="AN1212" s="62"/>
      <c r="AO1212" s="62"/>
      <c r="AP1212" s="62"/>
      <c r="AQ1212" s="62"/>
      <c r="AR1212" s="62"/>
      <c r="AS1212" s="62"/>
      <c r="AT1212" s="62"/>
      <c r="AU1212" s="62"/>
      <c r="AV1212" s="62"/>
      <c r="AW1212" s="62"/>
      <c r="AX1212" s="62"/>
      <c r="AY1212" s="62"/>
      <c r="AZ1212" s="62"/>
    </row>
    <row r="1213" spans="1:52" x14ac:dyDescent="0.25">
      <c r="A1213" s="62"/>
      <c r="B1213" s="86"/>
      <c r="C1213" s="86"/>
      <c r="D1213" s="86"/>
      <c r="E1213" s="86"/>
      <c r="F1213" s="86"/>
      <c r="G1213" s="86"/>
      <c r="H1213" s="62"/>
      <c r="I1213" s="62"/>
      <c r="J1213" s="62"/>
      <c r="K1213" s="62"/>
      <c r="L1213" s="62"/>
      <c r="M1213" s="62"/>
      <c r="N1213" s="86"/>
      <c r="O1213" s="86"/>
      <c r="P1213" s="86"/>
      <c r="Q1213" s="86"/>
      <c r="R1213" s="86"/>
      <c r="S1213" s="86"/>
      <c r="T1213" s="62"/>
      <c r="U1213" s="62"/>
      <c r="V1213" s="62"/>
      <c r="W1213" s="62"/>
      <c r="X1213" s="62"/>
      <c r="Y1213" s="62"/>
      <c r="Z1213" s="86"/>
      <c r="AA1213" s="86"/>
      <c r="AB1213" s="86"/>
      <c r="AC1213" s="86"/>
      <c r="AD1213" s="86"/>
      <c r="AE1213" s="86"/>
      <c r="AF1213" s="62"/>
      <c r="AG1213" s="62"/>
      <c r="AH1213" s="62"/>
      <c r="AI1213" s="62"/>
      <c r="AJ1213" s="62"/>
      <c r="AK1213" s="62"/>
      <c r="AL1213" s="62"/>
      <c r="AM1213" s="62"/>
      <c r="AN1213" s="62"/>
      <c r="AO1213" s="62"/>
      <c r="AP1213" s="62"/>
      <c r="AQ1213" s="62"/>
      <c r="AR1213" s="62"/>
      <c r="AS1213" s="62"/>
      <c r="AT1213" s="62"/>
      <c r="AU1213" s="62"/>
      <c r="AV1213" s="62"/>
      <c r="AW1213" s="62"/>
      <c r="AX1213" s="62"/>
      <c r="AY1213" s="62"/>
      <c r="AZ1213" s="62"/>
    </row>
    <row r="1214" spans="1:52" x14ac:dyDescent="0.25">
      <c r="A1214" s="62"/>
      <c r="B1214" s="86"/>
      <c r="C1214" s="86"/>
      <c r="D1214" s="86"/>
      <c r="E1214" s="86"/>
      <c r="F1214" s="86"/>
      <c r="G1214" s="86"/>
      <c r="H1214" s="62"/>
      <c r="I1214" s="62"/>
      <c r="J1214" s="62"/>
      <c r="K1214" s="62"/>
      <c r="L1214" s="62"/>
      <c r="M1214" s="62"/>
      <c r="N1214" s="86"/>
      <c r="O1214" s="86"/>
      <c r="P1214" s="86"/>
      <c r="Q1214" s="86"/>
      <c r="R1214" s="86"/>
      <c r="S1214" s="86"/>
      <c r="T1214" s="62"/>
      <c r="U1214" s="62"/>
      <c r="V1214" s="62"/>
      <c r="W1214" s="62"/>
      <c r="X1214" s="62"/>
      <c r="Y1214" s="62"/>
      <c r="Z1214" s="86"/>
      <c r="AA1214" s="86"/>
      <c r="AB1214" s="86"/>
      <c r="AC1214" s="86"/>
      <c r="AD1214" s="86"/>
      <c r="AE1214" s="86"/>
      <c r="AF1214" s="62"/>
      <c r="AG1214" s="62"/>
      <c r="AH1214" s="62"/>
      <c r="AI1214" s="62"/>
      <c r="AJ1214" s="62"/>
      <c r="AK1214" s="62"/>
      <c r="AL1214" s="62"/>
      <c r="AM1214" s="62"/>
      <c r="AN1214" s="62"/>
      <c r="AO1214" s="62"/>
      <c r="AP1214" s="62"/>
      <c r="AQ1214" s="62"/>
      <c r="AR1214" s="62"/>
      <c r="AS1214" s="62"/>
      <c r="AT1214" s="62"/>
      <c r="AU1214" s="62"/>
      <c r="AV1214" s="62"/>
      <c r="AW1214" s="62"/>
      <c r="AX1214" s="62"/>
      <c r="AY1214" s="62"/>
      <c r="AZ1214" s="62"/>
    </row>
    <row r="1215" spans="1:52" x14ac:dyDescent="0.25">
      <c r="A1215" s="62"/>
      <c r="B1215" s="86"/>
      <c r="C1215" s="86"/>
      <c r="D1215" s="86"/>
      <c r="E1215" s="86"/>
      <c r="F1215" s="86"/>
      <c r="G1215" s="86"/>
      <c r="H1215" s="62"/>
      <c r="I1215" s="62"/>
      <c r="J1215" s="62"/>
      <c r="K1215" s="62"/>
      <c r="L1215" s="62"/>
      <c r="M1215" s="62"/>
      <c r="N1215" s="86"/>
      <c r="O1215" s="86"/>
      <c r="P1215" s="86"/>
      <c r="Q1215" s="86"/>
      <c r="R1215" s="86"/>
      <c r="S1215" s="86"/>
      <c r="T1215" s="62"/>
      <c r="U1215" s="62"/>
      <c r="V1215" s="62"/>
      <c r="W1215" s="62"/>
      <c r="X1215" s="62"/>
      <c r="Y1215" s="62"/>
      <c r="Z1215" s="86"/>
      <c r="AA1215" s="86"/>
      <c r="AB1215" s="86"/>
      <c r="AC1215" s="86"/>
      <c r="AD1215" s="86"/>
      <c r="AE1215" s="86"/>
      <c r="AF1215" s="62"/>
      <c r="AG1215" s="62"/>
      <c r="AH1215" s="62"/>
      <c r="AI1215" s="62"/>
      <c r="AJ1215" s="62"/>
      <c r="AK1215" s="62"/>
      <c r="AL1215" s="62"/>
      <c r="AM1215" s="62"/>
      <c r="AN1215" s="62"/>
      <c r="AO1215" s="62"/>
      <c r="AP1215" s="62"/>
      <c r="AQ1215" s="62"/>
      <c r="AR1215" s="62"/>
      <c r="AS1215" s="62"/>
      <c r="AT1215" s="62"/>
      <c r="AU1215" s="62"/>
      <c r="AV1215" s="62"/>
      <c r="AW1215" s="62"/>
      <c r="AX1215" s="62"/>
      <c r="AY1215" s="62"/>
      <c r="AZ1215" s="62"/>
    </row>
    <row r="1216" spans="1:52" x14ac:dyDescent="0.25">
      <c r="A1216" s="64"/>
      <c r="B1216" s="86"/>
      <c r="C1216" s="86"/>
      <c r="D1216" s="86"/>
      <c r="E1216" s="86"/>
      <c r="F1216" s="86"/>
      <c r="G1216" s="86"/>
      <c r="H1216" s="62"/>
      <c r="I1216" s="62"/>
      <c r="J1216" s="62"/>
      <c r="K1216" s="62"/>
      <c r="L1216" s="62"/>
      <c r="M1216" s="64"/>
      <c r="N1216" s="86"/>
      <c r="O1216" s="86"/>
      <c r="P1216" s="86"/>
      <c r="Q1216" s="86"/>
      <c r="R1216" s="86"/>
      <c r="S1216" s="86"/>
      <c r="T1216" s="62"/>
      <c r="U1216" s="62"/>
      <c r="V1216" s="62"/>
      <c r="W1216" s="62"/>
      <c r="X1216" s="62"/>
      <c r="Y1216" s="64"/>
      <c r="Z1216" s="86"/>
      <c r="AA1216" s="86"/>
      <c r="AB1216" s="86"/>
      <c r="AC1216" s="86"/>
      <c r="AD1216" s="86"/>
      <c r="AE1216" s="86"/>
      <c r="AF1216" s="62"/>
      <c r="AG1216" s="62"/>
      <c r="AH1216" s="62"/>
      <c r="AI1216" s="62"/>
      <c r="AJ1216" s="62"/>
      <c r="AK1216" s="62"/>
      <c r="AL1216" s="62"/>
      <c r="AM1216" s="62"/>
      <c r="AN1216" s="62"/>
      <c r="AO1216" s="62"/>
      <c r="AP1216" s="62"/>
      <c r="AQ1216" s="62"/>
      <c r="AR1216" s="62"/>
      <c r="AS1216" s="62"/>
      <c r="AT1216" s="62"/>
      <c r="AU1216" s="62"/>
      <c r="AV1216" s="62"/>
      <c r="AW1216" s="62"/>
      <c r="AX1216" s="62"/>
      <c r="AY1216" s="62"/>
      <c r="AZ1216" s="62"/>
    </row>
    <row r="1217" spans="1:52" x14ac:dyDescent="0.25">
      <c r="A1217" s="62"/>
      <c r="B1217" s="86"/>
      <c r="C1217" s="86"/>
      <c r="D1217" s="86"/>
      <c r="E1217" s="86"/>
      <c r="F1217" s="86"/>
      <c r="G1217" s="86"/>
      <c r="H1217" s="62"/>
      <c r="I1217" s="62"/>
      <c r="J1217" s="62"/>
      <c r="K1217" s="62"/>
      <c r="L1217" s="62"/>
      <c r="M1217" s="62"/>
      <c r="N1217" s="86"/>
      <c r="O1217" s="86"/>
      <c r="P1217" s="86"/>
      <c r="Q1217" s="86"/>
      <c r="R1217" s="86"/>
      <c r="S1217" s="86"/>
      <c r="T1217" s="62"/>
      <c r="U1217" s="62"/>
      <c r="V1217" s="62"/>
      <c r="W1217" s="62"/>
      <c r="X1217" s="62"/>
      <c r="Y1217" s="62"/>
      <c r="Z1217" s="86"/>
      <c r="AA1217" s="86"/>
      <c r="AB1217" s="86"/>
      <c r="AC1217" s="86"/>
      <c r="AD1217" s="86"/>
      <c r="AE1217" s="86"/>
      <c r="AF1217" s="62"/>
      <c r="AG1217" s="62"/>
      <c r="AH1217" s="62"/>
      <c r="AI1217" s="62"/>
      <c r="AJ1217" s="62"/>
      <c r="AK1217" s="62"/>
      <c r="AL1217" s="62"/>
      <c r="AM1217" s="62"/>
      <c r="AN1217" s="62"/>
      <c r="AO1217" s="62"/>
      <c r="AP1217" s="62"/>
      <c r="AQ1217" s="62"/>
      <c r="AR1217" s="62"/>
      <c r="AS1217" s="62"/>
      <c r="AT1217" s="62"/>
      <c r="AU1217" s="62"/>
      <c r="AV1217" s="62"/>
      <c r="AW1217" s="62"/>
      <c r="AX1217" s="62"/>
      <c r="AY1217" s="62"/>
      <c r="AZ1217" s="62"/>
    </row>
    <row r="1218" spans="1:52" ht="15.75" x14ac:dyDescent="0.25">
      <c r="A1218" s="62"/>
      <c r="B1218" s="86"/>
      <c r="C1218" s="86"/>
      <c r="D1218" s="86"/>
      <c r="E1218" s="86"/>
      <c r="F1218" s="86"/>
      <c r="G1218" s="86"/>
      <c r="H1218" s="62"/>
      <c r="I1218" s="86"/>
      <c r="J1218" s="77"/>
      <c r="K1218" s="62"/>
      <c r="L1218" s="62"/>
      <c r="M1218" s="62"/>
      <c r="N1218" s="86"/>
      <c r="O1218" s="86"/>
      <c r="P1218" s="86"/>
      <c r="Q1218" s="86"/>
      <c r="R1218" s="86"/>
      <c r="S1218" s="86"/>
      <c r="T1218" s="62"/>
      <c r="U1218" s="86"/>
      <c r="V1218" s="77"/>
      <c r="W1218" s="62"/>
      <c r="X1218" s="62"/>
      <c r="Y1218" s="62"/>
      <c r="Z1218" s="86"/>
      <c r="AA1218" s="86"/>
      <c r="AB1218" s="86"/>
      <c r="AC1218" s="86"/>
      <c r="AD1218" s="86"/>
      <c r="AE1218" s="86"/>
      <c r="AF1218" s="62"/>
      <c r="AG1218" s="86"/>
      <c r="AH1218" s="86"/>
      <c r="AI1218" s="62"/>
      <c r="AJ1218" s="62"/>
      <c r="AK1218" s="62"/>
      <c r="AL1218" s="62"/>
      <c r="AM1218" s="62"/>
      <c r="AN1218" s="62"/>
      <c r="AO1218" s="62"/>
      <c r="AP1218" s="62"/>
      <c r="AQ1218" s="62"/>
      <c r="AR1218" s="62"/>
      <c r="AS1218" s="62"/>
      <c r="AT1218" s="62"/>
      <c r="AU1218" s="62"/>
      <c r="AV1218" s="62"/>
      <c r="AW1218" s="62"/>
      <c r="AX1218" s="62"/>
      <c r="AY1218" s="62"/>
      <c r="AZ1218" s="62"/>
    </row>
    <row r="1219" spans="1:52" x14ac:dyDescent="0.25">
      <c r="A1219" s="65"/>
      <c r="B1219" s="86"/>
      <c r="C1219" s="86"/>
      <c r="D1219" s="86"/>
      <c r="E1219" s="86"/>
      <c r="F1219" s="86"/>
      <c r="G1219" s="86"/>
      <c r="H1219" s="62"/>
      <c r="I1219" s="66"/>
      <c r="J1219" s="66"/>
      <c r="K1219" s="62"/>
      <c r="L1219" s="62"/>
      <c r="M1219" s="65"/>
      <c r="N1219" s="86"/>
      <c r="O1219" s="86"/>
      <c r="P1219" s="86"/>
      <c r="Q1219" s="86"/>
      <c r="R1219" s="86"/>
      <c r="S1219" s="86"/>
      <c r="T1219" s="62"/>
      <c r="U1219" s="66"/>
      <c r="V1219" s="66"/>
      <c r="W1219" s="62"/>
      <c r="X1219" s="62"/>
      <c r="Y1219" s="65"/>
      <c r="Z1219" s="86"/>
      <c r="AA1219" s="86"/>
      <c r="AB1219" s="86"/>
      <c r="AC1219" s="86"/>
      <c r="AD1219" s="86"/>
      <c r="AE1219" s="86"/>
      <c r="AF1219" s="62"/>
      <c r="AG1219" s="66"/>
      <c r="AH1219" s="66"/>
      <c r="AI1219" s="62"/>
      <c r="AJ1219" s="62"/>
      <c r="AK1219" s="62"/>
      <c r="AL1219" s="62"/>
      <c r="AM1219" s="62"/>
      <c r="AN1219" s="62"/>
      <c r="AO1219" s="62"/>
      <c r="AP1219" s="62"/>
      <c r="AQ1219" s="62"/>
      <c r="AR1219" s="62"/>
      <c r="AS1219" s="62"/>
      <c r="AT1219" s="62"/>
      <c r="AU1219" s="62"/>
      <c r="AV1219" s="62"/>
      <c r="AW1219" s="62"/>
      <c r="AX1219" s="62"/>
      <c r="AY1219" s="62"/>
      <c r="AZ1219" s="62"/>
    </row>
    <row r="1220" spans="1:52" x14ac:dyDescent="0.25">
      <c r="A1220" s="62"/>
      <c r="B1220" s="86"/>
      <c r="C1220" s="86"/>
      <c r="D1220" s="86"/>
      <c r="E1220" s="86"/>
      <c r="F1220" s="86"/>
      <c r="G1220" s="86"/>
      <c r="H1220" s="62"/>
      <c r="I1220" s="62"/>
      <c r="J1220" s="62"/>
      <c r="K1220" s="62"/>
      <c r="L1220" s="62"/>
      <c r="M1220" s="62"/>
      <c r="N1220" s="86"/>
      <c r="O1220" s="86"/>
      <c r="P1220" s="86"/>
      <c r="Q1220" s="86"/>
      <c r="R1220" s="86"/>
      <c r="S1220" s="86"/>
      <c r="T1220" s="62"/>
      <c r="U1220" s="62"/>
      <c r="V1220" s="62"/>
      <c r="W1220" s="62"/>
      <c r="X1220" s="62"/>
      <c r="Y1220" s="62"/>
      <c r="Z1220" s="86"/>
      <c r="AA1220" s="86"/>
      <c r="AB1220" s="86"/>
      <c r="AC1220" s="86"/>
      <c r="AD1220" s="86"/>
      <c r="AE1220" s="86"/>
      <c r="AF1220" s="62"/>
      <c r="AG1220" s="62"/>
      <c r="AH1220" s="62"/>
      <c r="AI1220" s="62"/>
      <c r="AJ1220" s="62"/>
      <c r="AK1220" s="62"/>
      <c r="AL1220" s="62"/>
      <c r="AM1220" s="62"/>
      <c r="AN1220" s="62"/>
      <c r="AO1220" s="62"/>
      <c r="AP1220" s="62"/>
      <c r="AQ1220" s="62"/>
      <c r="AR1220" s="62"/>
      <c r="AS1220" s="62"/>
      <c r="AT1220" s="62"/>
      <c r="AU1220" s="62"/>
      <c r="AV1220" s="62"/>
      <c r="AW1220" s="62"/>
      <c r="AX1220" s="62"/>
      <c r="AY1220" s="62"/>
      <c r="AZ1220" s="62"/>
    </row>
    <row r="1221" spans="1:52" x14ac:dyDescent="0.25">
      <c r="A1221" s="62"/>
      <c r="B1221" s="66"/>
      <c r="C1221" s="86"/>
      <c r="D1221" s="116"/>
      <c r="E1221" s="116"/>
      <c r="F1221" s="86"/>
      <c r="G1221" s="86"/>
      <c r="H1221" s="62"/>
      <c r="I1221" s="116"/>
      <c r="J1221" s="116"/>
      <c r="K1221" s="115"/>
      <c r="L1221" s="62"/>
      <c r="M1221" s="62"/>
      <c r="N1221" s="66"/>
      <c r="O1221" s="86"/>
      <c r="P1221" s="116"/>
      <c r="Q1221" s="116"/>
      <c r="R1221" s="86"/>
      <c r="S1221" s="86"/>
      <c r="T1221" s="62"/>
      <c r="U1221" s="116"/>
      <c r="V1221" s="116"/>
      <c r="W1221" s="115"/>
      <c r="X1221" s="62"/>
      <c r="Y1221" s="62"/>
      <c r="Z1221" s="66"/>
      <c r="AA1221" s="86"/>
      <c r="AB1221" s="116"/>
      <c r="AC1221" s="116"/>
      <c r="AD1221" s="86"/>
      <c r="AE1221" s="86"/>
      <c r="AF1221" s="62"/>
      <c r="AG1221" s="116"/>
      <c r="AH1221" s="116"/>
      <c r="AI1221" s="115"/>
      <c r="AJ1221" s="62"/>
      <c r="AK1221" s="62"/>
      <c r="AL1221" s="62"/>
      <c r="AM1221" s="62"/>
      <c r="AN1221" s="62"/>
      <c r="AO1221" s="62"/>
      <c r="AP1221" s="62"/>
      <c r="AQ1221" s="62"/>
      <c r="AR1221" s="62"/>
      <c r="AS1221" s="62"/>
      <c r="AT1221" s="62"/>
      <c r="AU1221" s="62"/>
      <c r="AV1221" s="62"/>
      <c r="AW1221" s="62"/>
      <c r="AX1221" s="62"/>
      <c r="AY1221" s="62"/>
      <c r="AZ1221" s="62"/>
    </row>
    <row r="1222" spans="1:52" x14ac:dyDescent="0.25">
      <c r="A1222" s="62"/>
      <c r="B1222" s="86"/>
      <c r="C1222" s="86"/>
      <c r="D1222" s="87"/>
      <c r="E1222" s="88"/>
      <c r="F1222" s="89"/>
      <c r="G1222" s="89"/>
      <c r="H1222" s="62"/>
      <c r="I1222" s="85"/>
      <c r="J1222" s="85"/>
      <c r="K1222" s="115"/>
      <c r="L1222" s="62"/>
      <c r="M1222" s="62"/>
      <c r="N1222" s="86"/>
      <c r="O1222" s="86"/>
      <c r="P1222" s="87"/>
      <c r="Q1222" s="89"/>
      <c r="R1222" s="89"/>
      <c r="S1222" s="89"/>
      <c r="T1222" s="62"/>
      <c r="U1222" s="85"/>
      <c r="V1222" s="85"/>
      <c r="W1222" s="115"/>
      <c r="X1222" s="62"/>
      <c r="Y1222" s="62"/>
      <c r="Z1222" s="86"/>
      <c r="AA1222" s="86"/>
      <c r="AB1222" s="87"/>
      <c r="AC1222" s="88"/>
      <c r="AD1222" s="89"/>
      <c r="AE1222" s="89"/>
      <c r="AF1222" s="62"/>
      <c r="AG1222" s="85"/>
      <c r="AH1222" s="85"/>
      <c r="AI1222" s="115"/>
      <c r="AJ1222" s="62"/>
      <c r="AK1222" s="62"/>
      <c r="AL1222" s="62"/>
      <c r="AM1222" s="62"/>
      <c r="AN1222" s="62"/>
      <c r="AO1222" s="62"/>
      <c r="AP1222" s="62"/>
      <c r="AQ1222" s="62"/>
      <c r="AR1222" s="62"/>
      <c r="AS1222" s="62"/>
      <c r="AT1222" s="62"/>
      <c r="AU1222" s="62"/>
      <c r="AV1222" s="62"/>
      <c r="AW1222" s="62"/>
      <c r="AX1222" s="62"/>
      <c r="AY1222" s="62"/>
      <c r="AZ1222" s="62"/>
    </row>
    <row r="1223" spans="1:52" x14ac:dyDescent="0.25">
      <c r="A1223" s="62"/>
      <c r="B1223" s="68"/>
      <c r="C1223" s="86"/>
      <c r="D1223" s="60"/>
      <c r="E1223" s="60"/>
      <c r="F1223" s="60"/>
      <c r="G1223" s="60"/>
      <c r="H1223" s="61"/>
      <c r="I1223" s="61"/>
      <c r="J1223" s="61"/>
      <c r="K1223" s="61"/>
      <c r="L1223" s="62"/>
      <c r="M1223" s="62"/>
      <c r="N1223" s="68"/>
      <c r="O1223" s="86"/>
      <c r="P1223" s="60"/>
      <c r="Q1223" s="60"/>
      <c r="R1223" s="60"/>
      <c r="S1223" s="60"/>
      <c r="T1223" s="61"/>
      <c r="U1223" s="61"/>
      <c r="V1223" s="61"/>
      <c r="W1223" s="61"/>
      <c r="X1223" s="62"/>
      <c r="Y1223" s="62"/>
      <c r="Z1223" s="68"/>
      <c r="AA1223" s="86"/>
      <c r="AB1223" s="60"/>
      <c r="AC1223" s="60"/>
      <c r="AD1223" s="60"/>
      <c r="AE1223" s="60"/>
      <c r="AF1223" s="61"/>
      <c r="AG1223" s="61"/>
      <c r="AH1223" s="61"/>
      <c r="AI1223" s="61"/>
      <c r="AJ1223" s="62"/>
      <c r="AK1223" s="62"/>
      <c r="AL1223" s="62"/>
      <c r="AM1223" s="62"/>
      <c r="AN1223" s="62"/>
      <c r="AO1223" s="62"/>
      <c r="AP1223" s="62"/>
      <c r="AQ1223" s="62"/>
      <c r="AR1223" s="62"/>
      <c r="AS1223" s="62"/>
      <c r="AT1223" s="62"/>
      <c r="AU1223" s="62"/>
      <c r="AV1223" s="62"/>
      <c r="AW1223" s="62"/>
      <c r="AX1223" s="62"/>
      <c r="AY1223" s="62"/>
      <c r="AZ1223" s="62"/>
    </row>
    <row r="1224" spans="1:52" x14ac:dyDescent="0.25">
      <c r="A1224" s="62"/>
      <c r="B1224" s="68"/>
      <c r="C1224" s="86"/>
      <c r="D1224" s="60"/>
      <c r="E1224" s="60"/>
      <c r="F1224" s="60"/>
      <c r="G1224" s="60"/>
      <c r="H1224" s="61"/>
      <c r="I1224" s="61"/>
      <c r="J1224" s="61"/>
      <c r="K1224" s="61"/>
      <c r="L1224" s="62"/>
      <c r="M1224" s="62"/>
      <c r="N1224" s="68"/>
      <c r="O1224" s="86"/>
      <c r="P1224" s="60"/>
      <c r="Q1224" s="60"/>
      <c r="R1224" s="60"/>
      <c r="S1224" s="60"/>
      <c r="T1224" s="61"/>
      <c r="U1224" s="61"/>
      <c r="V1224" s="61"/>
      <c r="W1224" s="61"/>
      <c r="X1224" s="62"/>
      <c r="Y1224" s="62"/>
      <c r="Z1224" s="68"/>
      <c r="AA1224" s="86"/>
      <c r="AB1224" s="60"/>
      <c r="AC1224" s="60"/>
      <c r="AD1224" s="60"/>
      <c r="AE1224" s="60"/>
      <c r="AF1224" s="61"/>
      <c r="AG1224" s="61"/>
      <c r="AH1224" s="61"/>
      <c r="AI1224" s="61"/>
      <c r="AJ1224" s="62"/>
      <c r="AK1224" s="62"/>
      <c r="AL1224" s="62"/>
      <c r="AM1224" s="62"/>
      <c r="AN1224" s="62"/>
      <c r="AO1224" s="62"/>
      <c r="AP1224" s="62"/>
      <c r="AQ1224" s="62"/>
      <c r="AR1224" s="62"/>
      <c r="AS1224" s="62"/>
      <c r="AT1224" s="62"/>
      <c r="AU1224" s="62"/>
      <c r="AV1224" s="62"/>
      <c r="AW1224" s="62"/>
      <c r="AX1224" s="62"/>
      <c r="AY1224" s="62"/>
      <c r="AZ1224" s="62"/>
    </row>
    <row r="1225" spans="1:52" x14ac:dyDescent="0.25">
      <c r="A1225" s="62"/>
      <c r="B1225" s="68"/>
      <c r="C1225" s="86"/>
      <c r="D1225" s="60"/>
      <c r="E1225" s="60"/>
      <c r="F1225" s="60"/>
      <c r="G1225" s="60"/>
      <c r="H1225" s="61"/>
      <c r="I1225" s="61"/>
      <c r="J1225" s="61"/>
      <c r="K1225" s="61"/>
      <c r="L1225" s="62"/>
      <c r="M1225" s="62"/>
      <c r="N1225" s="68"/>
      <c r="O1225" s="66"/>
      <c r="P1225" s="60"/>
      <c r="Q1225" s="60"/>
      <c r="R1225" s="60"/>
      <c r="S1225" s="60"/>
      <c r="T1225" s="61"/>
      <c r="U1225" s="61"/>
      <c r="V1225" s="61"/>
      <c r="W1225" s="61"/>
      <c r="X1225" s="62"/>
      <c r="Y1225" s="62"/>
      <c r="Z1225" s="68"/>
      <c r="AA1225" s="86"/>
      <c r="AB1225" s="60"/>
      <c r="AC1225" s="60"/>
      <c r="AD1225" s="60"/>
      <c r="AE1225" s="60"/>
      <c r="AF1225" s="61"/>
      <c r="AG1225" s="61"/>
      <c r="AH1225" s="61"/>
      <c r="AI1225" s="61"/>
      <c r="AJ1225" s="62"/>
      <c r="AK1225" s="62"/>
      <c r="AL1225" s="62"/>
      <c r="AM1225" s="62"/>
      <c r="AN1225" s="62"/>
      <c r="AO1225" s="62"/>
      <c r="AP1225" s="62"/>
      <c r="AQ1225" s="62"/>
      <c r="AR1225" s="62"/>
      <c r="AS1225" s="62"/>
      <c r="AT1225" s="62"/>
      <c r="AU1225" s="62"/>
      <c r="AV1225" s="62"/>
      <c r="AW1225" s="62"/>
      <c r="AX1225" s="62"/>
      <c r="AY1225" s="62"/>
      <c r="AZ1225" s="62"/>
    </row>
    <row r="1226" spans="1:52" x14ac:dyDescent="0.25">
      <c r="A1226" s="62"/>
      <c r="B1226" s="68"/>
      <c r="C1226" s="86"/>
      <c r="D1226" s="60"/>
      <c r="E1226" s="60"/>
      <c r="F1226" s="60"/>
      <c r="G1226" s="60"/>
      <c r="H1226" s="61"/>
      <c r="I1226" s="61"/>
      <c r="J1226" s="61"/>
      <c r="K1226" s="61"/>
      <c r="L1226" s="62"/>
      <c r="M1226" s="62"/>
      <c r="N1226" s="68"/>
      <c r="O1226" s="62"/>
      <c r="P1226" s="60"/>
      <c r="Q1226" s="60"/>
      <c r="R1226" s="60"/>
      <c r="S1226" s="60"/>
      <c r="T1226" s="61"/>
      <c r="U1226" s="61"/>
      <c r="V1226" s="61"/>
      <c r="W1226" s="61"/>
      <c r="X1226" s="62"/>
      <c r="Y1226" s="62"/>
      <c r="Z1226" s="68"/>
      <c r="AA1226" s="86"/>
      <c r="AB1226" s="60"/>
      <c r="AC1226" s="60"/>
      <c r="AD1226" s="60"/>
      <c r="AE1226" s="60"/>
      <c r="AF1226" s="61"/>
      <c r="AG1226" s="61"/>
      <c r="AH1226" s="61"/>
      <c r="AI1226" s="61"/>
      <c r="AJ1226" s="62"/>
      <c r="AK1226" s="62"/>
      <c r="AL1226" s="62"/>
      <c r="AM1226" s="62"/>
      <c r="AN1226" s="62"/>
      <c r="AO1226" s="62"/>
      <c r="AP1226" s="62"/>
      <c r="AQ1226" s="62"/>
      <c r="AR1226" s="62"/>
      <c r="AS1226" s="62"/>
      <c r="AT1226" s="62"/>
      <c r="AU1226" s="62"/>
      <c r="AV1226" s="62"/>
      <c r="AW1226" s="62"/>
      <c r="AX1226" s="62"/>
      <c r="AY1226" s="62"/>
      <c r="AZ1226" s="62"/>
    </row>
    <row r="1227" spans="1:52" x14ac:dyDescent="0.25">
      <c r="A1227" s="62"/>
      <c r="B1227" s="68"/>
      <c r="C1227" s="86"/>
      <c r="D1227" s="60"/>
      <c r="E1227" s="60"/>
      <c r="F1227" s="60"/>
      <c r="G1227" s="60"/>
      <c r="H1227" s="61"/>
      <c r="I1227" s="61"/>
      <c r="J1227" s="61"/>
      <c r="K1227" s="61"/>
      <c r="L1227" s="62"/>
      <c r="M1227" s="62"/>
      <c r="N1227" s="68"/>
      <c r="O1227" s="86"/>
      <c r="P1227" s="60"/>
      <c r="Q1227" s="60"/>
      <c r="R1227" s="60"/>
      <c r="S1227" s="60"/>
      <c r="T1227" s="61"/>
      <c r="U1227" s="61"/>
      <c r="V1227" s="61"/>
      <c r="W1227" s="61"/>
      <c r="X1227" s="62"/>
      <c r="Y1227" s="62"/>
      <c r="Z1227" s="68"/>
      <c r="AA1227" s="86"/>
      <c r="AB1227" s="60"/>
      <c r="AC1227" s="60"/>
      <c r="AD1227" s="60"/>
      <c r="AE1227" s="60"/>
      <c r="AF1227" s="61"/>
      <c r="AG1227" s="61"/>
      <c r="AH1227" s="61"/>
      <c r="AI1227" s="61"/>
      <c r="AJ1227" s="62"/>
      <c r="AK1227" s="62"/>
      <c r="AL1227" s="62"/>
      <c r="AM1227" s="62"/>
      <c r="AN1227" s="62"/>
      <c r="AO1227" s="62"/>
      <c r="AP1227" s="62"/>
      <c r="AQ1227" s="62"/>
      <c r="AR1227" s="62"/>
      <c r="AS1227" s="62"/>
      <c r="AT1227" s="62"/>
      <c r="AU1227" s="62"/>
      <c r="AV1227" s="62"/>
      <c r="AW1227" s="62"/>
      <c r="AX1227" s="62"/>
      <c r="AY1227" s="62"/>
      <c r="AZ1227" s="62"/>
    </row>
    <row r="1228" spans="1:52" x14ac:dyDescent="0.25">
      <c r="A1228" s="62"/>
      <c r="B1228" s="68"/>
      <c r="C1228" s="86"/>
      <c r="D1228" s="60"/>
      <c r="E1228" s="60"/>
      <c r="F1228" s="60"/>
      <c r="G1228" s="60"/>
      <c r="H1228" s="61"/>
      <c r="I1228" s="61"/>
      <c r="J1228" s="61"/>
      <c r="K1228" s="61"/>
      <c r="L1228" s="62"/>
      <c r="M1228" s="62"/>
      <c r="N1228" s="68"/>
      <c r="O1228" s="86"/>
      <c r="P1228" s="60"/>
      <c r="Q1228" s="60"/>
      <c r="R1228" s="60"/>
      <c r="S1228" s="60"/>
      <c r="T1228" s="61"/>
      <c r="U1228" s="61"/>
      <c r="V1228" s="62"/>
      <c r="W1228" s="61"/>
      <c r="X1228" s="62"/>
      <c r="Y1228" s="62"/>
      <c r="Z1228" s="68"/>
      <c r="AA1228" s="86"/>
      <c r="AB1228" s="60"/>
      <c r="AC1228" s="60"/>
      <c r="AD1228" s="60"/>
      <c r="AE1228" s="60"/>
      <c r="AF1228" s="61"/>
      <c r="AG1228" s="61"/>
      <c r="AH1228" s="61"/>
      <c r="AI1228" s="61"/>
      <c r="AJ1228" s="62"/>
      <c r="AK1228" s="62"/>
      <c r="AL1228" s="62"/>
      <c r="AM1228" s="62"/>
      <c r="AN1228" s="62"/>
      <c r="AO1228" s="62"/>
      <c r="AP1228" s="62"/>
      <c r="AQ1228" s="62"/>
      <c r="AR1228" s="62"/>
      <c r="AS1228" s="62"/>
      <c r="AT1228" s="62"/>
      <c r="AU1228" s="62"/>
      <c r="AV1228" s="62"/>
      <c r="AW1228" s="62"/>
      <c r="AX1228" s="62"/>
      <c r="AY1228" s="62"/>
      <c r="AZ1228" s="62"/>
    </row>
    <row r="1229" spans="1:52" x14ac:dyDescent="0.25">
      <c r="A1229" s="62"/>
      <c r="B1229" s="68"/>
      <c r="C1229" s="86"/>
      <c r="D1229" s="60"/>
      <c r="E1229" s="60"/>
      <c r="F1229" s="60"/>
      <c r="G1229" s="60"/>
      <c r="H1229" s="61"/>
      <c r="I1229" s="61"/>
      <c r="J1229" s="61"/>
      <c r="K1229" s="61"/>
      <c r="L1229" s="62"/>
      <c r="M1229" s="62"/>
      <c r="N1229" s="68"/>
      <c r="O1229" s="86"/>
      <c r="P1229" s="60"/>
      <c r="Q1229" s="60"/>
      <c r="R1229" s="60"/>
      <c r="S1229" s="60"/>
      <c r="T1229" s="61"/>
      <c r="U1229" s="61"/>
      <c r="V1229" s="61"/>
      <c r="W1229" s="61"/>
      <c r="X1229" s="62"/>
      <c r="Y1229" s="62"/>
      <c r="Z1229" s="68"/>
      <c r="AA1229" s="86"/>
      <c r="AB1229" s="60"/>
      <c r="AC1229" s="60"/>
      <c r="AD1229" s="60"/>
      <c r="AE1229" s="60"/>
      <c r="AF1229" s="61"/>
      <c r="AG1229" s="61"/>
      <c r="AH1229" s="61"/>
      <c r="AI1229" s="61"/>
      <c r="AJ1229" s="62"/>
      <c r="AK1229" s="62"/>
      <c r="AL1229" s="62"/>
      <c r="AM1229" s="62"/>
      <c r="AN1229" s="62"/>
      <c r="AO1229" s="62"/>
      <c r="AP1229" s="62"/>
      <c r="AQ1229" s="62"/>
      <c r="AR1229" s="62"/>
      <c r="AS1229" s="62"/>
      <c r="AT1229" s="62"/>
      <c r="AU1229" s="62"/>
      <c r="AV1229" s="62"/>
      <c r="AW1229" s="62"/>
      <c r="AX1229" s="62"/>
      <c r="AY1229" s="62"/>
      <c r="AZ1229" s="62"/>
    </row>
    <row r="1230" spans="1:52" x14ac:dyDescent="0.25">
      <c r="A1230" s="62"/>
      <c r="B1230" s="68"/>
      <c r="C1230" s="86"/>
      <c r="D1230" s="60"/>
      <c r="E1230" s="60"/>
      <c r="F1230" s="60"/>
      <c r="G1230" s="60"/>
      <c r="H1230" s="61"/>
      <c r="I1230" s="61"/>
      <c r="J1230" s="61"/>
      <c r="K1230" s="61"/>
      <c r="L1230" s="62"/>
      <c r="M1230" s="62"/>
      <c r="N1230" s="68"/>
      <c r="O1230" s="86"/>
      <c r="P1230" s="60"/>
      <c r="Q1230" s="60"/>
      <c r="R1230" s="60"/>
      <c r="S1230" s="60"/>
      <c r="T1230" s="61"/>
      <c r="U1230" s="61"/>
      <c r="V1230" s="61"/>
      <c r="W1230" s="61"/>
      <c r="X1230" s="62"/>
      <c r="Y1230" s="62"/>
      <c r="Z1230" s="68"/>
      <c r="AA1230" s="86"/>
      <c r="AB1230" s="60"/>
      <c r="AC1230" s="60"/>
      <c r="AD1230" s="60"/>
      <c r="AE1230" s="60"/>
      <c r="AF1230" s="61"/>
      <c r="AG1230" s="61"/>
      <c r="AH1230" s="61"/>
      <c r="AI1230" s="61"/>
      <c r="AJ1230" s="62"/>
      <c r="AK1230" s="62"/>
      <c r="AL1230" s="62"/>
      <c r="AM1230" s="62"/>
      <c r="AN1230" s="62"/>
      <c r="AO1230" s="62"/>
      <c r="AP1230" s="62"/>
      <c r="AQ1230" s="62"/>
      <c r="AR1230" s="62"/>
      <c r="AS1230" s="62"/>
      <c r="AT1230" s="62"/>
      <c r="AU1230" s="62"/>
      <c r="AV1230" s="62"/>
      <c r="AW1230" s="62"/>
      <c r="AX1230" s="62"/>
      <c r="AY1230" s="62"/>
      <c r="AZ1230" s="62"/>
    </row>
    <row r="1231" spans="1:52" x14ac:dyDescent="0.25">
      <c r="A1231" s="62"/>
      <c r="B1231" s="68"/>
      <c r="C1231" s="86"/>
      <c r="D1231" s="60"/>
      <c r="E1231" s="60"/>
      <c r="F1231" s="60"/>
      <c r="G1231" s="60"/>
      <c r="H1231" s="61"/>
      <c r="I1231" s="61"/>
      <c r="J1231" s="61"/>
      <c r="K1231" s="61"/>
      <c r="L1231" s="62"/>
      <c r="M1231" s="62"/>
      <c r="N1231" s="68"/>
      <c r="O1231" s="86"/>
      <c r="P1231" s="60"/>
      <c r="Q1231" s="60"/>
      <c r="R1231" s="60"/>
      <c r="S1231" s="60"/>
      <c r="T1231" s="61"/>
      <c r="U1231" s="61"/>
      <c r="V1231" s="61"/>
      <c r="W1231" s="61"/>
      <c r="X1231" s="62"/>
      <c r="Y1231" s="62"/>
      <c r="Z1231" s="68"/>
      <c r="AA1231" s="86"/>
      <c r="AB1231" s="60"/>
      <c r="AC1231" s="60"/>
      <c r="AD1231" s="60"/>
      <c r="AE1231" s="60"/>
      <c r="AF1231" s="61"/>
      <c r="AG1231" s="61"/>
      <c r="AH1231" s="61"/>
      <c r="AI1231" s="61"/>
      <c r="AJ1231" s="62"/>
      <c r="AK1231" s="62"/>
      <c r="AL1231" s="62"/>
      <c r="AM1231" s="62"/>
      <c r="AN1231" s="62"/>
      <c r="AO1231" s="62"/>
      <c r="AP1231" s="62"/>
      <c r="AQ1231" s="62"/>
      <c r="AR1231" s="62"/>
      <c r="AS1231" s="62"/>
      <c r="AT1231" s="62"/>
      <c r="AU1231" s="62"/>
      <c r="AV1231" s="62"/>
      <c r="AW1231" s="62"/>
      <c r="AX1231" s="62"/>
      <c r="AY1231" s="62"/>
      <c r="AZ1231" s="62"/>
    </row>
    <row r="1232" spans="1:52" x14ac:dyDescent="0.25">
      <c r="A1232" s="62"/>
      <c r="B1232" s="68"/>
      <c r="C1232" s="86"/>
      <c r="D1232" s="60"/>
      <c r="E1232" s="60"/>
      <c r="F1232" s="60"/>
      <c r="G1232" s="60"/>
      <c r="H1232" s="61"/>
      <c r="I1232" s="61"/>
      <c r="J1232" s="61"/>
      <c r="K1232" s="61"/>
      <c r="L1232" s="62"/>
      <c r="M1232" s="62"/>
      <c r="N1232" s="68"/>
      <c r="O1232" s="86"/>
      <c r="P1232" s="60"/>
      <c r="Q1232" s="60"/>
      <c r="R1232" s="60"/>
      <c r="S1232" s="60"/>
      <c r="T1232" s="61"/>
      <c r="U1232" s="61"/>
      <c r="V1232" s="61"/>
      <c r="W1232" s="61"/>
      <c r="X1232" s="62"/>
      <c r="Y1232" s="62"/>
      <c r="Z1232" s="68"/>
      <c r="AA1232" s="86"/>
      <c r="AB1232" s="60"/>
      <c r="AC1232" s="60"/>
      <c r="AD1232" s="60"/>
      <c r="AE1232" s="60"/>
      <c r="AF1232" s="61"/>
      <c r="AG1232" s="61"/>
      <c r="AH1232" s="61"/>
      <c r="AI1232" s="61"/>
      <c r="AJ1232" s="62"/>
      <c r="AK1232" s="62"/>
      <c r="AL1232" s="62"/>
      <c r="AM1232" s="62"/>
      <c r="AN1232" s="62"/>
      <c r="AO1232" s="62"/>
      <c r="AP1232" s="62"/>
      <c r="AQ1232" s="62"/>
      <c r="AR1232" s="62"/>
      <c r="AS1232" s="62"/>
      <c r="AT1232" s="62"/>
      <c r="AU1232" s="62"/>
      <c r="AV1232" s="62"/>
      <c r="AW1232" s="62"/>
      <c r="AX1232" s="62"/>
      <c r="AY1232" s="62"/>
      <c r="AZ1232" s="62"/>
    </row>
    <row r="1233" spans="1:52" x14ac:dyDescent="0.25">
      <c r="A1233" s="62"/>
      <c r="B1233" s="68"/>
      <c r="C1233" s="86"/>
      <c r="D1233" s="60"/>
      <c r="E1233" s="60"/>
      <c r="F1233" s="60"/>
      <c r="G1233" s="60"/>
      <c r="H1233" s="61"/>
      <c r="I1233" s="61"/>
      <c r="J1233" s="61"/>
      <c r="K1233" s="61"/>
      <c r="L1233" s="62"/>
      <c r="M1233" s="62"/>
      <c r="N1233" s="68"/>
      <c r="O1233" s="86"/>
      <c r="P1233" s="60"/>
      <c r="Q1233" s="60"/>
      <c r="R1233" s="60"/>
      <c r="S1233" s="60"/>
      <c r="T1233" s="61"/>
      <c r="U1233" s="61"/>
      <c r="V1233" s="61"/>
      <c r="W1233" s="61"/>
      <c r="X1233" s="62"/>
      <c r="Y1233" s="62"/>
      <c r="Z1233" s="68"/>
      <c r="AA1233" s="66"/>
      <c r="AB1233" s="60"/>
      <c r="AC1233" s="60"/>
      <c r="AD1233" s="60"/>
      <c r="AE1233" s="60"/>
      <c r="AF1233" s="61"/>
      <c r="AG1233" s="61"/>
      <c r="AH1233" s="61"/>
      <c r="AI1233" s="61"/>
      <c r="AJ1233" s="62"/>
      <c r="AK1233" s="62"/>
      <c r="AL1233" s="62"/>
      <c r="AM1233" s="62"/>
      <c r="AN1233" s="62"/>
      <c r="AO1233" s="62"/>
      <c r="AP1233" s="62"/>
      <c r="AQ1233" s="62"/>
      <c r="AR1233" s="62"/>
      <c r="AS1233" s="62"/>
      <c r="AT1233" s="62"/>
      <c r="AU1233" s="62"/>
      <c r="AV1233" s="62"/>
      <c r="AW1233" s="62"/>
      <c r="AX1233" s="62"/>
      <c r="AY1233" s="62"/>
      <c r="AZ1233" s="62"/>
    </row>
    <row r="1234" spans="1:52" x14ac:dyDescent="0.25">
      <c r="A1234" s="62"/>
      <c r="B1234" s="68"/>
      <c r="C1234" s="86"/>
      <c r="D1234" s="60"/>
      <c r="E1234" s="60"/>
      <c r="F1234" s="60"/>
      <c r="G1234" s="60"/>
      <c r="H1234" s="61"/>
      <c r="I1234" s="61"/>
      <c r="J1234" s="62"/>
      <c r="K1234" s="61"/>
      <c r="L1234" s="62"/>
      <c r="M1234" s="62"/>
      <c r="N1234" s="68"/>
      <c r="O1234" s="86"/>
      <c r="P1234" s="60"/>
      <c r="Q1234" s="60"/>
      <c r="R1234" s="60"/>
      <c r="S1234" s="60"/>
      <c r="T1234" s="61"/>
      <c r="U1234" s="61"/>
      <c r="V1234" s="61"/>
      <c r="W1234" s="61"/>
      <c r="X1234" s="62"/>
      <c r="Y1234" s="62"/>
      <c r="Z1234" s="68"/>
      <c r="AA1234" s="86"/>
      <c r="AB1234" s="60"/>
      <c r="AC1234" s="60"/>
      <c r="AD1234" s="60"/>
      <c r="AE1234" s="60"/>
      <c r="AF1234" s="61"/>
      <c r="AG1234" s="61"/>
      <c r="AH1234" s="62"/>
      <c r="AI1234" s="61"/>
      <c r="AJ1234" s="62"/>
      <c r="AK1234" s="62"/>
      <c r="AL1234" s="62"/>
      <c r="AM1234" s="62"/>
      <c r="AN1234" s="62"/>
      <c r="AO1234" s="62"/>
      <c r="AP1234" s="62"/>
      <c r="AQ1234" s="62"/>
      <c r="AR1234" s="62"/>
      <c r="AS1234" s="62"/>
      <c r="AT1234" s="62"/>
      <c r="AU1234" s="62"/>
      <c r="AV1234" s="62"/>
      <c r="AW1234" s="62"/>
      <c r="AX1234" s="62"/>
      <c r="AY1234" s="62"/>
      <c r="AZ1234" s="62"/>
    </row>
    <row r="1235" spans="1:52" x14ac:dyDescent="0.25">
      <c r="A1235" s="62"/>
      <c r="B1235" s="68"/>
      <c r="C1235" s="86"/>
      <c r="D1235" s="60"/>
      <c r="E1235" s="60"/>
      <c r="F1235" s="60"/>
      <c r="G1235" s="60"/>
      <c r="H1235" s="61"/>
      <c r="I1235" s="61"/>
      <c r="J1235" s="61"/>
      <c r="K1235" s="61"/>
      <c r="L1235" s="62"/>
      <c r="M1235" s="62"/>
      <c r="N1235" s="68"/>
      <c r="O1235" s="86"/>
      <c r="P1235" s="60"/>
      <c r="Q1235" s="60"/>
      <c r="R1235" s="60"/>
      <c r="S1235" s="60"/>
      <c r="T1235" s="61"/>
      <c r="U1235" s="61"/>
      <c r="V1235" s="61"/>
      <c r="W1235" s="61"/>
      <c r="X1235" s="62"/>
      <c r="Y1235" s="62"/>
      <c r="Z1235" s="68"/>
      <c r="AA1235" s="86"/>
      <c r="AB1235" s="60"/>
      <c r="AC1235" s="60"/>
      <c r="AD1235" s="60"/>
      <c r="AE1235" s="60"/>
      <c r="AF1235" s="61"/>
      <c r="AG1235" s="61"/>
      <c r="AH1235" s="61"/>
      <c r="AI1235" s="61"/>
      <c r="AJ1235" s="62"/>
      <c r="AK1235" s="62"/>
      <c r="AL1235" s="62"/>
      <c r="AM1235" s="62"/>
      <c r="AN1235" s="62"/>
      <c r="AO1235" s="62"/>
      <c r="AP1235" s="62"/>
      <c r="AQ1235" s="62"/>
      <c r="AR1235" s="62"/>
      <c r="AS1235" s="62"/>
      <c r="AT1235" s="62"/>
      <c r="AU1235" s="62"/>
      <c r="AV1235" s="62"/>
      <c r="AW1235" s="62"/>
      <c r="AX1235" s="62"/>
      <c r="AY1235" s="62"/>
      <c r="AZ1235" s="62"/>
    </row>
    <row r="1236" spans="1:52" x14ac:dyDescent="0.25">
      <c r="A1236" s="62"/>
      <c r="B1236" s="68"/>
      <c r="C1236" s="86"/>
      <c r="D1236" s="60"/>
      <c r="E1236" s="60"/>
      <c r="F1236" s="60"/>
      <c r="G1236" s="60"/>
      <c r="H1236" s="61"/>
      <c r="I1236" s="61"/>
      <c r="J1236" s="61"/>
      <c r="K1236" s="61"/>
      <c r="L1236" s="62"/>
      <c r="M1236" s="62"/>
      <c r="N1236" s="68"/>
      <c r="O1236" s="86"/>
      <c r="P1236" s="60"/>
      <c r="Q1236" s="60"/>
      <c r="R1236" s="60"/>
      <c r="S1236" s="60"/>
      <c r="T1236" s="61"/>
      <c r="U1236" s="61"/>
      <c r="V1236" s="61"/>
      <c r="W1236" s="61"/>
      <c r="X1236" s="62"/>
      <c r="Y1236" s="62"/>
      <c r="Z1236" s="68"/>
      <c r="AA1236" s="86"/>
      <c r="AB1236" s="60"/>
      <c r="AC1236" s="60"/>
      <c r="AD1236" s="60"/>
      <c r="AE1236" s="60"/>
      <c r="AF1236" s="61"/>
      <c r="AG1236" s="61"/>
      <c r="AH1236" s="61"/>
      <c r="AI1236" s="61"/>
      <c r="AJ1236" s="62"/>
      <c r="AK1236" s="62"/>
      <c r="AL1236" s="62"/>
      <c r="AM1236" s="62"/>
      <c r="AN1236" s="62"/>
      <c r="AO1236" s="62"/>
      <c r="AP1236" s="62"/>
      <c r="AQ1236" s="62"/>
      <c r="AR1236" s="62"/>
      <c r="AS1236" s="62"/>
      <c r="AT1236" s="62"/>
      <c r="AU1236" s="62"/>
      <c r="AV1236" s="62"/>
      <c r="AW1236" s="62"/>
      <c r="AX1236" s="62"/>
      <c r="AY1236" s="62"/>
      <c r="AZ1236" s="62"/>
    </row>
    <row r="1237" spans="1:52" x14ac:dyDescent="0.25">
      <c r="A1237" s="62"/>
      <c r="B1237" s="68"/>
      <c r="C1237" s="86"/>
      <c r="D1237" s="60"/>
      <c r="E1237" s="60"/>
      <c r="F1237" s="60"/>
      <c r="G1237" s="60"/>
      <c r="H1237" s="61"/>
      <c r="I1237" s="61"/>
      <c r="J1237" s="61"/>
      <c r="K1237" s="61"/>
      <c r="L1237" s="62"/>
      <c r="M1237" s="62"/>
      <c r="N1237" s="68"/>
      <c r="O1237" s="86"/>
      <c r="P1237" s="60"/>
      <c r="Q1237" s="60"/>
      <c r="R1237" s="60"/>
      <c r="S1237" s="60"/>
      <c r="T1237" s="61"/>
      <c r="U1237" s="61"/>
      <c r="V1237" s="61"/>
      <c r="W1237" s="61"/>
      <c r="X1237" s="62"/>
      <c r="Y1237" s="62"/>
      <c r="Z1237" s="68"/>
      <c r="AA1237" s="86"/>
      <c r="AB1237" s="60"/>
      <c r="AC1237" s="60"/>
      <c r="AD1237" s="60"/>
      <c r="AE1237" s="60"/>
      <c r="AF1237" s="61"/>
      <c r="AG1237" s="61"/>
      <c r="AH1237" s="61"/>
      <c r="AI1237" s="61"/>
      <c r="AJ1237" s="62"/>
      <c r="AK1237" s="62"/>
      <c r="AL1237" s="62"/>
      <c r="AM1237" s="62"/>
      <c r="AN1237" s="62"/>
      <c r="AO1237" s="62"/>
      <c r="AP1237" s="62"/>
      <c r="AQ1237" s="62"/>
      <c r="AR1237" s="62"/>
      <c r="AS1237" s="62"/>
      <c r="AT1237" s="62"/>
      <c r="AU1237" s="62"/>
      <c r="AV1237" s="62"/>
      <c r="AW1237" s="62"/>
      <c r="AX1237" s="62"/>
      <c r="AY1237" s="62"/>
      <c r="AZ1237" s="62"/>
    </row>
    <row r="1238" spans="1:52" x14ac:dyDescent="0.25">
      <c r="A1238" s="62"/>
      <c r="B1238" s="68"/>
      <c r="C1238" s="86"/>
      <c r="D1238" s="60"/>
      <c r="E1238" s="60"/>
      <c r="F1238" s="60"/>
      <c r="G1238" s="60"/>
      <c r="H1238" s="61"/>
      <c r="I1238" s="61"/>
      <c r="J1238" s="61"/>
      <c r="K1238" s="61"/>
      <c r="L1238" s="62"/>
      <c r="M1238" s="62"/>
      <c r="N1238" s="68"/>
      <c r="O1238" s="86"/>
      <c r="P1238" s="60"/>
      <c r="Q1238" s="60"/>
      <c r="R1238" s="60"/>
      <c r="S1238" s="60"/>
      <c r="T1238" s="61"/>
      <c r="U1238" s="61"/>
      <c r="V1238" s="61"/>
      <c r="W1238" s="61"/>
      <c r="X1238" s="62"/>
      <c r="Y1238" s="62"/>
      <c r="Z1238" s="68"/>
      <c r="AA1238" s="86"/>
      <c r="AB1238" s="60"/>
      <c r="AC1238" s="60"/>
      <c r="AD1238" s="60"/>
      <c r="AE1238" s="60"/>
      <c r="AF1238" s="61"/>
      <c r="AG1238" s="61"/>
      <c r="AH1238" s="61"/>
      <c r="AI1238" s="61"/>
      <c r="AJ1238" s="62"/>
      <c r="AK1238" s="62"/>
      <c r="AL1238" s="62"/>
      <c r="AM1238" s="62"/>
      <c r="AN1238" s="62"/>
      <c r="AO1238" s="62"/>
      <c r="AP1238" s="62"/>
      <c r="AQ1238" s="62"/>
      <c r="AR1238" s="62"/>
      <c r="AS1238" s="62"/>
      <c r="AT1238" s="62"/>
      <c r="AU1238" s="62"/>
      <c r="AV1238" s="62"/>
      <c r="AW1238" s="62"/>
      <c r="AX1238" s="62"/>
      <c r="AY1238" s="62"/>
      <c r="AZ1238" s="62"/>
    </row>
    <row r="1239" spans="1:52" x14ac:dyDescent="0.25">
      <c r="A1239" s="62"/>
      <c r="B1239" s="68"/>
      <c r="C1239" s="86"/>
      <c r="D1239" s="60"/>
      <c r="E1239" s="60"/>
      <c r="F1239" s="60"/>
      <c r="G1239" s="60"/>
      <c r="H1239" s="61"/>
      <c r="I1239" s="61"/>
      <c r="J1239" s="61"/>
      <c r="K1239" s="61"/>
      <c r="L1239" s="62"/>
      <c r="M1239" s="62"/>
      <c r="N1239" s="68"/>
      <c r="O1239" s="86"/>
      <c r="P1239" s="60"/>
      <c r="Q1239" s="60"/>
      <c r="R1239" s="60"/>
      <c r="S1239" s="60"/>
      <c r="T1239" s="61"/>
      <c r="U1239" s="61"/>
      <c r="V1239" s="61"/>
      <c r="W1239" s="61"/>
      <c r="X1239" s="62"/>
      <c r="Y1239" s="62"/>
      <c r="Z1239" s="68"/>
      <c r="AA1239" s="86"/>
      <c r="AB1239" s="60"/>
      <c r="AC1239" s="60"/>
      <c r="AD1239" s="60"/>
      <c r="AE1239" s="60"/>
      <c r="AF1239" s="61"/>
      <c r="AG1239" s="61"/>
      <c r="AH1239" s="61"/>
      <c r="AI1239" s="61"/>
      <c r="AJ1239" s="62"/>
      <c r="AK1239" s="62"/>
      <c r="AL1239" s="62"/>
      <c r="AM1239" s="62"/>
      <c r="AN1239" s="62"/>
      <c r="AO1239" s="62"/>
      <c r="AP1239" s="62"/>
      <c r="AQ1239" s="62"/>
      <c r="AR1239" s="62"/>
      <c r="AS1239" s="62"/>
      <c r="AT1239" s="62"/>
      <c r="AU1239" s="62"/>
      <c r="AV1239" s="62"/>
      <c r="AW1239" s="62"/>
      <c r="AX1239" s="62"/>
      <c r="AY1239" s="62"/>
      <c r="AZ1239" s="62"/>
    </row>
    <row r="1240" spans="1:52" x14ac:dyDescent="0.25">
      <c r="A1240" s="62"/>
      <c r="B1240" s="68"/>
      <c r="C1240" s="86"/>
      <c r="D1240" s="60"/>
      <c r="E1240" s="60"/>
      <c r="F1240" s="60"/>
      <c r="G1240" s="60"/>
      <c r="H1240" s="61"/>
      <c r="I1240" s="61"/>
      <c r="J1240" s="61"/>
      <c r="K1240" s="61"/>
      <c r="L1240" s="62"/>
      <c r="M1240" s="62"/>
      <c r="N1240" s="68"/>
      <c r="O1240" s="86"/>
      <c r="P1240" s="60"/>
      <c r="Q1240" s="60"/>
      <c r="R1240" s="60"/>
      <c r="S1240" s="60"/>
      <c r="T1240" s="61"/>
      <c r="U1240" s="61"/>
      <c r="V1240" s="61"/>
      <c r="W1240" s="61"/>
      <c r="X1240" s="62"/>
      <c r="Y1240" s="62"/>
      <c r="Z1240" s="68"/>
      <c r="AA1240" s="86"/>
      <c r="AB1240" s="60"/>
      <c r="AC1240" s="60"/>
      <c r="AD1240" s="60"/>
      <c r="AE1240" s="60"/>
      <c r="AF1240" s="61"/>
      <c r="AG1240" s="61"/>
      <c r="AH1240" s="61"/>
      <c r="AI1240" s="61"/>
      <c r="AJ1240" s="62"/>
      <c r="AK1240" s="62"/>
      <c r="AL1240" s="62"/>
      <c r="AM1240" s="62"/>
      <c r="AN1240" s="62"/>
      <c r="AO1240" s="62"/>
      <c r="AP1240" s="62"/>
      <c r="AQ1240" s="62"/>
      <c r="AR1240" s="62"/>
      <c r="AS1240" s="62"/>
      <c r="AT1240" s="62"/>
      <c r="AU1240" s="62"/>
      <c r="AV1240" s="62"/>
      <c r="AW1240" s="62"/>
      <c r="AX1240" s="62"/>
      <c r="AY1240" s="62"/>
      <c r="AZ1240" s="62"/>
    </row>
    <row r="1241" spans="1:52" x14ac:dyDescent="0.25">
      <c r="A1241" s="62"/>
      <c r="B1241" s="68"/>
      <c r="C1241" s="86"/>
      <c r="D1241" s="60"/>
      <c r="E1241" s="60"/>
      <c r="F1241" s="60"/>
      <c r="G1241" s="60"/>
      <c r="H1241" s="61"/>
      <c r="I1241" s="61"/>
      <c r="J1241" s="61"/>
      <c r="K1241" s="61"/>
      <c r="L1241" s="62"/>
      <c r="M1241" s="62"/>
      <c r="N1241" s="68"/>
      <c r="O1241" s="86"/>
      <c r="P1241" s="60"/>
      <c r="Q1241" s="60"/>
      <c r="R1241" s="60"/>
      <c r="S1241" s="60"/>
      <c r="T1241" s="61"/>
      <c r="U1241" s="61"/>
      <c r="V1241" s="61"/>
      <c r="W1241" s="61"/>
      <c r="X1241" s="62"/>
      <c r="Y1241" s="62"/>
      <c r="Z1241" s="68"/>
      <c r="AA1241" s="86"/>
      <c r="AB1241" s="60"/>
      <c r="AC1241" s="60"/>
      <c r="AD1241" s="60"/>
      <c r="AE1241" s="60"/>
      <c r="AF1241" s="61"/>
      <c r="AG1241" s="61"/>
      <c r="AH1241" s="61"/>
      <c r="AI1241" s="61"/>
      <c r="AJ1241" s="62"/>
      <c r="AK1241" s="62"/>
      <c r="AL1241" s="62"/>
      <c r="AM1241" s="62"/>
      <c r="AN1241" s="62"/>
      <c r="AO1241" s="62"/>
      <c r="AP1241" s="62"/>
      <c r="AQ1241" s="62"/>
      <c r="AR1241" s="62"/>
      <c r="AS1241" s="62"/>
      <c r="AT1241" s="62"/>
      <c r="AU1241" s="62"/>
      <c r="AV1241" s="62"/>
      <c r="AW1241" s="62"/>
      <c r="AX1241" s="62"/>
      <c r="AY1241" s="62"/>
      <c r="AZ1241" s="62"/>
    </row>
    <row r="1242" spans="1:52" x14ac:dyDescent="0.25">
      <c r="A1242" s="62"/>
      <c r="B1242" s="68"/>
      <c r="C1242" s="86"/>
      <c r="D1242" s="60"/>
      <c r="E1242" s="60"/>
      <c r="F1242" s="60"/>
      <c r="G1242" s="60"/>
      <c r="H1242" s="61"/>
      <c r="I1242" s="61"/>
      <c r="J1242" s="61"/>
      <c r="K1242" s="61"/>
      <c r="L1242" s="62"/>
      <c r="M1242" s="62"/>
      <c r="N1242" s="68"/>
      <c r="O1242" s="86"/>
      <c r="P1242" s="60"/>
      <c r="Q1242" s="60"/>
      <c r="R1242" s="60"/>
      <c r="S1242" s="60"/>
      <c r="T1242" s="61"/>
      <c r="U1242" s="61"/>
      <c r="V1242" s="61"/>
      <c r="W1242" s="61"/>
      <c r="X1242" s="62"/>
      <c r="Y1242" s="62"/>
      <c r="Z1242" s="68"/>
      <c r="AA1242" s="86"/>
      <c r="AB1242" s="60"/>
      <c r="AC1242" s="60"/>
      <c r="AD1242" s="60"/>
      <c r="AE1242" s="60"/>
      <c r="AF1242" s="61"/>
      <c r="AG1242" s="61"/>
      <c r="AH1242" s="61"/>
      <c r="AI1242" s="61"/>
      <c r="AJ1242" s="62"/>
      <c r="AK1242" s="62"/>
      <c r="AL1242" s="62"/>
      <c r="AM1242" s="62"/>
      <c r="AN1242" s="62"/>
      <c r="AO1242" s="62"/>
      <c r="AP1242" s="62"/>
      <c r="AQ1242" s="62"/>
      <c r="AR1242" s="62"/>
      <c r="AS1242" s="62"/>
      <c r="AT1242" s="62"/>
      <c r="AU1242" s="62"/>
      <c r="AV1242" s="62"/>
      <c r="AW1242" s="62"/>
      <c r="AX1242" s="62"/>
      <c r="AY1242" s="62"/>
      <c r="AZ1242" s="62"/>
    </row>
    <row r="1243" spans="1:52" x14ac:dyDescent="0.25">
      <c r="A1243" s="62"/>
      <c r="B1243" s="68"/>
      <c r="C1243" s="86"/>
      <c r="D1243" s="60"/>
      <c r="E1243" s="60"/>
      <c r="F1243" s="60"/>
      <c r="G1243" s="60"/>
      <c r="H1243" s="62"/>
      <c r="I1243" s="62"/>
      <c r="J1243" s="62"/>
      <c r="K1243" s="61"/>
      <c r="L1243" s="62"/>
      <c r="M1243" s="62"/>
      <c r="N1243" s="68"/>
      <c r="O1243" s="86"/>
      <c r="P1243" s="69"/>
      <c r="Q1243" s="86"/>
      <c r="R1243" s="86"/>
      <c r="S1243" s="60"/>
      <c r="T1243" s="62"/>
      <c r="U1243" s="62"/>
      <c r="V1243" s="62"/>
      <c r="W1243" s="61"/>
      <c r="X1243" s="62"/>
      <c r="Y1243" s="62"/>
      <c r="Z1243" s="68"/>
      <c r="AA1243" s="62"/>
      <c r="AB1243" s="60"/>
      <c r="AC1243" s="60"/>
      <c r="AD1243" s="60"/>
      <c r="AE1243" s="60"/>
      <c r="AF1243" s="62"/>
      <c r="AG1243" s="62"/>
      <c r="AH1243" s="62"/>
      <c r="AI1243" s="61"/>
      <c r="AJ1243" s="62"/>
      <c r="AK1243" s="62"/>
      <c r="AL1243" s="62"/>
      <c r="AM1243" s="62"/>
      <c r="AN1243" s="62"/>
      <c r="AO1243" s="62"/>
      <c r="AP1243" s="62"/>
      <c r="AQ1243" s="62"/>
      <c r="AR1243" s="62"/>
      <c r="AS1243" s="62"/>
      <c r="AT1243" s="62"/>
      <c r="AU1243" s="62"/>
      <c r="AV1243" s="62"/>
      <c r="AW1243" s="62"/>
      <c r="AX1243" s="62"/>
      <c r="AY1243" s="62"/>
      <c r="AZ1243" s="62"/>
    </row>
    <row r="1244" spans="1:52" x14ac:dyDescent="0.25">
      <c r="A1244" s="62"/>
      <c r="B1244" s="68"/>
      <c r="C1244" s="66"/>
      <c r="D1244" s="60"/>
      <c r="E1244" s="60"/>
      <c r="F1244" s="60"/>
      <c r="G1244" s="60"/>
      <c r="H1244" s="62"/>
      <c r="I1244" s="62"/>
      <c r="J1244" s="62"/>
      <c r="K1244" s="61"/>
      <c r="L1244" s="62"/>
      <c r="M1244" s="62"/>
      <c r="N1244" s="68"/>
      <c r="O1244" s="86"/>
      <c r="P1244" s="70"/>
      <c r="Q1244" s="86"/>
      <c r="R1244" s="86"/>
      <c r="S1244" s="60"/>
      <c r="T1244" s="62"/>
      <c r="U1244" s="62"/>
      <c r="V1244" s="62"/>
      <c r="W1244" s="61"/>
      <c r="X1244" s="62"/>
      <c r="Y1244" s="62"/>
      <c r="Z1244" s="68"/>
      <c r="AA1244" s="86"/>
      <c r="AB1244" s="60"/>
      <c r="AC1244" s="60"/>
      <c r="AD1244" s="60"/>
      <c r="AE1244" s="60"/>
      <c r="AF1244" s="62"/>
      <c r="AG1244" s="62"/>
      <c r="AH1244" s="62"/>
      <c r="AI1244" s="61"/>
      <c r="AJ1244" s="62"/>
      <c r="AK1244" s="62"/>
      <c r="AL1244" s="62"/>
      <c r="AM1244" s="62"/>
      <c r="AN1244" s="62"/>
      <c r="AO1244" s="62"/>
      <c r="AP1244" s="62"/>
      <c r="AQ1244" s="62"/>
      <c r="AR1244" s="62"/>
      <c r="AS1244" s="62"/>
      <c r="AT1244" s="62"/>
      <c r="AU1244" s="62"/>
      <c r="AV1244" s="62"/>
      <c r="AW1244" s="62"/>
      <c r="AX1244" s="62"/>
      <c r="AY1244" s="62"/>
      <c r="AZ1244" s="62"/>
    </row>
    <row r="1245" spans="1:52" x14ac:dyDescent="0.25">
      <c r="A1245" s="62"/>
      <c r="B1245" s="68"/>
      <c r="C1245" s="86"/>
      <c r="D1245" s="60"/>
      <c r="E1245" s="60"/>
      <c r="F1245" s="60"/>
      <c r="G1245" s="60"/>
      <c r="H1245" s="62"/>
      <c r="I1245" s="62"/>
      <c r="J1245" s="61"/>
      <c r="K1245" s="61"/>
      <c r="L1245" s="62"/>
      <c r="M1245" s="62"/>
      <c r="N1245" s="68"/>
      <c r="O1245" s="62"/>
      <c r="P1245" s="71"/>
      <c r="Q1245" s="62"/>
      <c r="R1245" s="62"/>
      <c r="S1245" s="60"/>
      <c r="T1245" s="62"/>
      <c r="U1245" s="62"/>
      <c r="V1245" s="62"/>
      <c r="W1245" s="61"/>
      <c r="X1245" s="62"/>
      <c r="Y1245" s="62"/>
      <c r="Z1245" s="68"/>
      <c r="AA1245" s="86"/>
      <c r="AB1245" s="60"/>
      <c r="AC1245" s="60"/>
      <c r="AD1245" s="60"/>
      <c r="AE1245" s="60"/>
      <c r="AF1245" s="62"/>
      <c r="AG1245" s="62"/>
      <c r="AH1245" s="61"/>
      <c r="AI1245" s="61"/>
      <c r="AJ1245" s="62"/>
      <c r="AK1245" s="62"/>
      <c r="AL1245" s="62"/>
      <c r="AM1245" s="62"/>
      <c r="AN1245" s="62"/>
      <c r="AO1245" s="62"/>
      <c r="AP1245" s="62"/>
      <c r="AQ1245" s="62"/>
      <c r="AR1245" s="62"/>
      <c r="AS1245" s="62"/>
      <c r="AT1245" s="62"/>
      <c r="AU1245" s="62"/>
      <c r="AV1245" s="62"/>
      <c r="AW1245" s="62"/>
      <c r="AX1245" s="62"/>
      <c r="AY1245" s="62"/>
      <c r="AZ1245" s="62"/>
    </row>
    <row r="1246" spans="1:52" x14ac:dyDescent="0.25">
      <c r="A1246" s="62"/>
      <c r="B1246" s="68"/>
      <c r="C1246" s="86"/>
      <c r="D1246" s="60"/>
      <c r="E1246" s="60"/>
      <c r="F1246" s="60"/>
      <c r="G1246" s="60"/>
      <c r="H1246" s="62"/>
      <c r="I1246" s="62"/>
      <c r="J1246" s="62"/>
      <c r="K1246" s="61"/>
      <c r="L1246" s="62"/>
      <c r="M1246" s="62"/>
      <c r="N1246" s="68"/>
      <c r="O1246" s="86"/>
      <c r="P1246" s="71"/>
      <c r="Q1246" s="86"/>
      <c r="R1246" s="86"/>
      <c r="S1246" s="60"/>
      <c r="T1246" s="62"/>
      <c r="U1246" s="62"/>
      <c r="V1246" s="62"/>
      <c r="W1246" s="61"/>
      <c r="X1246" s="62"/>
      <c r="Y1246" s="62"/>
      <c r="Z1246" s="68"/>
      <c r="AA1246" s="86"/>
      <c r="AB1246" s="60"/>
      <c r="AC1246" s="60"/>
      <c r="AD1246" s="60"/>
      <c r="AE1246" s="60"/>
      <c r="AF1246" s="62"/>
      <c r="AG1246" s="62"/>
      <c r="AH1246" s="62"/>
      <c r="AI1246" s="61"/>
      <c r="AJ1246" s="62"/>
      <c r="AK1246" s="62"/>
      <c r="AL1246" s="62"/>
      <c r="AM1246" s="62"/>
      <c r="AN1246" s="62"/>
      <c r="AO1246" s="62"/>
      <c r="AP1246" s="62"/>
      <c r="AQ1246" s="62"/>
      <c r="AR1246" s="62"/>
      <c r="AS1246" s="62"/>
      <c r="AT1246" s="62"/>
      <c r="AU1246" s="62"/>
      <c r="AV1246" s="62"/>
      <c r="AW1246" s="62"/>
      <c r="AX1246" s="62"/>
      <c r="AY1246" s="62"/>
      <c r="AZ1246" s="62"/>
    </row>
    <row r="1247" spans="1:52" x14ac:dyDescent="0.25">
      <c r="A1247" s="62"/>
      <c r="B1247" s="68"/>
      <c r="C1247" s="86"/>
      <c r="D1247" s="60"/>
      <c r="E1247" s="60"/>
      <c r="F1247" s="60"/>
      <c r="G1247" s="60"/>
      <c r="H1247" s="62"/>
      <c r="I1247" s="62"/>
      <c r="J1247" s="62"/>
      <c r="K1247" s="61"/>
      <c r="L1247" s="62"/>
      <c r="M1247" s="62"/>
      <c r="N1247" s="68"/>
      <c r="O1247" s="86"/>
      <c r="P1247" s="71"/>
      <c r="Q1247" s="86"/>
      <c r="R1247" s="86"/>
      <c r="S1247" s="60"/>
      <c r="T1247" s="62"/>
      <c r="U1247" s="62"/>
      <c r="V1247" s="62"/>
      <c r="W1247" s="61"/>
      <c r="X1247" s="62"/>
      <c r="Y1247" s="62"/>
      <c r="Z1247" s="68"/>
      <c r="AA1247" s="86"/>
      <c r="AB1247" s="60"/>
      <c r="AC1247" s="60"/>
      <c r="AD1247" s="60"/>
      <c r="AE1247" s="60"/>
      <c r="AF1247" s="62"/>
      <c r="AG1247" s="62"/>
      <c r="AH1247" s="62"/>
      <c r="AI1247" s="61"/>
      <c r="AJ1247" s="62"/>
      <c r="AK1247" s="62"/>
      <c r="AL1247" s="62"/>
      <c r="AM1247" s="62"/>
      <c r="AN1247" s="62"/>
      <c r="AO1247" s="62"/>
      <c r="AP1247" s="62"/>
      <c r="AQ1247" s="62"/>
      <c r="AR1247" s="62"/>
      <c r="AS1247" s="62"/>
      <c r="AT1247" s="62"/>
      <c r="AU1247" s="62"/>
      <c r="AV1247" s="62"/>
      <c r="AW1247" s="62"/>
      <c r="AX1247" s="62"/>
      <c r="AY1247" s="62"/>
      <c r="AZ1247" s="62"/>
    </row>
    <row r="1248" spans="1:52" x14ac:dyDescent="0.25">
      <c r="A1248" s="62"/>
      <c r="B1248" s="68"/>
      <c r="C1248" s="86"/>
      <c r="D1248" s="60"/>
      <c r="E1248" s="60"/>
      <c r="F1248" s="60"/>
      <c r="G1248" s="60"/>
      <c r="H1248" s="62"/>
      <c r="I1248" s="62"/>
      <c r="J1248" s="62"/>
      <c r="K1248" s="61"/>
      <c r="L1248" s="62"/>
      <c r="M1248" s="62"/>
      <c r="N1248" s="68"/>
      <c r="O1248" s="86"/>
      <c r="P1248" s="71"/>
      <c r="Q1248" s="86"/>
      <c r="R1248" s="86"/>
      <c r="S1248" s="60"/>
      <c r="T1248" s="62"/>
      <c r="U1248" s="62"/>
      <c r="V1248" s="62"/>
      <c r="W1248" s="61"/>
      <c r="X1248" s="62"/>
      <c r="Y1248" s="62"/>
      <c r="Z1248" s="68"/>
      <c r="AA1248" s="86"/>
      <c r="AB1248" s="60"/>
      <c r="AC1248" s="60"/>
      <c r="AD1248" s="60"/>
      <c r="AE1248" s="60"/>
      <c r="AF1248" s="62"/>
      <c r="AG1248" s="62"/>
      <c r="AH1248" s="62"/>
      <c r="AI1248" s="61"/>
      <c r="AJ1248" s="62"/>
      <c r="AK1248" s="62"/>
      <c r="AL1248" s="62"/>
      <c r="AM1248" s="62"/>
      <c r="AN1248" s="62"/>
      <c r="AO1248" s="62"/>
      <c r="AP1248" s="62"/>
      <c r="AQ1248" s="62"/>
      <c r="AR1248" s="62"/>
      <c r="AS1248" s="62"/>
      <c r="AT1248" s="62"/>
      <c r="AU1248" s="62"/>
      <c r="AV1248" s="62"/>
      <c r="AW1248" s="62"/>
      <c r="AX1248" s="62"/>
      <c r="AY1248" s="62"/>
      <c r="AZ1248" s="62"/>
    </row>
    <row r="1249" spans="1:52" x14ac:dyDescent="0.25">
      <c r="A1249" s="62"/>
      <c r="B1249" s="68"/>
      <c r="C1249" s="86"/>
      <c r="D1249" s="60"/>
      <c r="E1249" s="60"/>
      <c r="F1249" s="60"/>
      <c r="G1249" s="60"/>
      <c r="H1249" s="62"/>
      <c r="I1249" s="62"/>
      <c r="J1249" s="62"/>
      <c r="K1249" s="61"/>
      <c r="L1249" s="62"/>
      <c r="M1249" s="62"/>
      <c r="N1249" s="68"/>
      <c r="O1249" s="86"/>
      <c r="P1249" s="71"/>
      <c r="Q1249" s="86"/>
      <c r="R1249" s="86"/>
      <c r="S1249" s="60"/>
      <c r="T1249" s="62"/>
      <c r="U1249" s="62"/>
      <c r="V1249" s="62"/>
      <c r="W1249" s="61"/>
      <c r="X1249" s="62"/>
      <c r="Y1249" s="62"/>
      <c r="Z1249" s="68"/>
      <c r="AA1249" s="86"/>
      <c r="AB1249" s="60"/>
      <c r="AC1249" s="60"/>
      <c r="AD1249" s="60"/>
      <c r="AE1249" s="60"/>
      <c r="AF1249" s="62"/>
      <c r="AG1249" s="62"/>
      <c r="AH1249" s="62"/>
      <c r="AI1249" s="61"/>
      <c r="AJ1249" s="62"/>
      <c r="AK1249" s="62"/>
      <c r="AL1249" s="62"/>
      <c r="AM1249" s="62"/>
      <c r="AN1249" s="62"/>
      <c r="AO1249" s="62"/>
      <c r="AP1249" s="62"/>
      <c r="AQ1249" s="62"/>
      <c r="AR1249" s="62"/>
      <c r="AS1249" s="62"/>
      <c r="AT1249" s="62"/>
      <c r="AU1249" s="62"/>
      <c r="AV1249" s="62"/>
      <c r="AW1249" s="62"/>
      <c r="AX1249" s="62"/>
      <c r="AY1249" s="62"/>
      <c r="AZ1249" s="62"/>
    </row>
    <row r="1250" spans="1:52" x14ac:dyDescent="0.25">
      <c r="A1250" s="62"/>
      <c r="B1250" s="68"/>
      <c r="C1250" s="86"/>
      <c r="D1250" s="60"/>
      <c r="E1250" s="60"/>
      <c r="F1250" s="60"/>
      <c r="G1250" s="60"/>
      <c r="H1250" s="62"/>
      <c r="I1250" s="62"/>
      <c r="J1250" s="62"/>
      <c r="K1250" s="61"/>
      <c r="L1250" s="62"/>
      <c r="M1250" s="62"/>
      <c r="N1250" s="68"/>
      <c r="O1250" s="86"/>
      <c r="P1250" s="71"/>
      <c r="Q1250" s="86"/>
      <c r="R1250" s="86"/>
      <c r="S1250" s="60"/>
      <c r="T1250" s="62"/>
      <c r="U1250" s="62"/>
      <c r="V1250" s="62"/>
      <c r="W1250" s="61"/>
      <c r="X1250" s="62"/>
      <c r="Y1250" s="62"/>
      <c r="Z1250" s="68"/>
      <c r="AA1250" s="86"/>
      <c r="AB1250" s="60"/>
      <c r="AC1250" s="60"/>
      <c r="AD1250" s="60"/>
      <c r="AE1250" s="60"/>
      <c r="AF1250" s="62"/>
      <c r="AG1250" s="62"/>
      <c r="AH1250" s="62"/>
      <c r="AI1250" s="61"/>
      <c r="AJ1250" s="62"/>
      <c r="AK1250" s="62"/>
      <c r="AL1250" s="62"/>
      <c r="AM1250" s="62"/>
      <c r="AN1250" s="62"/>
      <c r="AO1250" s="62"/>
      <c r="AP1250" s="62"/>
      <c r="AQ1250" s="62"/>
      <c r="AR1250" s="62"/>
      <c r="AS1250" s="62"/>
      <c r="AT1250" s="62"/>
      <c r="AU1250" s="62"/>
      <c r="AV1250" s="62"/>
      <c r="AW1250" s="62"/>
      <c r="AX1250" s="62"/>
      <c r="AY1250" s="62"/>
      <c r="AZ1250" s="62"/>
    </row>
    <row r="1251" spans="1:52" x14ac:dyDescent="0.25">
      <c r="A1251" s="62"/>
      <c r="B1251" s="68"/>
      <c r="C1251" s="86"/>
      <c r="D1251" s="60"/>
      <c r="E1251" s="60"/>
      <c r="F1251" s="60"/>
      <c r="G1251" s="60"/>
      <c r="H1251" s="62"/>
      <c r="I1251" s="62"/>
      <c r="J1251" s="62"/>
      <c r="K1251" s="61"/>
      <c r="L1251" s="62"/>
      <c r="M1251" s="62"/>
      <c r="N1251" s="68"/>
      <c r="O1251" s="86"/>
      <c r="P1251" s="71"/>
      <c r="Q1251" s="86"/>
      <c r="R1251" s="86"/>
      <c r="S1251" s="60"/>
      <c r="T1251" s="62"/>
      <c r="U1251" s="62"/>
      <c r="V1251" s="62"/>
      <c r="W1251" s="61"/>
      <c r="X1251" s="62"/>
      <c r="Y1251" s="62"/>
      <c r="Z1251" s="68"/>
      <c r="AA1251" s="86"/>
      <c r="AB1251" s="60"/>
      <c r="AC1251" s="60"/>
      <c r="AD1251" s="60"/>
      <c r="AE1251" s="60"/>
      <c r="AF1251" s="62"/>
      <c r="AG1251" s="62"/>
      <c r="AH1251" s="62"/>
      <c r="AI1251" s="61"/>
      <c r="AJ1251" s="62"/>
      <c r="AK1251" s="62"/>
      <c r="AL1251" s="62"/>
      <c r="AM1251" s="62"/>
      <c r="AN1251" s="62"/>
      <c r="AO1251" s="62"/>
      <c r="AP1251" s="62"/>
      <c r="AQ1251" s="62"/>
      <c r="AR1251" s="62"/>
      <c r="AS1251" s="62"/>
      <c r="AT1251" s="62"/>
      <c r="AU1251" s="62"/>
      <c r="AV1251" s="62"/>
      <c r="AW1251" s="62"/>
      <c r="AX1251" s="62"/>
      <c r="AY1251" s="62"/>
      <c r="AZ1251" s="62"/>
    </row>
    <row r="1252" spans="1:52" x14ac:dyDescent="0.25">
      <c r="A1252" s="62"/>
      <c r="B1252" s="68"/>
      <c r="C1252" s="86"/>
      <c r="D1252" s="60"/>
      <c r="E1252" s="60"/>
      <c r="F1252" s="60"/>
      <c r="G1252" s="60"/>
      <c r="H1252" s="62"/>
      <c r="I1252" s="62"/>
      <c r="J1252" s="62"/>
      <c r="K1252" s="61"/>
      <c r="L1252" s="62"/>
      <c r="M1252" s="62"/>
      <c r="N1252" s="68"/>
      <c r="O1252" s="86"/>
      <c r="P1252" s="71"/>
      <c r="Q1252" s="86"/>
      <c r="R1252" s="86"/>
      <c r="S1252" s="60"/>
      <c r="T1252" s="62"/>
      <c r="U1252" s="62"/>
      <c r="V1252" s="62"/>
      <c r="W1252" s="61"/>
      <c r="X1252" s="62"/>
      <c r="Y1252" s="62"/>
      <c r="Z1252" s="68"/>
      <c r="AA1252" s="86"/>
      <c r="AB1252" s="60"/>
      <c r="AC1252" s="60"/>
      <c r="AD1252" s="60"/>
      <c r="AE1252" s="60"/>
      <c r="AF1252" s="62"/>
      <c r="AG1252" s="62"/>
      <c r="AH1252" s="62"/>
      <c r="AI1252" s="61"/>
      <c r="AJ1252" s="62"/>
      <c r="AK1252" s="62"/>
      <c r="AL1252" s="62"/>
      <c r="AM1252" s="62"/>
      <c r="AN1252" s="62"/>
      <c r="AO1252" s="62"/>
      <c r="AP1252" s="62"/>
      <c r="AQ1252" s="62"/>
      <c r="AR1252" s="62"/>
      <c r="AS1252" s="62"/>
      <c r="AT1252" s="62"/>
      <c r="AU1252" s="62"/>
      <c r="AV1252" s="62"/>
      <c r="AW1252" s="62"/>
      <c r="AX1252" s="62"/>
      <c r="AY1252" s="62"/>
      <c r="AZ1252" s="62"/>
    </row>
    <row r="1253" spans="1:52" x14ac:dyDescent="0.25">
      <c r="A1253" s="62"/>
      <c r="B1253" s="68"/>
      <c r="C1253" s="86"/>
      <c r="D1253" s="60"/>
      <c r="E1253" s="60"/>
      <c r="F1253" s="60"/>
      <c r="G1253" s="60"/>
      <c r="H1253" s="62"/>
      <c r="I1253" s="62"/>
      <c r="J1253" s="62"/>
      <c r="K1253" s="61"/>
      <c r="L1253" s="62"/>
      <c r="M1253" s="62"/>
      <c r="N1253" s="68"/>
      <c r="O1253" s="62"/>
      <c r="P1253" s="71"/>
      <c r="Q1253" s="86"/>
      <c r="R1253" s="86"/>
      <c r="S1253" s="60"/>
      <c r="T1253" s="62"/>
      <c r="U1253" s="62"/>
      <c r="V1253" s="62"/>
      <c r="W1253" s="61"/>
      <c r="X1253" s="62"/>
      <c r="Y1253" s="62"/>
      <c r="Z1253" s="68"/>
      <c r="AA1253" s="62"/>
      <c r="AB1253" s="60"/>
      <c r="AC1253" s="60"/>
      <c r="AD1253" s="60"/>
      <c r="AE1253" s="60"/>
      <c r="AF1253" s="62"/>
      <c r="AG1253" s="62"/>
      <c r="AH1253" s="62"/>
      <c r="AI1253" s="61"/>
      <c r="AJ1253" s="62"/>
      <c r="AK1253" s="62"/>
      <c r="AL1253" s="62"/>
      <c r="AM1253" s="62"/>
      <c r="AN1253" s="62"/>
      <c r="AO1253" s="62"/>
      <c r="AP1253" s="62"/>
      <c r="AQ1253" s="62"/>
      <c r="AR1253" s="62"/>
      <c r="AS1253" s="62"/>
      <c r="AT1253" s="62"/>
      <c r="AU1253" s="62"/>
      <c r="AV1253" s="62"/>
      <c r="AW1253" s="62"/>
      <c r="AX1253" s="62"/>
      <c r="AY1253" s="62"/>
      <c r="AZ1253" s="62"/>
    </row>
    <row r="1254" spans="1:52" x14ac:dyDescent="0.25">
      <c r="A1254" s="62"/>
      <c r="B1254" s="68"/>
      <c r="C1254" s="86"/>
      <c r="D1254" s="60"/>
      <c r="E1254" s="60"/>
      <c r="F1254" s="60"/>
      <c r="G1254" s="60"/>
      <c r="H1254" s="62"/>
      <c r="I1254" s="62"/>
      <c r="J1254" s="62"/>
      <c r="K1254" s="61"/>
      <c r="L1254" s="62"/>
      <c r="M1254" s="62"/>
      <c r="N1254" s="68"/>
      <c r="O1254" s="86"/>
      <c r="P1254" s="71"/>
      <c r="Q1254" s="86"/>
      <c r="R1254" s="86"/>
      <c r="S1254" s="60"/>
      <c r="T1254" s="62"/>
      <c r="U1254" s="62"/>
      <c r="V1254" s="62"/>
      <c r="W1254" s="61"/>
      <c r="X1254" s="62"/>
      <c r="Y1254" s="62"/>
      <c r="Z1254" s="68"/>
      <c r="AA1254" s="86"/>
      <c r="AB1254" s="60"/>
      <c r="AC1254" s="60"/>
      <c r="AD1254" s="60"/>
      <c r="AE1254" s="60"/>
      <c r="AF1254" s="62"/>
      <c r="AG1254" s="62"/>
      <c r="AH1254" s="62"/>
      <c r="AI1254" s="61"/>
      <c r="AJ1254" s="62"/>
      <c r="AK1254" s="62"/>
      <c r="AL1254" s="62"/>
      <c r="AM1254" s="62"/>
      <c r="AN1254" s="62"/>
      <c r="AO1254" s="62"/>
      <c r="AP1254" s="62"/>
      <c r="AQ1254" s="62"/>
      <c r="AR1254" s="62"/>
      <c r="AS1254" s="62"/>
      <c r="AT1254" s="62"/>
      <c r="AU1254" s="62"/>
      <c r="AV1254" s="62"/>
      <c r="AW1254" s="62"/>
      <c r="AX1254" s="62"/>
      <c r="AY1254" s="62"/>
      <c r="AZ1254" s="62"/>
    </row>
    <row r="1255" spans="1:52" x14ac:dyDescent="0.25">
      <c r="A1255" s="62"/>
      <c r="B1255" s="68"/>
      <c r="C1255" s="86"/>
      <c r="D1255" s="60"/>
      <c r="E1255" s="60"/>
      <c r="F1255" s="60"/>
      <c r="G1255" s="60"/>
      <c r="H1255" s="62"/>
      <c r="I1255" s="62"/>
      <c r="J1255" s="62"/>
      <c r="K1255" s="61"/>
      <c r="L1255" s="62"/>
      <c r="M1255" s="62"/>
      <c r="N1255" s="68"/>
      <c r="O1255" s="86"/>
      <c r="P1255" s="71"/>
      <c r="Q1255" s="86"/>
      <c r="R1255" s="86"/>
      <c r="S1255" s="60"/>
      <c r="T1255" s="62"/>
      <c r="U1255" s="62"/>
      <c r="V1255" s="62"/>
      <c r="W1255" s="61"/>
      <c r="X1255" s="62"/>
      <c r="Y1255" s="62"/>
      <c r="Z1255" s="68"/>
      <c r="AA1255" s="86"/>
      <c r="AB1255" s="60"/>
      <c r="AC1255" s="60"/>
      <c r="AD1255" s="60"/>
      <c r="AE1255" s="60"/>
      <c r="AF1255" s="62"/>
      <c r="AG1255" s="62"/>
      <c r="AH1255" s="62"/>
      <c r="AI1255" s="61"/>
      <c r="AJ1255" s="62"/>
      <c r="AK1255" s="62"/>
      <c r="AL1255" s="62"/>
      <c r="AM1255" s="62"/>
      <c r="AN1255" s="62"/>
      <c r="AO1255" s="62"/>
      <c r="AP1255" s="62"/>
      <c r="AQ1255" s="62"/>
      <c r="AR1255" s="62"/>
      <c r="AS1255" s="62"/>
      <c r="AT1255" s="62"/>
      <c r="AU1255" s="62"/>
      <c r="AV1255" s="62"/>
      <c r="AW1255" s="62"/>
      <c r="AX1255" s="62"/>
      <c r="AY1255" s="62"/>
      <c r="AZ1255" s="62"/>
    </row>
    <row r="1256" spans="1:52" x14ac:dyDescent="0.25">
      <c r="A1256" s="62"/>
      <c r="B1256" s="68"/>
      <c r="C1256" s="66"/>
      <c r="D1256" s="60"/>
      <c r="E1256" s="60"/>
      <c r="F1256" s="60"/>
      <c r="G1256" s="60"/>
      <c r="H1256" s="62"/>
      <c r="I1256" s="62"/>
      <c r="J1256" s="62"/>
      <c r="K1256" s="61"/>
      <c r="L1256" s="62"/>
      <c r="M1256" s="62"/>
      <c r="N1256" s="68"/>
      <c r="O1256" s="86"/>
      <c r="P1256" s="71"/>
      <c r="Q1256" s="86"/>
      <c r="R1256" s="86"/>
      <c r="S1256" s="60"/>
      <c r="T1256" s="62"/>
      <c r="U1256" s="62"/>
      <c r="V1256" s="62"/>
      <c r="W1256" s="61"/>
      <c r="X1256" s="62"/>
      <c r="Y1256" s="62"/>
      <c r="Z1256" s="68"/>
      <c r="AA1256" s="86"/>
      <c r="AB1256" s="60"/>
      <c r="AC1256" s="60"/>
      <c r="AD1256" s="60"/>
      <c r="AE1256" s="60"/>
      <c r="AF1256" s="62"/>
      <c r="AG1256" s="62"/>
      <c r="AH1256" s="62"/>
      <c r="AI1256" s="61"/>
      <c r="AJ1256" s="62"/>
      <c r="AK1256" s="62"/>
      <c r="AL1256" s="62"/>
      <c r="AM1256" s="62"/>
      <c r="AN1256" s="62"/>
      <c r="AO1256" s="62"/>
      <c r="AP1256" s="62"/>
      <c r="AQ1256" s="62"/>
      <c r="AR1256" s="62"/>
      <c r="AS1256" s="62"/>
      <c r="AT1256" s="62"/>
      <c r="AU1256" s="62"/>
      <c r="AV1256" s="62"/>
      <c r="AW1256" s="62"/>
      <c r="AX1256" s="62"/>
      <c r="AY1256" s="62"/>
      <c r="AZ1256" s="62"/>
    </row>
    <row r="1257" spans="1:52" x14ac:dyDescent="0.25">
      <c r="A1257" s="62"/>
      <c r="B1257" s="68"/>
      <c r="C1257" s="86"/>
      <c r="D1257" s="60"/>
      <c r="E1257" s="60"/>
      <c r="F1257" s="60"/>
      <c r="G1257" s="60"/>
      <c r="H1257" s="62"/>
      <c r="I1257" s="62"/>
      <c r="J1257" s="62"/>
      <c r="K1257" s="61"/>
      <c r="L1257" s="62"/>
      <c r="M1257" s="62"/>
      <c r="N1257" s="68"/>
      <c r="O1257" s="86"/>
      <c r="P1257" s="71"/>
      <c r="Q1257" s="86"/>
      <c r="R1257" s="86"/>
      <c r="S1257" s="60"/>
      <c r="T1257" s="62"/>
      <c r="U1257" s="62"/>
      <c r="V1257" s="62"/>
      <c r="W1257" s="61"/>
      <c r="X1257" s="62"/>
      <c r="Y1257" s="62"/>
      <c r="Z1257" s="68"/>
      <c r="AA1257" s="86"/>
      <c r="AB1257" s="60"/>
      <c r="AC1257" s="60"/>
      <c r="AD1257" s="60"/>
      <c r="AE1257" s="60"/>
      <c r="AF1257" s="62"/>
      <c r="AG1257" s="62"/>
      <c r="AH1257" s="62"/>
      <c r="AI1257" s="61"/>
      <c r="AJ1257" s="62"/>
      <c r="AK1257" s="62"/>
      <c r="AL1257" s="62"/>
      <c r="AM1257" s="62"/>
      <c r="AN1257" s="62"/>
      <c r="AO1257" s="62"/>
      <c r="AP1257" s="62"/>
      <c r="AQ1257" s="62"/>
      <c r="AR1257" s="62"/>
      <c r="AS1257" s="62"/>
      <c r="AT1257" s="62"/>
      <c r="AU1257" s="62"/>
      <c r="AV1257" s="62"/>
      <c r="AW1257" s="62"/>
      <c r="AX1257" s="62"/>
      <c r="AY1257" s="62"/>
      <c r="AZ1257" s="62"/>
    </row>
    <row r="1258" spans="1:52" x14ac:dyDescent="0.25">
      <c r="A1258" s="62"/>
      <c r="B1258" s="68"/>
      <c r="C1258" s="86"/>
      <c r="D1258" s="60"/>
      <c r="E1258" s="60"/>
      <c r="F1258" s="60"/>
      <c r="G1258" s="60"/>
      <c r="H1258" s="62"/>
      <c r="I1258" s="62"/>
      <c r="J1258" s="62"/>
      <c r="K1258" s="61"/>
      <c r="L1258" s="62"/>
      <c r="M1258" s="62"/>
      <c r="N1258" s="68"/>
      <c r="O1258" s="86"/>
      <c r="P1258" s="71"/>
      <c r="Q1258" s="86"/>
      <c r="R1258" s="86"/>
      <c r="S1258" s="60"/>
      <c r="T1258" s="62"/>
      <c r="U1258" s="62"/>
      <c r="V1258" s="62"/>
      <c r="W1258" s="61"/>
      <c r="X1258" s="62"/>
      <c r="Y1258" s="62"/>
      <c r="Z1258" s="68"/>
      <c r="AA1258" s="86"/>
      <c r="AB1258" s="60"/>
      <c r="AC1258" s="60"/>
      <c r="AD1258" s="60"/>
      <c r="AE1258" s="60"/>
      <c r="AF1258" s="62"/>
      <c r="AG1258" s="62"/>
      <c r="AH1258" s="62"/>
      <c r="AI1258" s="61"/>
      <c r="AJ1258" s="62"/>
      <c r="AK1258" s="62"/>
      <c r="AL1258" s="62"/>
      <c r="AM1258" s="62"/>
      <c r="AN1258" s="62"/>
      <c r="AO1258" s="62"/>
      <c r="AP1258" s="62"/>
      <c r="AQ1258" s="62"/>
      <c r="AR1258" s="62"/>
      <c r="AS1258" s="62"/>
      <c r="AT1258" s="62"/>
      <c r="AU1258" s="62"/>
      <c r="AV1258" s="62"/>
      <c r="AW1258" s="62"/>
      <c r="AX1258" s="62"/>
      <c r="AY1258" s="62"/>
      <c r="AZ1258" s="62"/>
    </row>
    <row r="1259" spans="1:52" x14ac:dyDescent="0.25">
      <c r="A1259" s="62"/>
      <c r="B1259" s="68"/>
      <c r="C1259" s="86"/>
      <c r="D1259" s="60"/>
      <c r="E1259" s="60"/>
      <c r="F1259" s="60"/>
      <c r="G1259" s="60"/>
      <c r="H1259" s="62"/>
      <c r="I1259" s="62"/>
      <c r="J1259" s="62"/>
      <c r="K1259" s="61"/>
      <c r="L1259" s="62"/>
      <c r="M1259" s="62"/>
      <c r="N1259" s="68"/>
      <c r="O1259" s="86"/>
      <c r="P1259" s="71"/>
      <c r="Q1259" s="86"/>
      <c r="R1259" s="86"/>
      <c r="S1259" s="60"/>
      <c r="T1259" s="62"/>
      <c r="U1259" s="62"/>
      <c r="V1259" s="62"/>
      <c r="W1259" s="61"/>
      <c r="X1259" s="62"/>
      <c r="Y1259" s="62"/>
      <c r="Z1259" s="68"/>
      <c r="AA1259" s="86"/>
      <c r="AB1259" s="60"/>
      <c r="AC1259" s="60"/>
      <c r="AD1259" s="60"/>
      <c r="AE1259" s="60"/>
      <c r="AF1259" s="62"/>
      <c r="AG1259" s="62"/>
      <c r="AH1259" s="62"/>
      <c r="AI1259" s="61"/>
      <c r="AJ1259" s="62"/>
      <c r="AK1259" s="62"/>
      <c r="AL1259" s="62"/>
      <c r="AM1259" s="62"/>
      <c r="AN1259" s="62"/>
      <c r="AO1259" s="62"/>
      <c r="AP1259" s="62"/>
      <c r="AQ1259" s="62"/>
      <c r="AR1259" s="62"/>
      <c r="AS1259" s="62"/>
      <c r="AT1259" s="62"/>
      <c r="AU1259" s="62"/>
      <c r="AV1259" s="62"/>
      <c r="AW1259" s="62"/>
      <c r="AX1259" s="62"/>
      <c r="AY1259" s="62"/>
      <c r="AZ1259" s="62"/>
    </row>
    <row r="1260" spans="1:52" x14ac:dyDescent="0.25">
      <c r="A1260" s="62"/>
      <c r="B1260" s="68"/>
      <c r="C1260" s="86"/>
      <c r="D1260" s="60"/>
      <c r="E1260" s="60"/>
      <c r="F1260" s="60"/>
      <c r="G1260" s="60"/>
      <c r="H1260" s="62"/>
      <c r="I1260" s="62"/>
      <c r="J1260" s="62"/>
      <c r="K1260" s="61"/>
      <c r="L1260" s="62"/>
      <c r="M1260" s="62"/>
      <c r="N1260" s="68"/>
      <c r="O1260" s="86"/>
      <c r="P1260" s="71"/>
      <c r="Q1260" s="86"/>
      <c r="R1260" s="86"/>
      <c r="S1260" s="60"/>
      <c r="T1260" s="62"/>
      <c r="U1260" s="62"/>
      <c r="V1260" s="62"/>
      <c r="W1260" s="61"/>
      <c r="X1260" s="62"/>
      <c r="Y1260" s="62"/>
      <c r="Z1260" s="68"/>
      <c r="AA1260" s="86"/>
      <c r="AB1260" s="60"/>
      <c r="AC1260" s="60"/>
      <c r="AD1260" s="60"/>
      <c r="AE1260" s="60"/>
      <c r="AF1260" s="62"/>
      <c r="AG1260" s="62"/>
      <c r="AH1260" s="62"/>
      <c r="AI1260" s="61"/>
      <c r="AJ1260" s="62"/>
      <c r="AK1260" s="62"/>
      <c r="AL1260" s="62"/>
      <c r="AM1260" s="62"/>
      <c r="AN1260" s="62"/>
      <c r="AO1260" s="62"/>
      <c r="AP1260" s="62"/>
      <c r="AQ1260" s="62"/>
      <c r="AR1260" s="62"/>
      <c r="AS1260" s="62"/>
      <c r="AT1260" s="62"/>
      <c r="AU1260" s="62"/>
      <c r="AV1260" s="62"/>
      <c r="AW1260" s="62"/>
      <c r="AX1260" s="62"/>
      <c r="AY1260" s="62"/>
      <c r="AZ1260" s="62"/>
    </row>
    <row r="1261" spans="1:52" x14ac:dyDescent="0.25">
      <c r="A1261" s="62"/>
      <c r="B1261" s="68"/>
      <c r="C1261" s="86"/>
      <c r="D1261" s="60"/>
      <c r="E1261" s="60"/>
      <c r="F1261" s="60"/>
      <c r="G1261" s="60"/>
      <c r="H1261" s="62"/>
      <c r="I1261" s="62"/>
      <c r="J1261" s="62"/>
      <c r="K1261" s="61"/>
      <c r="L1261" s="62"/>
      <c r="M1261" s="62"/>
      <c r="N1261" s="68"/>
      <c r="O1261" s="86"/>
      <c r="P1261" s="71"/>
      <c r="Q1261" s="86"/>
      <c r="R1261" s="86"/>
      <c r="S1261" s="60"/>
      <c r="T1261" s="62"/>
      <c r="U1261" s="62"/>
      <c r="V1261" s="62"/>
      <c r="W1261" s="61"/>
      <c r="X1261" s="62"/>
      <c r="Y1261" s="62"/>
      <c r="Z1261" s="68"/>
      <c r="AA1261" s="86"/>
      <c r="AB1261" s="60"/>
      <c r="AC1261" s="60"/>
      <c r="AD1261" s="60"/>
      <c r="AE1261" s="60"/>
      <c r="AF1261" s="62"/>
      <c r="AG1261" s="62"/>
      <c r="AH1261" s="62"/>
      <c r="AI1261" s="61"/>
      <c r="AJ1261" s="62"/>
      <c r="AK1261" s="62"/>
      <c r="AL1261" s="62"/>
      <c r="AM1261" s="62"/>
      <c r="AN1261" s="62"/>
      <c r="AO1261" s="62"/>
      <c r="AP1261" s="62"/>
      <c r="AQ1261" s="62"/>
      <c r="AR1261" s="62"/>
      <c r="AS1261" s="62"/>
      <c r="AT1261" s="62"/>
      <c r="AU1261" s="62"/>
      <c r="AV1261" s="62"/>
      <c r="AW1261" s="62"/>
      <c r="AX1261" s="62"/>
      <c r="AY1261" s="62"/>
      <c r="AZ1261" s="62"/>
    </row>
    <row r="1262" spans="1:52" x14ac:dyDescent="0.25">
      <c r="A1262" s="62"/>
      <c r="B1262" s="68"/>
      <c r="C1262" s="86"/>
      <c r="D1262" s="60"/>
      <c r="E1262" s="60"/>
      <c r="F1262" s="60"/>
      <c r="G1262" s="60"/>
      <c r="H1262" s="62"/>
      <c r="I1262" s="62"/>
      <c r="J1262" s="62"/>
      <c r="K1262" s="61"/>
      <c r="L1262" s="62"/>
      <c r="M1262" s="62"/>
      <c r="N1262" s="68"/>
      <c r="O1262" s="86"/>
      <c r="P1262" s="71"/>
      <c r="Q1262" s="86"/>
      <c r="R1262" s="86"/>
      <c r="S1262" s="60"/>
      <c r="T1262" s="62"/>
      <c r="U1262" s="62"/>
      <c r="V1262" s="62"/>
      <c r="W1262" s="61"/>
      <c r="X1262" s="62"/>
      <c r="Y1262" s="62"/>
      <c r="Z1262" s="68"/>
      <c r="AA1262" s="86"/>
      <c r="AB1262" s="60"/>
      <c r="AC1262" s="60"/>
      <c r="AD1262" s="60"/>
      <c r="AE1262" s="60"/>
      <c r="AF1262" s="62"/>
      <c r="AG1262" s="62"/>
      <c r="AH1262" s="62"/>
      <c r="AI1262" s="61"/>
      <c r="AJ1262" s="62"/>
      <c r="AK1262" s="62"/>
      <c r="AL1262" s="62"/>
      <c r="AM1262" s="62"/>
      <c r="AN1262" s="62"/>
      <c r="AO1262" s="62"/>
      <c r="AP1262" s="62"/>
      <c r="AQ1262" s="62"/>
      <c r="AR1262" s="62"/>
      <c r="AS1262" s="62"/>
      <c r="AT1262" s="62"/>
      <c r="AU1262" s="62"/>
      <c r="AV1262" s="62"/>
      <c r="AW1262" s="62"/>
      <c r="AX1262" s="62"/>
      <c r="AY1262" s="62"/>
      <c r="AZ1262" s="62"/>
    </row>
    <row r="1263" spans="1:52" x14ac:dyDescent="0.25">
      <c r="A1263" s="62"/>
      <c r="B1263" s="68"/>
      <c r="C1263" s="86"/>
      <c r="D1263" s="60"/>
      <c r="E1263" s="60"/>
      <c r="F1263" s="60"/>
      <c r="G1263" s="60"/>
      <c r="H1263" s="62"/>
      <c r="I1263" s="62"/>
      <c r="J1263" s="62"/>
      <c r="K1263" s="61"/>
      <c r="L1263" s="62"/>
      <c r="M1263" s="62"/>
      <c r="N1263" s="68"/>
      <c r="O1263" s="86"/>
      <c r="P1263" s="71"/>
      <c r="Q1263" s="86"/>
      <c r="R1263" s="86"/>
      <c r="S1263" s="60"/>
      <c r="T1263" s="62"/>
      <c r="U1263" s="62"/>
      <c r="V1263" s="62"/>
      <c r="W1263" s="61"/>
      <c r="X1263" s="62"/>
      <c r="Y1263" s="62"/>
      <c r="Z1263" s="68"/>
      <c r="AA1263" s="86"/>
      <c r="AB1263" s="60"/>
      <c r="AC1263" s="60"/>
      <c r="AD1263" s="60"/>
      <c r="AE1263" s="60"/>
      <c r="AF1263" s="62"/>
      <c r="AG1263" s="62"/>
      <c r="AH1263" s="62"/>
      <c r="AI1263" s="61"/>
      <c r="AJ1263" s="62"/>
      <c r="AK1263" s="62"/>
      <c r="AL1263" s="62"/>
      <c r="AM1263" s="62"/>
      <c r="AN1263" s="62"/>
      <c r="AO1263" s="62"/>
      <c r="AP1263" s="62"/>
      <c r="AQ1263" s="62"/>
      <c r="AR1263" s="62"/>
      <c r="AS1263" s="62"/>
      <c r="AT1263" s="62"/>
      <c r="AU1263" s="62"/>
      <c r="AV1263" s="62"/>
      <c r="AW1263" s="62"/>
      <c r="AX1263" s="62"/>
      <c r="AY1263" s="62"/>
      <c r="AZ1263" s="62"/>
    </row>
    <row r="1264" spans="1:52" x14ac:dyDescent="0.25">
      <c r="A1264" s="62"/>
      <c r="B1264" s="68"/>
      <c r="C1264" s="86"/>
      <c r="D1264" s="60"/>
      <c r="E1264" s="60"/>
      <c r="F1264" s="60"/>
      <c r="G1264" s="60"/>
      <c r="H1264" s="62"/>
      <c r="I1264" s="62"/>
      <c r="J1264" s="62"/>
      <c r="K1264" s="61"/>
      <c r="L1264" s="62"/>
      <c r="M1264" s="62"/>
      <c r="N1264" s="68"/>
      <c r="O1264" s="86"/>
      <c r="P1264" s="71"/>
      <c r="Q1264" s="86"/>
      <c r="R1264" s="86"/>
      <c r="S1264" s="60"/>
      <c r="T1264" s="62"/>
      <c r="U1264" s="62"/>
      <c r="V1264" s="62"/>
      <c r="W1264" s="61"/>
      <c r="X1264" s="62"/>
      <c r="Y1264" s="62"/>
      <c r="Z1264" s="68"/>
      <c r="AA1264" s="86"/>
      <c r="AB1264" s="60"/>
      <c r="AC1264" s="60"/>
      <c r="AD1264" s="60"/>
      <c r="AE1264" s="60"/>
      <c r="AF1264" s="62"/>
      <c r="AG1264" s="62"/>
      <c r="AH1264" s="62"/>
      <c r="AI1264" s="61"/>
      <c r="AJ1264" s="62"/>
      <c r="AK1264" s="62"/>
      <c r="AL1264" s="62"/>
      <c r="AM1264" s="62"/>
      <c r="AN1264" s="62"/>
      <c r="AO1264" s="62"/>
      <c r="AP1264" s="62"/>
      <c r="AQ1264" s="62"/>
      <c r="AR1264" s="62"/>
      <c r="AS1264" s="62"/>
      <c r="AT1264" s="62"/>
      <c r="AU1264" s="62"/>
      <c r="AV1264" s="62"/>
      <c r="AW1264" s="62"/>
      <c r="AX1264" s="62"/>
      <c r="AY1264" s="62"/>
      <c r="AZ1264" s="62"/>
    </row>
    <row r="1265" spans="1:52" x14ac:dyDescent="0.25">
      <c r="A1265" s="62"/>
      <c r="B1265" s="68"/>
      <c r="C1265" s="86"/>
      <c r="D1265" s="60"/>
      <c r="E1265" s="60"/>
      <c r="F1265" s="60"/>
      <c r="G1265" s="60"/>
      <c r="H1265" s="62"/>
      <c r="I1265" s="62"/>
      <c r="J1265" s="62"/>
      <c r="K1265" s="61"/>
      <c r="L1265" s="62"/>
      <c r="M1265" s="62"/>
      <c r="N1265" s="68"/>
      <c r="O1265" s="86"/>
      <c r="P1265" s="71"/>
      <c r="Q1265" s="86"/>
      <c r="R1265" s="86"/>
      <c r="S1265" s="60"/>
      <c r="T1265" s="62"/>
      <c r="U1265" s="62"/>
      <c r="V1265" s="62"/>
      <c r="W1265" s="61"/>
      <c r="X1265" s="62"/>
      <c r="Y1265" s="62"/>
      <c r="Z1265" s="68"/>
      <c r="AA1265" s="86"/>
      <c r="AB1265" s="60"/>
      <c r="AC1265" s="60"/>
      <c r="AD1265" s="60"/>
      <c r="AE1265" s="60"/>
      <c r="AF1265" s="62"/>
      <c r="AG1265" s="62"/>
      <c r="AH1265" s="62"/>
      <c r="AI1265" s="61"/>
      <c r="AJ1265" s="62"/>
      <c r="AK1265" s="62"/>
      <c r="AL1265" s="62"/>
      <c r="AM1265" s="62"/>
      <c r="AN1265" s="62"/>
      <c r="AO1265" s="62"/>
      <c r="AP1265" s="62"/>
      <c r="AQ1265" s="62"/>
      <c r="AR1265" s="62"/>
      <c r="AS1265" s="62"/>
      <c r="AT1265" s="62"/>
      <c r="AU1265" s="62"/>
      <c r="AV1265" s="62"/>
      <c r="AW1265" s="62"/>
      <c r="AX1265" s="62"/>
      <c r="AY1265" s="62"/>
      <c r="AZ1265" s="62"/>
    </row>
    <row r="1266" spans="1:52" x14ac:dyDescent="0.25">
      <c r="A1266" s="62"/>
      <c r="B1266" s="68"/>
      <c r="C1266" s="86"/>
      <c r="D1266" s="60"/>
      <c r="E1266" s="60"/>
      <c r="F1266" s="60"/>
      <c r="G1266" s="60"/>
      <c r="H1266" s="62"/>
      <c r="I1266" s="62"/>
      <c r="J1266" s="62"/>
      <c r="K1266" s="61"/>
      <c r="L1266" s="62"/>
      <c r="M1266" s="62"/>
      <c r="N1266" s="68"/>
      <c r="O1266" s="86"/>
      <c r="P1266" s="71"/>
      <c r="Q1266" s="86"/>
      <c r="R1266" s="86"/>
      <c r="S1266" s="60"/>
      <c r="T1266" s="62"/>
      <c r="U1266" s="62"/>
      <c r="V1266" s="62"/>
      <c r="W1266" s="61"/>
      <c r="X1266" s="62"/>
      <c r="Y1266" s="62"/>
      <c r="Z1266" s="68"/>
      <c r="AA1266" s="86"/>
      <c r="AB1266" s="60"/>
      <c r="AC1266" s="60"/>
      <c r="AD1266" s="60"/>
      <c r="AE1266" s="60"/>
      <c r="AF1266" s="62"/>
      <c r="AG1266" s="62"/>
      <c r="AH1266" s="62"/>
      <c r="AI1266" s="61"/>
      <c r="AJ1266" s="62"/>
      <c r="AK1266" s="62"/>
      <c r="AL1266" s="62"/>
      <c r="AM1266" s="62"/>
      <c r="AN1266" s="62"/>
      <c r="AO1266" s="62"/>
      <c r="AP1266" s="62"/>
      <c r="AQ1266" s="62"/>
      <c r="AR1266" s="62"/>
      <c r="AS1266" s="62"/>
      <c r="AT1266" s="62"/>
      <c r="AU1266" s="62"/>
      <c r="AV1266" s="62"/>
      <c r="AW1266" s="62"/>
      <c r="AX1266" s="62"/>
      <c r="AY1266" s="62"/>
      <c r="AZ1266" s="62"/>
    </row>
    <row r="1267" spans="1:52" x14ac:dyDescent="0.25">
      <c r="A1267" s="62"/>
      <c r="B1267" s="68"/>
      <c r="C1267" s="86"/>
      <c r="D1267" s="60"/>
      <c r="E1267" s="60"/>
      <c r="F1267" s="60"/>
      <c r="G1267" s="60"/>
      <c r="H1267" s="62"/>
      <c r="I1267" s="62"/>
      <c r="J1267" s="62"/>
      <c r="K1267" s="61"/>
      <c r="L1267" s="62"/>
      <c r="M1267" s="62"/>
      <c r="N1267" s="68"/>
      <c r="O1267" s="86"/>
      <c r="P1267" s="71"/>
      <c r="Q1267" s="86"/>
      <c r="R1267" s="86"/>
      <c r="S1267" s="60"/>
      <c r="T1267" s="62"/>
      <c r="U1267" s="62"/>
      <c r="V1267" s="62"/>
      <c r="W1267" s="61"/>
      <c r="X1267" s="62"/>
      <c r="Y1267" s="62"/>
      <c r="Z1267" s="68"/>
      <c r="AA1267" s="86"/>
      <c r="AB1267" s="60"/>
      <c r="AC1267" s="60"/>
      <c r="AD1267" s="60"/>
      <c r="AE1267" s="60"/>
      <c r="AF1267" s="62"/>
      <c r="AG1267" s="62"/>
      <c r="AH1267" s="62"/>
      <c r="AI1267" s="61"/>
      <c r="AJ1267" s="62"/>
      <c r="AK1267" s="62"/>
      <c r="AL1267" s="62"/>
      <c r="AM1267" s="62"/>
      <c r="AN1267" s="62"/>
      <c r="AO1267" s="62"/>
      <c r="AP1267" s="62"/>
      <c r="AQ1267" s="62"/>
      <c r="AR1267" s="62"/>
      <c r="AS1267" s="62"/>
      <c r="AT1267" s="62"/>
      <c r="AU1267" s="62"/>
      <c r="AV1267" s="62"/>
      <c r="AW1267" s="62"/>
      <c r="AX1267" s="62"/>
      <c r="AY1267" s="62"/>
      <c r="AZ1267" s="62"/>
    </row>
    <row r="1268" spans="1:52" x14ac:dyDescent="0.25">
      <c r="A1268" s="62"/>
      <c r="B1268" s="68"/>
      <c r="C1268" s="86"/>
      <c r="D1268" s="60"/>
      <c r="E1268" s="60"/>
      <c r="F1268" s="60"/>
      <c r="G1268" s="60"/>
      <c r="H1268" s="62"/>
      <c r="I1268" s="62"/>
      <c r="J1268" s="62"/>
      <c r="K1268" s="61"/>
      <c r="L1268" s="62"/>
      <c r="M1268" s="62"/>
      <c r="N1268" s="68"/>
      <c r="O1268" s="86"/>
      <c r="P1268" s="71"/>
      <c r="Q1268" s="86"/>
      <c r="R1268" s="86"/>
      <c r="S1268" s="60"/>
      <c r="T1268" s="62"/>
      <c r="U1268" s="62"/>
      <c r="V1268" s="62"/>
      <c r="W1268" s="61"/>
      <c r="X1268" s="62"/>
      <c r="Y1268" s="62"/>
      <c r="Z1268" s="68"/>
      <c r="AA1268" s="86"/>
      <c r="AB1268" s="60"/>
      <c r="AC1268" s="60"/>
      <c r="AD1268" s="60"/>
      <c r="AE1268" s="60"/>
      <c r="AF1268" s="62"/>
      <c r="AG1268" s="62"/>
      <c r="AH1268" s="62"/>
      <c r="AI1268" s="61"/>
      <c r="AJ1268" s="62"/>
      <c r="AK1268" s="62"/>
      <c r="AL1268" s="62"/>
      <c r="AM1268" s="62"/>
      <c r="AN1268" s="62"/>
      <c r="AO1268" s="62"/>
      <c r="AP1268" s="62"/>
      <c r="AQ1268" s="62"/>
      <c r="AR1268" s="62"/>
      <c r="AS1268" s="62"/>
      <c r="AT1268" s="62"/>
      <c r="AU1268" s="62"/>
      <c r="AV1268" s="62"/>
      <c r="AW1268" s="62"/>
      <c r="AX1268" s="62"/>
      <c r="AY1268" s="62"/>
      <c r="AZ1268" s="62"/>
    </row>
    <row r="1269" spans="1:52" x14ac:dyDescent="0.25">
      <c r="A1269" s="62"/>
      <c r="B1269" s="68"/>
      <c r="C1269" s="86"/>
      <c r="D1269" s="60"/>
      <c r="E1269" s="60"/>
      <c r="F1269" s="60"/>
      <c r="G1269" s="60"/>
      <c r="H1269" s="62"/>
      <c r="I1269" s="62"/>
      <c r="J1269" s="62"/>
      <c r="K1269" s="61"/>
      <c r="L1269" s="62"/>
      <c r="M1269" s="62"/>
      <c r="N1269" s="68"/>
      <c r="O1269" s="86"/>
      <c r="P1269" s="71"/>
      <c r="Q1269" s="86"/>
      <c r="R1269" s="86"/>
      <c r="S1269" s="60"/>
      <c r="T1269" s="62"/>
      <c r="U1269" s="62"/>
      <c r="V1269" s="62"/>
      <c r="W1269" s="61"/>
      <c r="X1269" s="62"/>
      <c r="Y1269" s="62"/>
      <c r="Z1269" s="68"/>
      <c r="AA1269" s="86"/>
      <c r="AB1269" s="60"/>
      <c r="AC1269" s="60"/>
      <c r="AD1269" s="60"/>
      <c r="AE1269" s="60"/>
      <c r="AF1269" s="62"/>
      <c r="AG1269" s="62"/>
      <c r="AH1269" s="62"/>
      <c r="AI1269" s="61"/>
      <c r="AJ1269" s="62"/>
      <c r="AK1269" s="62"/>
      <c r="AL1269" s="62"/>
      <c r="AM1269" s="62"/>
      <c r="AN1269" s="62"/>
      <c r="AO1269" s="62"/>
      <c r="AP1269" s="62"/>
      <c r="AQ1269" s="62"/>
      <c r="AR1269" s="62"/>
      <c r="AS1269" s="62"/>
      <c r="AT1269" s="62"/>
      <c r="AU1269" s="62"/>
      <c r="AV1269" s="62"/>
      <c r="AW1269" s="62"/>
      <c r="AX1269" s="62"/>
      <c r="AY1269" s="62"/>
      <c r="AZ1269" s="62"/>
    </row>
    <row r="1270" spans="1:52" x14ac:dyDescent="0.25">
      <c r="A1270" s="62"/>
      <c r="B1270" s="68"/>
      <c r="C1270" s="86"/>
      <c r="D1270" s="60"/>
      <c r="E1270" s="60"/>
      <c r="F1270" s="60"/>
      <c r="G1270" s="60"/>
      <c r="H1270" s="62"/>
      <c r="I1270" s="62"/>
      <c r="J1270" s="62"/>
      <c r="K1270" s="61"/>
      <c r="L1270" s="62"/>
      <c r="M1270" s="62"/>
      <c r="N1270" s="68"/>
      <c r="O1270" s="62"/>
      <c r="P1270" s="71"/>
      <c r="Q1270" s="86"/>
      <c r="R1270" s="86"/>
      <c r="S1270" s="60"/>
      <c r="T1270" s="62"/>
      <c r="U1270" s="62"/>
      <c r="V1270" s="62"/>
      <c r="W1270" s="61"/>
      <c r="X1270" s="62"/>
      <c r="Y1270" s="62"/>
      <c r="Z1270" s="68"/>
      <c r="AA1270" s="86"/>
      <c r="AB1270" s="60"/>
      <c r="AC1270" s="60"/>
      <c r="AD1270" s="60"/>
      <c r="AE1270" s="60"/>
      <c r="AF1270" s="62"/>
      <c r="AG1270" s="62"/>
      <c r="AH1270" s="62"/>
      <c r="AI1270" s="61"/>
      <c r="AJ1270" s="62"/>
      <c r="AK1270" s="62"/>
      <c r="AL1270" s="62"/>
      <c r="AM1270" s="62"/>
      <c r="AN1270" s="62"/>
      <c r="AO1270" s="62"/>
      <c r="AP1270" s="62"/>
      <c r="AQ1270" s="62"/>
      <c r="AR1270" s="62"/>
      <c r="AS1270" s="62"/>
      <c r="AT1270" s="62"/>
      <c r="AU1270" s="62"/>
      <c r="AV1270" s="62"/>
      <c r="AW1270" s="62"/>
      <c r="AX1270" s="62"/>
      <c r="AY1270" s="62"/>
      <c r="AZ1270" s="62"/>
    </row>
    <row r="1271" spans="1:52" x14ac:dyDescent="0.25">
      <c r="A1271" s="62"/>
      <c r="B1271" s="68"/>
      <c r="C1271" s="86"/>
      <c r="D1271" s="60"/>
      <c r="E1271" s="60"/>
      <c r="F1271" s="60"/>
      <c r="G1271" s="60"/>
      <c r="H1271" s="62"/>
      <c r="I1271" s="62"/>
      <c r="J1271" s="62"/>
      <c r="K1271" s="61"/>
      <c r="L1271" s="62"/>
      <c r="M1271" s="62"/>
      <c r="N1271" s="68"/>
      <c r="O1271" s="86"/>
      <c r="P1271" s="71"/>
      <c r="Q1271" s="86"/>
      <c r="R1271" s="86"/>
      <c r="S1271" s="60"/>
      <c r="T1271" s="62"/>
      <c r="U1271" s="62"/>
      <c r="V1271" s="62"/>
      <c r="W1271" s="61"/>
      <c r="X1271" s="62"/>
      <c r="Y1271" s="62"/>
      <c r="Z1271" s="68"/>
      <c r="AA1271" s="86"/>
      <c r="AB1271" s="60"/>
      <c r="AC1271" s="60"/>
      <c r="AD1271" s="60"/>
      <c r="AE1271" s="60"/>
      <c r="AF1271" s="62"/>
      <c r="AG1271" s="62"/>
      <c r="AH1271" s="62"/>
      <c r="AI1271" s="61"/>
      <c r="AJ1271" s="62"/>
      <c r="AK1271" s="62"/>
      <c r="AL1271" s="62"/>
      <c r="AM1271" s="62"/>
      <c r="AN1271" s="62"/>
      <c r="AO1271" s="62"/>
      <c r="AP1271" s="62"/>
      <c r="AQ1271" s="62"/>
      <c r="AR1271" s="62"/>
      <c r="AS1271" s="62"/>
      <c r="AT1271" s="62"/>
      <c r="AU1271" s="62"/>
      <c r="AV1271" s="62"/>
      <c r="AW1271" s="62"/>
      <c r="AX1271" s="62"/>
      <c r="AY1271" s="62"/>
      <c r="AZ1271" s="62"/>
    </row>
    <row r="1272" spans="1:52" x14ac:dyDescent="0.25">
      <c r="A1272" s="62"/>
      <c r="B1272" s="68"/>
      <c r="C1272" s="68"/>
      <c r="D1272" s="60"/>
      <c r="E1272" s="60"/>
      <c r="F1272" s="60"/>
      <c r="G1272" s="60"/>
      <c r="H1272" s="62"/>
      <c r="I1272" s="62"/>
      <c r="J1272" s="62"/>
      <c r="K1272" s="61"/>
      <c r="L1272" s="62"/>
      <c r="M1272" s="62"/>
      <c r="N1272" s="86"/>
      <c r="O1272" s="86"/>
      <c r="P1272" s="86"/>
      <c r="Q1272" s="86"/>
      <c r="R1272" s="86"/>
      <c r="S1272" s="86"/>
      <c r="T1272" s="62"/>
      <c r="U1272" s="62"/>
      <c r="V1272" s="62"/>
      <c r="W1272" s="61"/>
      <c r="X1272" s="62"/>
      <c r="Y1272" s="62"/>
      <c r="Z1272" s="68"/>
      <c r="AA1272" s="68"/>
      <c r="AB1272" s="60"/>
      <c r="AC1272" s="60"/>
      <c r="AD1272" s="60"/>
      <c r="AE1272" s="60"/>
      <c r="AF1272" s="62"/>
      <c r="AG1272" s="62"/>
      <c r="AH1272" s="62"/>
      <c r="AI1272" s="61"/>
      <c r="AJ1272" s="62"/>
      <c r="AK1272" s="62"/>
      <c r="AL1272" s="62"/>
      <c r="AM1272" s="62"/>
      <c r="AN1272" s="62"/>
      <c r="AO1272" s="62"/>
      <c r="AP1272" s="62"/>
      <c r="AQ1272" s="62"/>
      <c r="AR1272" s="62"/>
      <c r="AS1272" s="62"/>
      <c r="AT1272" s="62"/>
      <c r="AU1272" s="62"/>
      <c r="AV1272" s="62"/>
      <c r="AW1272" s="62"/>
      <c r="AX1272" s="62"/>
      <c r="AY1272" s="62"/>
      <c r="AZ1272" s="62"/>
    </row>
    <row r="1273" spans="1:52" x14ac:dyDescent="0.25">
      <c r="A1273" s="62"/>
      <c r="B1273" s="86"/>
      <c r="C1273" s="86"/>
      <c r="D1273" s="86"/>
      <c r="E1273" s="86"/>
      <c r="F1273" s="86"/>
      <c r="G1273" s="86"/>
      <c r="H1273" s="62"/>
      <c r="I1273" s="62"/>
      <c r="J1273" s="62"/>
      <c r="K1273" s="62"/>
      <c r="L1273" s="62"/>
      <c r="M1273" s="62"/>
      <c r="N1273" s="86"/>
      <c r="O1273" s="86"/>
      <c r="P1273" s="86"/>
      <c r="Q1273" s="86"/>
      <c r="R1273" s="86"/>
      <c r="S1273" s="86"/>
      <c r="T1273" s="62"/>
      <c r="U1273" s="62"/>
      <c r="V1273" s="62"/>
      <c r="W1273" s="62"/>
      <c r="X1273" s="62"/>
      <c r="Y1273" s="62"/>
      <c r="Z1273" s="86"/>
      <c r="AA1273" s="86"/>
      <c r="AB1273" s="86"/>
      <c r="AC1273" s="86"/>
      <c r="AD1273" s="86"/>
      <c r="AE1273" s="86"/>
      <c r="AF1273" s="62"/>
      <c r="AG1273" s="62"/>
      <c r="AH1273" s="62"/>
      <c r="AI1273" s="62"/>
      <c r="AJ1273" s="62"/>
      <c r="AK1273" s="62"/>
      <c r="AL1273" s="62"/>
      <c r="AM1273" s="62"/>
      <c r="AN1273" s="62"/>
      <c r="AO1273" s="62"/>
      <c r="AP1273" s="62"/>
      <c r="AQ1273" s="62"/>
      <c r="AR1273" s="62"/>
      <c r="AS1273" s="62"/>
      <c r="AT1273" s="62"/>
      <c r="AU1273" s="62"/>
      <c r="AV1273" s="62"/>
      <c r="AW1273" s="62"/>
      <c r="AX1273" s="62"/>
      <c r="AY1273" s="62"/>
      <c r="AZ1273" s="62"/>
    </row>
    <row r="1274" spans="1:52" x14ac:dyDescent="0.25">
      <c r="A1274" s="62"/>
      <c r="B1274" s="86"/>
      <c r="C1274" s="86"/>
      <c r="D1274" s="72"/>
      <c r="E1274" s="72"/>
      <c r="F1274" s="72"/>
      <c r="G1274" s="72"/>
      <c r="H1274" s="64"/>
      <c r="I1274" s="72"/>
      <c r="J1274" s="72"/>
      <c r="K1274" s="72"/>
      <c r="L1274" s="62"/>
      <c r="M1274" s="62"/>
      <c r="N1274" s="86"/>
      <c r="O1274" s="86"/>
      <c r="P1274" s="72"/>
      <c r="Q1274" s="72"/>
      <c r="R1274" s="72"/>
      <c r="S1274" s="72"/>
      <c r="T1274" s="64"/>
      <c r="U1274" s="73"/>
      <c r="V1274" s="73"/>
      <c r="W1274" s="73"/>
      <c r="X1274" s="62"/>
      <c r="Y1274" s="62"/>
      <c r="Z1274" s="86"/>
      <c r="AA1274" s="86"/>
      <c r="AB1274" s="72"/>
      <c r="AC1274" s="72"/>
      <c r="AD1274" s="72"/>
      <c r="AE1274" s="72"/>
      <c r="AF1274" s="64"/>
      <c r="AG1274" s="72"/>
      <c r="AH1274" s="72"/>
      <c r="AI1274" s="72"/>
      <c r="AJ1274" s="62"/>
      <c r="AK1274" s="62"/>
      <c r="AL1274" s="62"/>
      <c r="AM1274" s="62"/>
      <c r="AN1274" s="62"/>
      <c r="AO1274" s="62"/>
      <c r="AP1274" s="62"/>
      <c r="AQ1274" s="62"/>
      <c r="AR1274" s="62"/>
      <c r="AS1274" s="62"/>
      <c r="AT1274" s="62"/>
      <c r="AU1274" s="62"/>
      <c r="AV1274" s="62"/>
      <c r="AW1274" s="62"/>
      <c r="AX1274" s="62"/>
      <c r="AY1274" s="62"/>
      <c r="AZ1274" s="62"/>
    </row>
    <row r="1275" spans="1:52" x14ac:dyDescent="0.25">
      <c r="A1275" s="62"/>
      <c r="B1275" s="62"/>
      <c r="C1275" s="62"/>
      <c r="D1275" s="62"/>
      <c r="E1275" s="62"/>
      <c r="F1275" s="62"/>
      <c r="G1275" s="62"/>
      <c r="H1275" s="62"/>
      <c r="I1275" s="62"/>
      <c r="J1275" s="62"/>
      <c r="K1275" s="62"/>
      <c r="L1275" s="62"/>
      <c r="M1275" s="62"/>
      <c r="N1275" s="62"/>
      <c r="O1275" s="62"/>
      <c r="P1275" s="62"/>
      <c r="Q1275" s="62"/>
      <c r="R1275" s="62"/>
      <c r="S1275" s="62"/>
      <c r="T1275" s="62"/>
      <c r="U1275" s="62"/>
      <c r="V1275" s="62"/>
      <c r="W1275" s="62"/>
      <c r="X1275" s="62"/>
      <c r="Y1275" s="62"/>
      <c r="Z1275" s="62"/>
      <c r="AA1275" s="62"/>
      <c r="AB1275" s="62"/>
      <c r="AC1275" s="62"/>
      <c r="AD1275" s="62"/>
      <c r="AE1275" s="62"/>
      <c r="AF1275" s="62"/>
      <c r="AG1275" s="62"/>
      <c r="AH1275" s="62"/>
      <c r="AI1275" s="62"/>
      <c r="AJ1275" s="62"/>
      <c r="AK1275" s="62"/>
      <c r="AL1275" s="62"/>
      <c r="AM1275" s="62"/>
      <c r="AN1275" s="62"/>
      <c r="AO1275" s="62"/>
      <c r="AP1275" s="62"/>
      <c r="AQ1275" s="62"/>
      <c r="AR1275" s="62"/>
      <c r="AS1275" s="62"/>
      <c r="AT1275" s="62"/>
      <c r="AU1275" s="62"/>
      <c r="AV1275" s="62"/>
      <c r="AW1275" s="62"/>
      <c r="AX1275" s="62"/>
      <c r="AY1275" s="62"/>
      <c r="AZ1275" s="62"/>
    </row>
    <row r="1276" spans="1:52" x14ac:dyDescent="0.25">
      <c r="A1276" s="62"/>
      <c r="B1276" s="76"/>
      <c r="C1276" s="76"/>
      <c r="D1276" s="76"/>
      <c r="E1276" s="76"/>
      <c r="F1276" s="80"/>
      <c r="G1276" s="76"/>
      <c r="H1276" s="62"/>
      <c r="I1276" s="62"/>
      <c r="J1276" s="62"/>
      <c r="K1276" s="62"/>
      <c r="L1276" s="62"/>
      <c r="M1276" s="62"/>
      <c r="N1276" s="76"/>
      <c r="O1276" s="76"/>
      <c r="P1276" s="76"/>
      <c r="Q1276" s="76"/>
      <c r="R1276" s="80"/>
      <c r="S1276" s="76"/>
      <c r="T1276" s="62"/>
      <c r="U1276" s="62"/>
      <c r="V1276" s="62"/>
      <c r="W1276" s="62"/>
      <c r="X1276" s="62"/>
      <c r="Y1276" s="62"/>
      <c r="Z1276" s="76"/>
      <c r="AA1276" s="76"/>
      <c r="AB1276" s="76"/>
      <c r="AC1276" s="76"/>
      <c r="AD1276" s="80"/>
      <c r="AE1276" s="76"/>
      <c r="AF1276" s="62"/>
      <c r="AG1276" s="62"/>
      <c r="AH1276" s="62"/>
      <c r="AI1276" s="62"/>
      <c r="AJ1276" s="62"/>
      <c r="AK1276" s="62"/>
      <c r="AL1276" s="62"/>
      <c r="AM1276" s="62"/>
      <c r="AN1276" s="62"/>
      <c r="AO1276" s="62"/>
      <c r="AP1276" s="62"/>
      <c r="AQ1276" s="62"/>
      <c r="AR1276" s="62"/>
      <c r="AS1276" s="62"/>
      <c r="AT1276" s="62"/>
      <c r="AU1276" s="62"/>
      <c r="AV1276" s="62"/>
      <c r="AW1276" s="62"/>
      <c r="AX1276" s="62"/>
      <c r="AY1276" s="62"/>
      <c r="AZ1276" s="62"/>
    </row>
    <row r="1277" spans="1:52" x14ac:dyDescent="0.25">
      <c r="A1277" s="62"/>
      <c r="B1277" s="76"/>
      <c r="C1277" s="76"/>
      <c r="D1277" s="76"/>
      <c r="E1277" s="76"/>
      <c r="F1277" s="80"/>
      <c r="G1277" s="76"/>
      <c r="H1277" s="62"/>
      <c r="I1277" s="62"/>
      <c r="J1277" s="62"/>
      <c r="K1277" s="62"/>
      <c r="L1277" s="62"/>
      <c r="M1277" s="62"/>
      <c r="N1277" s="76"/>
      <c r="O1277" s="76"/>
      <c r="P1277" s="76"/>
      <c r="Q1277" s="76"/>
      <c r="R1277" s="80"/>
      <c r="S1277" s="76"/>
      <c r="T1277" s="62"/>
      <c r="U1277" s="62"/>
      <c r="V1277" s="62"/>
      <c r="W1277" s="62"/>
      <c r="X1277" s="62"/>
      <c r="Y1277" s="62"/>
      <c r="Z1277" s="76"/>
      <c r="AA1277" s="76"/>
      <c r="AB1277" s="76"/>
      <c r="AC1277" s="76"/>
      <c r="AD1277" s="80"/>
      <c r="AE1277" s="76"/>
      <c r="AF1277" s="62"/>
      <c r="AG1277" s="62"/>
      <c r="AH1277" s="62"/>
      <c r="AI1277" s="62"/>
      <c r="AJ1277" s="62"/>
      <c r="AK1277" s="62"/>
      <c r="AL1277" s="62"/>
      <c r="AM1277" s="62"/>
      <c r="AN1277" s="62"/>
      <c r="AO1277" s="62"/>
      <c r="AP1277" s="62"/>
      <c r="AQ1277" s="62"/>
      <c r="AR1277" s="62"/>
      <c r="AS1277" s="62"/>
      <c r="AT1277" s="62"/>
      <c r="AU1277" s="62"/>
      <c r="AV1277" s="62"/>
      <c r="AW1277" s="62"/>
      <c r="AX1277" s="62"/>
      <c r="AY1277" s="62"/>
      <c r="AZ1277" s="62"/>
    </row>
    <row r="1278" spans="1:52" x14ac:dyDescent="0.25">
      <c r="A1278" s="64"/>
      <c r="B1278" s="76"/>
      <c r="C1278" s="76"/>
      <c r="D1278" s="76"/>
      <c r="E1278" s="76"/>
      <c r="F1278" s="80"/>
      <c r="G1278" s="76"/>
      <c r="H1278" s="62"/>
      <c r="I1278" s="62"/>
      <c r="J1278" s="62"/>
      <c r="K1278" s="62"/>
      <c r="L1278" s="62"/>
      <c r="M1278" s="64"/>
      <c r="N1278" s="76"/>
      <c r="O1278" s="76"/>
      <c r="P1278" s="76"/>
      <c r="Q1278" s="76"/>
      <c r="R1278" s="80"/>
      <c r="S1278" s="76"/>
      <c r="T1278" s="62"/>
      <c r="U1278" s="62"/>
      <c r="V1278" s="62"/>
      <c r="W1278" s="62"/>
      <c r="X1278" s="62"/>
      <c r="Y1278" s="64"/>
      <c r="Z1278" s="76"/>
      <c r="AA1278" s="76"/>
      <c r="AB1278" s="76"/>
      <c r="AC1278" s="76"/>
      <c r="AD1278" s="80"/>
      <c r="AE1278" s="76"/>
      <c r="AF1278" s="62"/>
      <c r="AG1278" s="62"/>
      <c r="AH1278" s="62"/>
      <c r="AI1278" s="62"/>
      <c r="AJ1278" s="62"/>
      <c r="AK1278" s="62"/>
      <c r="AL1278" s="62"/>
      <c r="AM1278" s="62"/>
      <c r="AN1278" s="62"/>
      <c r="AO1278" s="62"/>
      <c r="AP1278" s="62"/>
      <c r="AQ1278" s="62"/>
      <c r="AR1278" s="62"/>
      <c r="AS1278" s="62"/>
      <c r="AT1278" s="62"/>
      <c r="AU1278" s="62"/>
      <c r="AV1278" s="62"/>
      <c r="AW1278" s="62"/>
      <c r="AX1278" s="62"/>
      <c r="AY1278" s="62"/>
      <c r="AZ1278" s="62"/>
    </row>
    <row r="1279" spans="1:52" x14ac:dyDescent="0.25">
      <c r="A1279" s="62"/>
      <c r="B1279" s="76"/>
      <c r="C1279" s="76"/>
      <c r="D1279" s="76"/>
      <c r="E1279" s="76"/>
      <c r="F1279" s="80"/>
      <c r="G1279" s="76"/>
      <c r="H1279" s="62"/>
      <c r="I1279" s="62"/>
      <c r="J1279" s="62"/>
      <c r="K1279" s="62"/>
      <c r="L1279" s="62"/>
      <c r="M1279" s="62"/>
      <c r="N1279" s="76"/>
      <c r="O1279" s="76"/>
      <c r="P1279" s="76"/>
      <c r="Q1279" s="76"/>
      <c r="R1279" s="80"/>
      <c r="S1279" s="76"/>
      <c r="T1279" s="62"/>
      <c r="U1279" s="62"/>
      <c r="V1279" s="62"/>
      <c r="W1279" s="62"/>
      <c r="X1279" s="62"/>
      <c r="Y1279" s="62"/>
      <c r="Z1279" s="76"/>
      <c r="AA1279" s="76"/>
      <c r="AB1279" s="76"/>
      <c r="AC1279" s="76"/>
      <c r="AD1279" s="80"/>
      <c r="AE1279" s="76"/>
      <c r="AF1279" s="62"/>
      <c r="AG1279" s="62"/>
      <c r="AH1279" s="62"/>
      <c r="AI1279" s="62"/>
      <c r="AJ1279" s="62"/>
      <c r="AK1279" s="62"/>
      <c r="AL1279" s="62"/>
      <c r="AM1279" s="62"/>
      <c r="AN1279" s="62"/>
      <c r="AO1279" s="62"/>
      <c r="AP1279" s="62"/>
      <c r="AQ1279" s="62"/>
      <c r="AR1279" s="62"/>
      <c r="AS1279" s="62"/>
      <c r="AT1279" s="62"/>
      <c r="AU1279" s="62"/>
      <c r="AV1279" s="62"/>
      <c r="AW1279" s="62"/>
      <c r="AX1279" s="62"/>
      <c r="AY1279" s="62"/>
      <c r="AZ1279" s="62"/>
    </row>
    <row r="1280" spans="1:52" ht="15.75" x14ac:dyDescent="0.25">
      <c r="A1280" s="62"/>
      <c r="B1280" s="76"/>
      <c r="C1280" s="76"/>
      <c r="D1280" s="76"/>
      <c r="E1280" s="76"/>
      <c r="F1280" s="80"/>
      <c r="G1280" s="76"/>
      <c r="H1280" s="62"/>
      <c r="I1280" s="76"/>
      <c r="J1280" s="77"/>
      <c r="K1280" s="62"/>
      <c r="L1280" s="62"/>
      <c r="M1280" s="62"/>
      <c r="N1280" s="76"/>
      <c r="O1280" s="76"/>
      <c r="P1280" s="76"/>
      <c r="Q1280" s="76"/>
      <c r="R1280" s="80"/>
      <c r="S1280" s="76"/>
      <c r="T1280" s="62"/>
      <c r="U1280" s="76"/>
      <c r="V1280" s="77"/>
      <c r="W1280" s="62"/>
      <c r="X1280" s="62"/>
      <c r="Y1280" s="62"/>
      <c r="Z1280" s="76"/>
      <c r="AA1280" s="76"/>
      <c r="AB1280" s="76"/>
      <c r="AC1280" s="76"/>
      <c r="AD1280" s="80"/>
      <c r="AE1280" s="76"/>
      <c r="AF1280" s="62"/>
      <c r="AG1280" s="76"/>
      <c r="AH1280" s="76"/>
      <c r="AI1280" s="62"/>
      <c r="AJ1280" s="62"/>
      <c r="AK1280" s="62"/>
      <c r="AL1280" s="62"/>
      <c r="AM1280" s="62"/>
      <c r="AN1280" s="62"/>
      <c r="AO1280" s="62"/>
      <c r="AP1280" s="62"/>
      <c r="AQ1280" s="62"/>
      <c r="AR1280" s="62"/>
      <c r="AS1280" s="62"/>
      <c r="AT1280" s="62"/>
      <c r="AU1280" s="62"/>
      <c r="AV1280" s="62"/>
      <c r="AW1280" s="62"/>
      <c r="AX1280" s="62"/>
      <c r="AY1280" s="62"/>
      <c r="AZ1280" s="62"/>
    </row>
    <row r="1281" spans="1:52" x14ac:dyDescent="0.25">
      <c r="A1281" s="65"/>
      <c r="B1281" s="76"/>
      <c r="C1281" s="76"/>
      <c r="D1281" s="76"/>
      <c r="E1281" s="76"/>
      <c r="F1281" s="80"/>
      <c r="G1281" s="76"/>
      <c r="H1281" s="62"/>
      <c r="I1281" s="66"/>
      <c r="J1281" s="66"/>
      <c r="K1281" s="62"/>
      <c r="L1281" s="62"/>
      <c r="M1281" s="65"/>
      <c r="N1281" s="76"/>
      <c r="O1281" s="76"/>
      <c r="P1281" s="76"/>
      <c r="Q1281" s="76"/>
      <c r="R1281" s="80"/>
      <c r="S1281" s="76"/>
      <c r="T1281" s="62"/>
      <c r="U1281" s="66"/>
      <c r="V1281" s="66"/>
      <c r="W1281" s="62"/>
      <c r="X1281" s="62"/>
      <c r="Y1281" s="65"/>
      <c r="Z1281" s="76"/>
      <c r="AA1281" s="76"/>
      <c r="AB1281" s="76"/>
      <c r="AC1281" s="76"/>
      <c r="AD1281" s="80"/>
      <c r="AE1281" s="76"/>
      <c r="AF1281" s="62"/>
      <c r="AG1281" s="66"/>
      <c r="AH1281" s="66"/>
      <c r="AI1281" s="62"/>
      <c r="AJ1281" s="62"/>
      <c r="AK1281" s="62"/>
      <c r="AL1281" s="62"/>
      <c r="AM1281" s="62"/>
      <c r="AN1281" s="62"/>
      <c r="AO1281" s="62"/>
      <c r="AP1281" s="62"/>
      <c r="AQ1281" s="62"/>
      <c r="AR1281" s="62"/>
      <c r="AS1281" s="62"/>
      <c r="AT1281" s="62"/>
      <c r="AU1281" s="62"/>
      <c r="AV1281" s="62"/>
      <c r="AW1281" s="62"/>
      <c r="AX1281" s="62"/>
      <c r="AY1281" s="62"/>
      <c r="AZ1281" s="62"/>
    </row>
    <row r="1282" spans="1:52" x14ac:dyDescent="0.25">
      <c r="A1282" s="62"/>
      <c r="B1282" s="76"/>
      <c r="C1282" s="76"/>
      <c r="D1282" s="76"/>
      <c r="E1282" s="76"/>
      <c r="F1282" s="80"/>
      <c r="G1282" s="76"/>
      <c r="H1282" s="62"/>
      <c r="I1282" s="62"/>
      <c r="J1282" s="62"/>
      <c r="K1282" s="62"/>
      <c r="L1282" s="62"/>
      <c r="M1282" s="62"/>
      <c r="N1282" s="76"/>
      <c r="O1282" s="76"/>
      <c r="P1282" s="76"/>
      <c r="Q1282" s="76"/>
      <c r="R1282" s="80"/>
      <c r="S1282" s="76"/>
      <c r="T1282" s="62"/>
      <c r="U1282" s="62"/>
      <c r="V1282" s="62"/>
      <c r="W1282" s="62"/>
      <c r="X1282" s="62"/>
      <c r="Y1282" s="62"/>
      <c r="Z1282" s="76"/>
      <c r="AA1282" s="76"/>
      <c r="AB1282" s="76"/>
      <c r="AC1282" s="76"/>
      <c r="AD1282" s="80"/>
      <c r="AE1282" s="76"/>
      <c r="AF1282" s="62"/>
      <c r="AG1282" s="62"/>
      <c r="AH1282" s="62"/>
      <c r="AI1282" s="62"/>
      <c r="AJ1282" s="62"/>
      <c r="AK1282" s="62"/>
      <c r="AL1282" s="62"/>
      <c r="AM1282" s="62"/>
      <c r="AN1282" s="62"/>
      <c r="AO1282" s="62"/>
      <c r="AP1282" s="62"/>
      <c r="AQ1282" s="62"/>
      <c r="AR1282" s="62"/>
      <c r="AS1282" s="62"/>
      <c r="AT1282" s="62"/>
      <c r="AU1282" s="62"/>
      <c r="AV1282" s="62"/>
      <c r="AW1282" s="62"/>
      <c r="AX1282" s="62"/>
      <c r="AY1282" s="62"/>
      <c r="AZ1282" s="62"/>
    </row>
    <row r="1283" spans="1:52" x14ac:dyDescent="0.25">
      <c r="A1283" s="62"/>
      <c r="B1283" s="66"/>
      <c r="C1283" s="76"/>
      <c r="D1283" s="116"/>
      <c r="E1283" s="116"/>
      <c r="F1283" s="80"/>
      <c r="G1283" s="76"/>
      <c r="H1283" s="62"/>
      <c r="I1283" s="116"/>
      <c r="J1283" s="116"/>
      <c r="K1283" s="115"/>
      <c r="L1283" s="62"/>
      <c r="M1283" s="62"/>
      <c r="N1283" s="66"/>
      <c r="O1283" s="76"/>
      <c r="P1283" s="116"/>
      <c r="Q1283" s="116"/>
      <c r="R1283" s="80"/>
      <c r="S1283" s="76"/>
      <c r="T1283" s="62"/>
      <c r="U1283" s="116"/>
      <c r="V1283" s="116"/>
      <c r="W1283" s="115"/>
      <c r="X1283" s="62"/>
      <c r="Y1283" s="62"/>
      <c r="Z1283" s="66"/>
      <c r="AA1283" s="76"/>
      <c r="AB1283" s="116"/>
      <c r="AC1283" s="116"/>
      <c r="AD1283" s="80"/>
      <c r="AE1283" s="76"/>
      <c r="AF1283" s="62"/>
      <c r="AG1283" s="116"/>
      <c r="AH1283" s="116"/>
      <c r="AI1283" s="115"/>
      <c r="AJ1283" s="62"/>
      <c r="AK1283" s="62"/>
      <c r="AL1283" s="62"/>
      <c r="AM1283" s="62"/>
      <c r="AN1283" s="62"/>
      <c r="AO1283" s="62"/>
      <c r="AP1283" s="62"/>
      <c r="AQ1283" s="62"/>
      <c r="AR1283" s="62"/>
      <c r="AS1283" s="62"/>
      <c r="AT1283" s="62"/>
      <c r="AU1283" s="62"/>
      <c r="AV1283" s="62"/>
      <c r="AW1283" s="62"/>
      <c r="AX1283" s="62"/>
      <c r="AY1283" s="62"/>
      <c r="AZ1283" s="62"/>
    </row>
    <row r="1284" spans="1:52" x14ac:dyDescent="0.25">
      <c r="A1284" s="62"/>
      <c r="B1284" s="76"/>
      <c r="C1284" s="76"/>
      <c r="D1284" s="76"/>
      <c r="E1284" s="75"/>
      <c r="F1284" s="79"/>
      <c r="G1284" s="75"/>
      <c r="H1284" s="62"/>
      <c r="I1284" s="75"/>
      <c r="J1284" s="75"/>
      <c r="K1284" s="115"/>
      <c r="L1284" s="62"/>
      <c r="M1284" s="62"/>
      <c r="N1284" s="76"/>
      <c r="O1284" s="76"/>
      <c r="P1284" s="76"/>
      <c r="Q1284" s="75"/>
      <c r="R1284" s="79"/>
      <c r="S1284" s="75"/>
      <c r="T1284" s="62"/>
      <c r="U1284" s="75"/>
      <c r="V1284" s="75"/>
      <c r="W1284" s="115"/>
      <c r="X1284" s="62"/>
      <c r="Y1284" s="62"/>
      <c r="Z1284" s="76"/>
      <c r="AA1284" s="76"/>
      <c r="AB1284" s="76"/>
      <c r="AC1284" s="75"/>
      <c r="AD1284" s="79"/>
      <c r="AE1284" s="75"/>
      <c r="AF1284" s="62"/>
      <c r="AG1284" s="75"/>
      <c r="AH1284" s="75"/>
      <c r="AI1284" s="115"/>
      <c r="AJ1284" s="62"/>
      <c r="AK1284" s="62"/>
      <c r="AL1284" s="62"/>
      <c r="AM1284" s="62"/>
      <c r="AN1284" s="62"/>
      <c r="AO1284" s="62"/>
      <c r="AP1284" s="62"/>
      <c r="AQ1284" s="62"/>
      <c r="AR1284" s="62"/>
      <c r="AS1284" s="62"/>
      <c r="AT1284" s="62"/>
      <c r="AU1284" s="62"/>
      <c r="AV1284" s="62"/>
      <c r="AW1284" s="62"/>
      <c r="AX1284" s="62"/>
      <c r="AY1284" s="62"/>
      <c r="AZ1284" s="62"/>
    </row>
    <row r="1285" spans="1:52" x14ac:dyDescent="0.25">
      <c r="A1285" s="62"/>
      <c r="B1285" s="68"/>
      <c r="C1285" s="76"/>
      <c r="D1285" s="60"/>
      <c r="E1285" s="60"/>
      <c r="F1285" s="60"/>
      <c r="G1285" s="60"/>
      <c r="H1285" s="61"/>
      <c r="I1285" s="61"/>
      <c r="J1285" s="61"/>
      <c r="K1285" s="61"/>
      <c r="L1285" s="62"/>
      <c r="M1285" s="62"/>
      <c r="N1285" s="68"/>
      <c r="O1285" s="76"/>
      <c r="P1285" s="60"/>
      <c r="Q1285" s="60"/>
      <c r="R1285" s="60"/>
      <c r="S1285" s="60"/>
      <c r="T1285" s="61"/>
      <c r="U1285" s="61"/>
      <c r="V1285" s="61"/>
      <c r="W1285" s="61"/>
      <c r="X1285" s="62"/>
      <c r="Y1285" s="62"/>
      <c r="Z1285" s="68"/>
      <c r="AA1285" s="76"/>
      <c r="AB1285" s="60"/>
      <c r="AC1285" s="60"/>
      <c r="AD1285" s="60"/>
      <c r="AE1285" s="60"/>
      <c r="AF1285" s="61"/>
      <c r="AG1285" s="61"/>
      <c r="AH1285" s="61"/>
      <c r="AI1285" s="61"/>
      <c r="AJ1285" s="62"/>
      <c r="AK1285" s="62"/>
      <c r="AL1285" s="62"/>
      <c r="AM1285" s="62"/>
      <c r="AN1285" s="62"/>
      <c r="AO1285" s="62"/>
      <c r="AP1285" s="62"/>
      <c r="AQ1285" s="62"/>
      <c r="AR1285" s="62"/>
      <c r="AS1285" s="62"/>
      <c r="AT1285" s="62"/>
      <c r="AU1285" s="62"/>
      <c r="AV1285" s="62"/>
      <c r="AW1285" s="62"/>
      <c r="AX1285" s="62"/>
      <c r="AY1285" s="62"/>
      <c r="AZ1285" s="62"/>
    </row>
    <row r="1286" spans="1:52" x14ac:dyDescent="0.25">
      <c r="A1286" s="62"/>
      <c r="B1286" s="68"/>
      <c r="C1286" s="76"/>
      <c r="D1286" s="60"/>
      <c r="E1286" s="60"/>
      <c r="F1286" s="60"/>
      <c r="G1286" s="60"/>
      <c r="H1286" s="61"/>
      <c r="I1286" s="61"/>
      <c r="J1286" s="61"/>
      <c r="K1286" s="61"/>
      <c r="L1286" s="62"/>
      <c r="M1286" s="62"/>
      <c r="N1286" s="68"/>
      <c r="O1286" s="76"/>
      <c r="P1286" s="60"/>
      <c r="Q1286" s="60"/>
      <c r="R1286" s="60"/>
      <c r="S1286" s="60"/>
      <c r="T1286" s="61"/>
      <c r="U1286" s="61"/>
      <c r="V1286" s="61"/>
      <c r="W1286" s="61"/>
      <c r="X1286" s="62"/>
      <c r="Y1286" s="62"/>
      <c r="Z1286" s="68"/>
      <c r="AA1286" s="76"/>
      <c r="AB1286" s="60"/>
      <c r="AC1286" s="60"/>
      <c r="AD1286" s="60"/>
      <c r="AE1286" s="60"/>
      <c r="AF1286" s="61"/>
      <c r="AG1286" s="61"/>
      <c r="AH1286" s="61"/>
      <c r="AI1286" s="61"/>
      <c r="AJ1286" s="62"/>
      <c r="AK1286" s="62"/>
      <c r="AL1286" s="62"/>
      <c r="AM1286" s="62"/>
      <c r="AN1286" s="62"/>
      <c r="AO1286" s="62"/>
      <c r="AP1286" s="62"/>
      <c r="AQ1286" s="62"/>
      <c r="AR1286" s="62"/>
      <c r="AS1286" s="62"/>
      <c r="AT1286" s="62"/>
      <c r="AU1286" s="62"/>
      <c r="AV1286" s="62"/>
      <c r="AW1286" s="62"/>
      <c r="AX1286" s="62"/>
      <c r="AY1286" s="62"/>
      <c r="AZ1286" s="62"/>
    </row>
    <row r="1287" spans="1:52" x14ac:dyDescent="0.25">
      <c r="A1287" s="62"/>
      <c r="B1287" s="68"/>
      <c r="C1287" s="76"/>
      <c r="D1287" s="60"/>
      <c r="E1287" s="60"/>
      <c r="F1287" s="60"/>
      <c r="G1287" s="60"/>
      <c r="H1287" s="61"/>
      <c r="I1287" s="61"/>
      <c r="J1287" s="61"/>
      <c r="K1287" s="61"/>
      <c r="L1287" s="62"/>
      <c r="M1287" s="62"/>
      <c r="N1287" s="68"/>
      <c r="O1287" s="76"/>
      <c r="P1287" s="60"/>
      <c r="Q1287" s="60"/>
      <c r="R1287" s="60"/>
      <c r="S1287" s="60"/>
      <c r="T1287" s="61"/>
      <c r="U1287" s="61"/>
      <c r="V1287" s="61"/>
      <c r="W1287" s="61"/>
      <c r="X1287" s="62"/>
      <c r="Y1287" s="62"/>
      <c r="Z1287" s="68"/>
      <c r="AA1287" s="76"/>
      <c r="AB1287" s="60"/>
      <c r="AC1287" s="60"/>
      <c r="AD1287" s="60"/>
      <c r="AE1287" s="60"/>
      <c r="AF1287" s="61"/>
      <c r="AG1287" s="61"/>
      <c r="AH1287" s="61"/>
      <c r="AI1287" s="61"/>
      <c r="AJ1287" s="62"/>
      <c r="AK1287" s="62"/>
      <c r="AL1287" s="62"/>
      <c r="AM1287" s="62"/>
      <c r="AN1287" s="62"/>
      <c r="AO1287" s="62"/>
      <c r="AP1287" s="62"/>
      <c r="AQ1287" s="62"/>
      <c r="AR1287" s="62"/>
      <c r="AS1287" s="62"/>
      <c r="AT1287" s="62"/>
      <c r="AU1287" s="62"/>
      <c r="AV1287" s="62"/>
      <c r="AW1287" s="62"/>
      <c r="AX1287" s="62"/>
      <c r="AY1287" s="62"/>
      <c r="AZ1287" s="62"/>
    </row>
    <row r="1288" spans="1:52" x14ac:dyDescent="0.25">
      <c r="A1288" s="62"/>
      <c r="B1288" s="68"/>
      <c r="C1288" s="76"/>
      <c r="D1288" s="60"/>
      <c r="E1288" s="60"/>
      <c r="F1288" s="60"/>
      <c r="G1288" s="60"/>
      <c r="H1288" s="61"/>
      <c r="I1288" s="61"/>
      <c r="J1288" s="61"/>
      <c r="K1288" s="61"/>
      <c r="L1288" s="62"/>
      <c r="M1288" s="62"/>
      <c r="N1288" s="68"/>
      <c r="O1288" s="76"/>
      <c r="P1288" s="60"/>
      <c r="Q1288" s="60"/>
      <c r="R1288" s="60"/>
      <c r="S1288" s="60"/>
      <c r="T1288" s="61"/>
      <c r="U1288" s="61"/>
      <c r="V1288" s="61"/>
      <c r="W1288" s="61"/>
      <c r="X1288" s="62"/>
      <c r="Y1288" s="62"/>
      <c r="Z1288" s="68"/>
      <c r="AA1288" s="76"/>
      <c r="AB1288" s="62"/>
      <c r="AC1288" s="60"/>
      <c r="AD1288" s="60"/>
      <c r="AE1288" s="60"/>
      <c r="AF1288" s="61"/>
      <c r="AG1288" s="62"/>
      <c r="AH1288" s="61"/>
      <c r="AI1288" s="61"/>
      <c r="AJ1288" s="62"/>
      <c r="AK1288" s="62"/>
      <c r="AL1288" s="62"/>
      <c r="AM1288" s="62"/>
      <c r="AN1288" s="62"/>
      <c r="AO1288" s="62"/>
      <c r="AP1288" s="62"/>
      <c r="AQ1288" s="62"/>
      <c r="AR1288" s="62"/>
      <c r="AS1288" s="62"/>
      <c r="AT1288" s="62"/>
      <c r="AU1288" s="62"/>
      <c r="AV1288" s="62"/>
      <c r="AW1288" s="62"/>
      <c r="AX1288" s="62"/>
      <c r="AY1288" s="62"/>
      <c r="AZ1288" s="62"/>
    </row>
    <row r="1289" spans="1:52" x14ac:dyDescent="0.25">
      <c r="A1289" s="62"/>
      <c r="B1289" s="68"/>
      <c r="C1289" s="76"/>
      <c r="D1289" s="60"/>
      <c r="E1289" s="60"/>
      <c r="F1289" s="60"/>
      <c r="G1289" s="60"/>
      <c r="H1289" s="61"/>
      <c r="I1289" s="61"/>
      <c r="J1289" s="61"/>
      <c r="K1289" s="61"/>
      <c r="L1289" s="62"/>
      <c r="M1289" s="62"/>
      <c r="N1289" s="68"/>
      <c r="O1289" s="76"/>
      <c r="P1289" s="60"/>
      <c r="Q1289" s="60"/>
      <c r="R1289" s="60"/>
      <c r="S1289" s="60"/>
      <c r="T1289" s="61"/>
      <c r="U1289" s="61"/>
      <c r="V1289" s="61"/>
      <c r="W1289" s="61"/>
      <c r="X1289" s="62"/>
      <c r="Y1289" s="62"/>
      <c r="Z1289" s="68"/>
      <c r="AA1289" s="76"/>
      <c r="AB1289" s="60"/>
      <c r="AC1289" s="60"/>
      <c r="AD1289" s="60"/>
      <c r="AE1289" s="60"/>
      <c r="AF1289" s="61"/>
      <c r="AG1289" s="61"/>
      <c r="AH1289" s="61"/>
      <c r="AI1289" s="61"/>
      <c r="AJ1289" s="62"/>
      <c r="AK1289" s="62"/>
      <c r="AL1289" s="62"/>
      <c r="AM1289" s="62"/>
      <c r="AN1289" s="62"/>
      <c r="AO1289" s="62"/>
      <c r="AP1289" s="62"/>
      <c r="AQ1289" s="62"/>
      <c r="AR1289" s="62"/>
      <c r="AS1289" s="62"/>
      <c r="AT1289" s="62"/>
      <c r="AU1289" s="62"/>
      <c r="AV1289" s="62"/>
      <c r="AW1289" s="62"/>
      <c r="AX1289" s="62"/>
      <c r="AY1289" s="62"/>
      <c r="AZ1289" s="62"/>
    </row>
    <row r="1290" spans="1:52" x14ac:dyDescent="0.25">
      <c r="A1290" s="62"/>
      <c r="B1290" s="68"/>
      <c r="C1290" s="76"/>
      <c r="D1290" s="60"/>
      <c r="E1290" s="60"/>
      <c r="F1290" s="60"/>
      <c r="G1290" s="60"/>
      <c r="H1290" s="61"/>
      <c r="I1290" s="61"/>
      <c r="J1290" s="61"/>
      <c r="K1290" s="61"/>
      <c r="L1290" s="62"/>
      <c r="M1290" s="62"/>
      <c r="N1290" s="68"/>
      <c r="O1290" s="76"/>
      <c r="P1290" s="62"/>
      <c r="Q1290" s="60"/>
      <c r="R1290" s="60"/>
      <c r="S1290" s="60"/>
      <c r="T1290" s="61"/>
      <c r="U1290" s="61"/>
      <c r="V1290" s="62"/>
      <c r="W1290" s="61"/>
      <c r="X1290" s="62"/>
      <c r="Y1290" s="62"/>
      <c r="Z1290" s="68"/>
      <c r="AA1290" s="76"/>
      <c r="AB1290" s="60"/>
      <c r="AC1290" s="60"/>
      <c r="AD1290" s="60"/>
      <c r="AE1290" s="60"/>
      <c r="AF1290" s="61"/>
      <c r="AG1290" s="61"/>
      <c r="AH1290" s="62"/>
      <c r="AI1290" s="61"/>
      <c r="AJ1290" s="62"/>
      <c r="AK1290" s="62"/>
      <c r="AL1290" s="62"/>
      <c r="AM1290" s="62"/>
      <c r="AN1290" s="62"/>
      <c r="AO1290" s="62"/>
      <c r="AP1290" s="62"/>
      <c r="AQ1290" s="62"/>
      <c r="AR1290" s="62"/>
      <c r="AS1290" s="62"/>
      <c r="AT1290" s="62"/>
      <c r="AU1290" s="62"/>
      <c r="AV1290" s="62"/>
      <c r="AW1290" s="62"/>
      <c r="AX1290" s="62"/>
      <c r="AY1290" s="62"/>
      <c r="AZ1290" s="62"/>
    </row>
    <row r="1291" spans="1:52" x14ac:dyDescent="0.25">
      <c r="A1291" s="62"/>
      <c r="B1291" s="68"/>
      <c r="C1291" s="76"/>
      <c r="D1291" s="60"/>
      <c r="E1291" s="60"/>
      <c r="F1291" s="60"/>
      <c r="G1291" s="60"/>
      <c r="H1291" s="61"/>
      <c r="I1291" s="61"/>
      <c r="J1291" s="61"/>
      <c r="K1291" s="61"/>
      <c r="L1291" s="62"/>
      <c r="M1291" s="62"/>
      <c r="N1291" s="68"/>
      <c r="O1291" s="76"/>
      <c r="P1291" s="60"/>
      <c r="Q1291" s="60"/>
      <c r="R1291" s="60"/>
      <c r="S1291" s="60"/>
      <c r="T1291" s="61"/>
      <c r="U1291" s="61"/>
      <c r="V1291" s="61"/>
      <c r="W1291" s="61"/>
      <c r="X1291" s="62"/>
      <c r="Y1291" s="62"/>
      <c r="Z1291" s="68"/>
      <c r="AA1291" s="76"/>
      <c r="AB1291" s="60"/>
      <c r="AC1291" s="60"/>
      <c r="AD1291" s="60"/>
      <c r="AE1291" s="60"/>
      <c r="AF1291" s="61"/>
      <c r="AG1291" s="61"/>
      <c r="AH1291" s="61"/>
      <c r="AI1291" s="61"/>
      <c r="AJ1291" s="62"/>
      <c r="AK1291" s="62"/>
      <c r="AL1291" s="62"/>
      <c r="AM1291" s="62"/>
      <c r="AN1291" s="62"/>
      <c r="AO1291" s="62"/>
      <c r="AP1291" s="62"/>
      <c r="AQ1291" s="62"/>
      <c r="AR1291" s="62"/>
      <c r="AS1291" s="62"/>
      <c r="AT1291" s="62"/>
      <c r="AU1291" s="62"/>
      <c r="AV1291" s="62"/>
      <c r="AW1291" s="62"/>
      <c r="AX1291" s="62"/>
      <c r="AY1291" s="62"/>
      <c r="AZ1291" s="62"/>
    </row>
    <row r="1292" spans="1:52" x14ac:dyDescent="0.25">
      <c r="A1292" s="62"/>
      <c r="B1292" s="68"/>
      <c r="C1292" s="76"/>
      <c r="D1292" s="60"/>
      <c r="E1292" s="60"/>
      <c r="F1292" s="60"/>
      <c r="G1292" s="60"/>
      <c r="H1292" s="61"/>
      <c r="I1292" s="61"/>
      <c r="J1292" s="61"/>
      <c r="K1292" s="61"/>
      <c r="L1292" s="62"/>
      <c r="M1292" s="62"/>
      <c r="N1292" s="68"/>
      <c r="O1292" s="76"/>
      <c r="P1292" s="60"/>
      <c r="Q1292" s="60"/>
      <c r="R1292" s="60"/>
      <c r="S1292" s="60"/>
      <c r="T1292" s="61"/>
      <c r="U1292" s="61"/>
      <c r="V1292" s="61"/>
      <c r="W1292" s="61"/>
      <c r="X1292" s="62"/>
      <c r="Y1292" s="62"/>
      <c r="Z1292" s="68"/>
      <c r="AA1292" s="76"/>
      <c r="AB1292" s="60"/>
      <c r="AC1292" s="62"/>
      <c r="AD1292" s="62"/>
      <c r="AE1292" s="60"/>
      <c r="AF1292" s="61"/>
      <c r="AG1292" s="61"/>
      <c r="AH1292" s="61"/>
      <c r="AI1292" s="61"/>
      <c r="AJ1292" s="62"/>
      <c r="AK1292" s="62"/>
      <c r="AL1292" s="62"/>
      <c r="AM1292" s="62"/>
      <c r="AN1292" s="62"/>
      <c r="AO1292" s="62"/>
      <c r="AP1292" s="62"/>
      <c r="AQ1292" s="62"/>
      <c r="AR1292" s="62"/>
      <c r="AS1292" s="62"/>
      <c r="AT1292" s="62"/>
      <c r="AU1292" s="62"/>
      <c r="AV1292" s="62"/>
      <c r="AW1292" s="62"/>
      <c r="AX1292" s="62"/>
      <c r="AY1292" s="62"/>
      <c r="AZ1292" s="62"/>
    </row>
    <row r="1293" spans="1:52" x14ac:dyDescent="0.25">
      <c r="A1293" s="62"/>
      <c r="B1293" s="68"/>
      <c r="C1293" s="76"/>
      <c r="D1293" s="60"/>
      <c r="E1293" s="60"/>
      <c r="F1293" s="60"/>
      <c r="G1293" s="60"/>
      <c r="H1293" s="61"/>
      <c r="I1293" s="61"/>
      <c r="J1293" s="61"/>
      <c r="K1293" s="61"/>
      <c r="L1293" s="62"/>
      <c r="M1293" s="62"/>
      <c r="N1293" s="68"/>
      <c r="O1293" s="76"/>
      <c r="P1293" s="60"/>
      <c r="Q1293" s="60"/>
      <c r="R1293" s="60"/>
      <c r="S1293" s="60"/>
      <c r="T1293" s="61"/>
      <c r="U1293" s="61"/>
      <c r="V1293" s="61"/>
      <c r="W1293" s="61"/>
      <c r="X1293" s="62"/>
      <c r="Y1293" s="62"/>
      <c r="Z1293" s="68"/>
      <c r="AA1293" s="76"/>
      <c r="AB1293" s="60"/>
      <c r="AC1293" s="60"/>
      <c r="AD1293" s="60"/>
      <c r="AE1293" s="60"/>
      <c r="AF1293" s="61"/>
      <c r="AG1293" s="62"/>
      <c r="AH1293" s="61"/>
      <c r="AI1293" s="61"/>
      <c r="AJ1293" s="62"/>
      <c r="AK1293" s="62"/>
      <c r="AL1293" s="62"/>
      <c r="AM1293" s="62"/>
      <c r="AN1293" s="62"/>
      <c r="AO1293" s="62"/>
      <c r="AP1293" s="62"/>
      <c r="AQ1293" s="62"/>
      <c r="AR1293" s="62"/>
      <c r="AS1293" s="62"/>
      <c r="AT1293" s="62"/>
      <c r="AU1293" s="62"/>
      <c r="AV1293" s="62"/>
      <c r="AW1293" s="62"/>
      <c r="AX1293" s="62"/>
      <c r="AY1293" s="62"/>
      <c r="AZ1293" s="62"/>
    </row>
    <row r="1294" spans="1:52" x14ac:dyDescent="0.25">
      <c r="A1294" s="62"/>
      <c r="B1294" s="68"/>
      <c r="C1294" s="76"/>
      <c r="D1294" s="60"/>
      <c r="E1294" s="60"/>
      <c r="F1294" s="60"/>
      <c r="G1294" s="60"/>
      <c r="H1294" s="61"/>
      <c r="I1294" s="61"/>
      <c r="J1294" s="62"/>
      <c r="K1294" s="61"/>
      <c r="L1294" s="62"/>
      <c r="M1294" s="62"/>
      <c r="N1294" s="68"/>
      <c r="O1294" s="76"/>
      <c r="P1294" s="60"/>
      <c r="Q1294" s="60"/>
      <c r="R1294" s="60"/>
      <c r="S1294" s="60"/>
      <c r="T1294" s="61"/>
      <c r="U1294" s="61"/>
      <c r="V1294" s="61"/>
      <c r="W1294" s="61"/>
      <c r="X1294" s="62"/>
      <c r="Y1294" s="62"/>
      <c r="Z1294" s="68"/>
      <c r="AA1294" s="76"/>
      <c r="AB1294" s="60"/>
      <c r="AC1294" s="60"/>
      <c r="AD1294" s="60"/>
      <c r="AE1294" s="60"/>
      <c r="AF1294" s="61"/>
      <c r="AG1294" s="61"/>
      <c r="AH1294" s="61"/>
      <c r="AI1294" s="61"/>
      <c r="AJ1294" s="62"/>
      <c r="AK1294" s="62"/>
      <c r="AL1294" s="62"/>
      <c r="AM1294" s="62"/>
      <c r="AN1294" s="62"/>
      <c r="AO1294" s="62"/>
      <c r="AP1294" s="62"/>
      <c r="AQ1294" s="62"/>
      <c r="AR1294" s="62"/>
      <c r="AS1294" s="62"/>
      <c r="AT1294" s="62"/>
      <c r="AU1294" s="62"/>
      <c r="AV1294" s="62"/>
      <c r="AW1294" s="62"/>
      <c r="AX1294" s="62"/>
      <c r="AY1294" s="62"/>
      <c r="AZ1294" s="62"/>
    </row>
    <row r="1295" spans="1:52" x14ac:dyDescent="0.25">
      <c r="A1295" s="62"/>
      <c r="B1295" s="68"/>
      <c r="C1295" s="76"/>
      <c r="D1295" s="76"/>
      <c r="E1295" s="60"/>
      <c r="F1295" s="60"/>
      <c r="G1295" s="60"/>
      <c r="H1295" s="61"/>
      <c r="I1295" s="61"/>
      <c r="J1295" s="61"/>
      <c r="K1295" s="61"/>
      <c r="L1295" s="62"/>
      <c r="M1295" s="62"/>
      <c r="N1295" s="68"/>
      <c r="O1295" s="76"/>
      <c r="P1295" s="60"/>
      <c r="Q1295" s="60"/>
      <c r="R1295" s="60"/>
      <c r="S1295" s="60"/>
      <c r="T1295" s="61"/>
      <c r="U1295" s="61"/>
      <c r="V1295" s="61"/>
      <c r="W1295" s="61"/>
      <c r="X1295" s="62"/>
      <c r="Y1295" s="62"/>
      <c r="Z1295" s="68"/>
      <c r="AA1295" s="76"/>
      <c r="AB1295" s="60"/>
      <c r="AC1295" s="60"/>
      <c r="AD1295" s="60"/>
      <c r="AE1295" s="60"/>
      <c r="AF1295" s="61"/>
      <c r="AG1295" s="61"/>
      <c r="AH1295" s="61"/>
      <c r="AI1295" s="61"/>
      <c r="AJ1295" s="62"/>
      <c r="AK1295" s="62"/>
      <c r="AL1295" s="62"/>
      <c r="AM1295" s="62"/>
      <c r="AN1295" s="62"/>
      <c r="AO1295" s="62"/>
      <c r="AP1295" s="62"/>
      <c r="AQ1295" s="62"/>
      <c r="AR1295" s="62"/>
      <c r="AS1295" s="62"/>
      <c r="AT1295" s="62"/>
      <c r="AU1295" s="62"/>
      <c r="AV1295" s="62"/>
      <c r="AW1295" s="62"/>
      <c r="AX1295" s="62"/>
      <c r="AY1295" s="62"/>
      <c r="AZ1295" s="62"/>
    </row>
    <row r="1296" spans="1:52" x14ac:dyDescent="0.25">
      <c r="A1296" s="62"/>
      <c r="B1296" s="68"/>
      <c r="C1296" s="76"/>
      <c r="D1296" s="60"/>
      <c r="E1296" s="60"/>
      <c r="F1296" s="60"/>
      <c r="G1296" s="60"/>
      <c r="H1296" s="61"/>
      <c r="I1296" s="61"/>
      <c r="J1296" s="62"/>
      <c r="K1296" s="61"/>
      <c r="L1296" s="62"/>
      <c r="M1296" s="62"/>
      <c r="N1296" s="68"/>
      <c r="O1296" s="76"/>
      <c r="P1296" s="60"/>
      <c r="Q1296" s="60"/>
      <c r="R1296" s="60"/>
      <c r="S1296" s="60"/>
      <c r="T1296" s="61"/>
      <c r="U1296" s="61"/>
      <c r="V1296" s="61"/>
      <c r="W1296" s="61"/>
      <c r="X1296" s="62"/>
      <c r="Y1296" s="62"/>
      <c r="Z1296" s="68"/>
      <c r="AA1296" s="76"/>
      <c r="AB1296" s="60"/>
      <c r="AC1296" s="60"/>
      <c r="AD1296" s="60"/>
      <c r="AE1296" s="60"/>
      <c r="AF1296" s="61"/>
      <c r="AG1296" s="61"/>
      <c r="AH1296" s="61"/>
      <c r="AI1296" s="61"/>
      <c r="AJ1296" s="62"/>
      <c r="AK1296" s="62"/>
      <c r="AL1296" s="62"/>
      <c r="AM1296" s="62"/>
      <c r="AN1296" s="62"/>
      <c r="AO1296" s="62"/>
      <c r="AP1296" s="62"/>
      <c r="AQ1296" s="62"/>
      <c r="AR1296" s="62"/>
      <c r="AS1296" s="62"/>
      <c r="AT1296" s="62"/>
      <c r="AU1296" s="62"/>
      <c r="AV1296" s="62"/>
      <c r="AW1296" s="62"/>
      <c r="AX1296" s="62"/>
      <c r="AY1296" s="62"/>
      <c r="AZ1296" s="62"/>
    </row>
    <row r="1297" spans="1:52" x14ac:dyDescent="0.25">
      <c r="A1297" s="62"/>
      <c r="B1297" s="68"/>
      <c r="C1297" s="76"/>
      <c r="D1297" s="60"/>
      <c r="E1297" s="60"/>
      <c r="F1297" s="60"/>
      <c r="G1297" s="60"/>
      <c r="H1297" s="61"/>
      <c r="I1297" s="62"/>
      <c r="J1297" s="61"/>
      <c r="K1297" s="61"/>
      <c r="L1297" s="62"/>
      <c r="M1297" s="62"/>
      <c r="N1297" s="68"/>
      <c r="O1297" s="76"/>
      <c r="P1297" s="60"/>
      <c r="Q1297" s="60"/>
      <c r="R1297" s="60"/>
      <c r="S1297" s="60"/>
      <c r="T1297" s="61"/>
      <c r="U1297" s="61"/>
      <c r="V1297" s="61"/>
      <c r="W1297" s="61"/>
      <c r="X1297" s="62"/>
      <c r="Y1297" s="62"/>
      <c r="Z1297" s="68"/>
      <c r="AA1297" s="66"/>
      <c r="AB1297" s="60"/>
      <c r="AC1297" s="60"/>
      <c r="AD1297" s="60"/>
      <c r="AE1297" s="60"/>
      <c r="AF1297" s="61"/>
      <c r="AG1297" s="61"/>
      <c r="AH1297" s="61"/>
      <c r="AI1297" s="61"/>
      <c r="AJ1297" s="62"/>
      <c r="AK1297" s="62"/>
      <c r="AL1297" s="62"/>
      <c r="AM1297" s="62"/>
      <c r="AN1297" s="62"/>
      <c r="AO1297" s="62"/>
      <c r="AP1297" s="62"/>
      <c r="AQ1297" s="62"/>
      <c r="AR1297" s="62"/>
      <c r="AS1297" s="62"/>
      <c r="AT1297" s="62"/>
      <c r="AU1297" s="62"/>
      <c r="AV1297" s="62"/>
      <c r="AW1297" s="62"/>
      <c r="AX1297" s="62"/>
      <c r="AY1297" s="62"/>
      <c r="AZ1297" s="62"/>
    </row>
    <row r="1298" spans="1:52" x14ac:dyDescent="0.25">
      <c r="A1298" s="62"/>
      <c r="B1298" s="68"/>
      <c r="C1298" s="76"/>
      <c r="D1298" s="60"/>
      <c r="E1298" s="76"/>
      <c r="F1298" s="80"/>
      <c r="G1298" s="60"/>
      <c r="H1298" s="61"/>
      <c r="I1298" s="61"/>
      <c r="J1298" s="62"/>
      <c r="K1298" s="61"/>
      <c r="L1298" s="62"/>
      <c r="M1298" s="62"/>
      <c r="N1298" s="68"/>
      <c r="O1298" s="76"/>
      <c r="P1298" s="60"/>
      <c r="Q1298" s="60"/>
      <c r="R1298" s="60"/>
      <c r="S1298" s="60"/>
      <c r="T1298" s="61"/>
      <c r="U1298" s="61"/>
      <c r="V1298" s="61"/>
      <c r="W1298" s="61"/>
      <c r="X1298" s="62"/>
      <c r="Y1298" s="62"/>
      <c r="Z1298" s="68"/>
      <c r="AA1298" s="76"/>
      <c r="AB1298" s="60"/>
      <c r="AC1298" s="60"/>
      <c r="AD1298" s="60"/>
      <c r="AE1298" s="60"/>
      <c r="AF1298" s="61"/>
      <c r="AG1298" s="61"/>
      <c r="AH1298" s="61"/>
      <c r="AI1298" s="61"/>
      <c r="AJ1298" s="62"/>
      <c r="AK1298" s="62"/>
      <c r="AL1298" s="62"/>
      <c r="AM1298" s="62"/>
      <c r="AN1298" s="62"/>
      <c r="AO1298" s="62"/>
      <c r="AP1298" s="62"/>
      <c r="AQ1298" s="62"/>
      <c r="AR1298" s="62"/>
      <c r="AS1298" s="62"/>
      <c r="AT1298" s="62"/>
      <c r="AU1298" s="62"/>
      <c r="AV1298" s="62"/>
      <c r="AW1298" s="62"/>
      <c r="AX1298" s="62"/>
      <c r="AY1298" s="62"/>
      <c r="AZ1298" s="62"/>
    </row>
    <row r="1299" spans="1:52" x14ac:dyDescent="0.25">
      <c r="A1299" s="62"/>
      <c r="B1299" s="68"/>
      <c r="C1299" s="76"/>
      <c r="D1299" s="60"/>
      <c r="E1299" s="60"/>
      <c r="F1299" s="60"/>
      <c r="G1299" s="60"/>
      <c r="H1299" s="61"/>
      <c r="I1299" s="61"/>
      <c r="J1299" s="61"/>
      <c r="K1299" s="61"/>
      <c r="L1299" s="62"/>
      <c r="M1299" s="62"/>
      <c r="N1299" s="68"/>
      <c r="O1299" s="76"/>
      <c r="P1299" s="60"/>
      <c r="Q1299" s="60"/>
      <c r="R1299" s="60"/>
      <c r="S1299" s="60"/>
      <c r="T1299" s="61"/>
      <c r="U1299" s="61"/>
      <c r="V1299" s="61"/>
      <c r="W1299" s="61"/>
      <c r="X1299" s="62"/>
      <c r="Y1299" s="62"/>
      <c r="Z1299" s="68"/>
      <c r="AA1299" s="76"/>
      <c r="AB1299" s="60"/>
      <c r="AC1299" s="60"/>
      <c r="AD1299" s="60"/>
      <c r="AE1299" s="60"/>
      <c r="AF1299" s="61"/>
      <c r="AG1299" s="61"/>
      <c r="AH1299" s="61"/>
      <c r="AI1299" s="61"/>
      <c r="AJ1299" s="62"/>
      <c r="AK1299" s="62"/>
      <c r="AL1299" s="62"/>
      <c r="AM1299" s="62"/>
      <c r="AN1299" s="62"/>
      <c r="AO1299" s="62"/>
      <c r="AP1299" s="62"/>
      <c r="AQ1299" s="62"/>
      <c r="AR1299" s="62"/>
      <c r="AS1299" s="62"/>
      <c r="AT1299" s="62"/>
      <c r="AU1299" s="62"/>
      <c r="AV1299" s="62"/>
      <c r="AW1299" s="62"/>
      <c r="AX1299" s="62"/>
      <c r="AY1299" s="62"/>
      <c r="AZ1299" s="62"/>
    </row>
    <row r="1300" spans="1:52" x14ac:dyDescent="0.25">
      <c r="A1300" s="62"/>
      <c r="B1300" s="68"/>
      <c r="C1300" s="76"/>
      <c r="D1300" s="60"/>
      <c r="E1300" s="60"/>
      <c r="F1300" s="60"/>
      <c r="G1300" s="60"/>
      <c r="H1300" s="61"/>
      <c r="I1300" s="61"/>
      <c r="J1300" s="61"/>
      <c r="K1300" s="61"/>
      <c r="L1300" s="62"/>
      <c r="M1300" s="62"/>
      <c r="N1300" s="68"/>
      <c r="O1300" s="76"/>
      <c r="P1300" s="60"/>
      <c r="Q1300" s="60"/>
      <c r="R1300" s="60"/>
      <c r="S1300" s="60"/>
      <c r="T1300" s="61"/>
      <c r="U1300" s="61"/>
      <c r="V1300" s="61"/>
      <c r="W1300" s="61"/>
      <c r="X1300" s="62"/>
      <c r="Y1300" s="62"/>
      <c r="Z1300" s="68"/>
      <c r="AA1300" s="76"/>
      <c r="AB1300" s="60"/>
      <c r="AC1300" s="60"/>
      <c r="AD1300" s="60"/>
      <c r="AE1300" s="60"/>
      <c r="AF1300" s="61"/>
      <c r="AG1300" s="61"/>
      <c r="AH1300" s="61"/>
      <c r="AI1300" s="61"/>
      <c r="AJ1300" s="62"/>
      <c r="AK1300" s="62"/>
      <c r="AL1300" s="62"/>
      <c r="AM1300" s="62"/>
      <c r="AN1300" s="62"/>
      <c r="AO1300" s="62"/>
      <c r="AP1300" s="62"/>
      <c r="AQ1300" s="62"/>
      <c r="AR1300" s="62"/>
      <c r="AS1300" s="62"/>
      <c r="AT1300" s="62"/>
      <c r="AU1300" s="62"/>
      <c r="AV1300" s="62"/>
      <c r="AW1300" s="62"/>
      <c r="AX1300" s="62"/>
      <c r="AY1300" s="62"/>
      <c r="AZ1300" s="62"/>
    </row>
    <row r="1301" spans="1:52" x14ac:dyDescent="0.25">
      <c r="A1301" s="62"/>
      <c r="B1301" s="68"/>
      <c r="C1301" s="66"/>
      <c r="D1301" s="60"/>
      <c r="E1301" s="60"/>
      <c r="F1301" s="60"/>
      <c r="G1301" s="60"/>
      <c r="H1301" s="61"/>
      <c r="I1301" s="61"/>
      <c r="J1301" s="61"/>
      <c r="K1301" s="61"/>
      <c r="L1301" s="62"/>
      <c r="M1301" s="62"/>
      <c r="N1301" s="68"/>
      <c r="O1301" s="76"/>
      <c r="P1301" s="60"/>
      <c r="Q1301" s="60"/>
      <c r="R1301" s="60"/>
      <c r="S1301" s="60"/>
      <c r="T1301" s="61"/>
      <c r="U1301" s="61"/>
      <c r="V1301" s="61"/>
      <c r="W1301" s="61"/>
      <c r="X1301" s="62"/>
      <c r="Y1301" s="62"/>
      <c r="Z1301" s="68"/>
      <c r="AA1301" s="76"/>
      <c r="AB1301" s="60"/>
      <c r="AC1301" s="60"/>
      <c r="AD1301" s="60"/>
      <c r="AE1301" s="60"/>
      <c r="AF1301" s="61"/>
      <c r="AG1301" s="61"/>
      <c r="AH1301" s="61"/>
      <c r="AI1301" s="61"/>
      <c r="AJ1301" s="62"/>
      <c r="AK1301" s="62"/>
      <c r="AL1301" s="62"/>
      <c r="AM1301" s="62"/>
      <c r="AN1301" s="62"/>
      <c r="AO1301" s="62"/>
      <c r="AP1301" s="62"/>
      <c r="AQ1301" s="62"/>
      <c r="AR1301" s="62"/>
      <c r="AS1301" s="62"/>
      <c r="AT1301" s="62"/>
      <c r="AU1301" s="62"/>
      <c r="AV1301" s="62"/>
      <c r="AW1301" s="62"/>
      <c r="AX1301" s="62"/>
      <c r="AY1301" s="62"/>
      <c r="AZ1301" s="62"/>
    </row>
    <row r="1302" spans="1:52" x14ac:dyDescent="0.25">
      <c r="A1302" s="62"/>
      <c r="B1302" s="68"/>
      <c r="C1302" s="76"/>
      <c r="D1302" s="60"/>
      <c r="E1302" s="60"/>
      <c r="F1302" s="60"/>
      <c r="G1302" s="60"/>
      <c r="H1302" s="61"/>
      <c r="I1302" s="61"/>
      <c r="J1302" s="61"/>
      <c r="K1302" s="61"/>
      <c r="L1302" s="62"/>
      <c r="M1302" s="62"/>
      <c r="N1302" s="68"/>
      <c r="O1302" s="76"/>
      <c r="P1302" s="60"/>
      <c r="Q1302" s="60"/>
      <c r="R1302" s="60"/>
      <c r="S1302" s="60"/>
      <c r="T1302" s="61"/>
      <c r="U1302" s="61"/>
      <c r="V1302" s="61"/>
      <c r="W1302" s="61"/>
      <c r="X1302" s="62"/>
      <c r="Y1302" s="62"/>
      <c r="Z1302" s="68"/>
      <c r="AA1302" s="76"/>
      <c r="AB1302" s="60"/>
      <c r="AC1302" s="60"/>
      <c r="AD1302" s="60"/>
      <c r="AE1302" s="60"/>
      <c r="AF1302" s="61"/>
      <c r="AG1302" s="61"/>
      <c r="AH1302" s="61"/>
      <c r="AI1302" s="61"/>
      <c r="AJ1302" s="62"/>
      <c r="AK1302" s="62"/>
      <c r="AL1302" s="62"/>
      <c r="AM1302" s="62"/>
      <c r="AN1302" s="62"/>
      <c r="AO1302" s="62"/>
      <c r="AP1302" s="62"/>
      <c r="AQ1302" s="62"/>
      <c r="AR1302" s="62"/>
      <c r="AS1302" s="62"/>
      <c r="AT1302" s="62"/>
      <c r="AU1302" s="62"/>
      <c r="AV1302" s="62"/>
      <c r="AW1302" s="62"/>
      <c r="AX1302" s="62"/>
      <c r="AY1302" s="62"/>
      <c r="AZ1302" s="62"/>
    </row>
    <row r="1303" spans="1:52" x14ac:dyDescent="0.25">
      <c r="A1303" s="62"/>
      <c r="B1303" s="68"/>
      <c r="C1303" s="76"/>
      <c r="D1303" s="60"/>
      <c r="E1303" s="60"/>
      <c r="F1303" s="60"/>
      <c r="G1303" s="60"/>
      <c r="H1303" s="61"/>
      <c r="I1303" s="61"/>
      <c r="J1303" s="61"/>
      <c r="K1303" s="61"/>
      <c r="L1303" s="62"/>
      <c r="M1303" s="62"/>
      <c r="N1303" s="68"/>
      <c r="O1303" s="76"/>
      <c r="P1303" s="60"/>
      <c r="Q1303" s="60"/>
      <c r="R1303" s="60"/>
      <c r="S1303" s="60"/>
      <c r="T1303" s="61"/>
      <c r="U1303" s="61"/>
      <c r="V1303" s="61"/>
      <c r="W1303" s="61"/>
      <c r="X1303" s="62"/>
      <c r="Y1303" s="62"/>
      <c r="Z1303" s="68"/>
      <c r="AA1303" s="76"/>
      <c r="AB1303" s="60"/>
      <c r="AC1303" s="60"/>
      <c r="AD1303" s="60"/>
      <c r="AE1303" s="60"/>
      <c r="AF1303" s="61"/>
      <c r="AG1303" s="61"/>
      <c r="AH1303" s="61"/>
      <c r="AI1303" s="61"/>
      <c r="AJ1303" s="62"/>
      <c r="AK1303" s="62"/>
      <c r="AL1303" s="62"/>
      <c r="AM1303" s="62"/>
      <c r="AN1303" s="62"/>
      <c r="AO1303" s="62"/>
      <c r="AP1303" s="62"/>
      <c r="AQ1303" s="62"/>
      <c r="AR1303" s="62"/>
      <c r="AS1303" s="62"/>
      <c r="AT1303" s="62"/>
      <c r="AU1303" s="62"/>
      <c r="AV1303" s="62"/>
      <c r="AW1303" s="62"/>
      <c r="AX1303" s="62"/>
      <c r="AY1303" s="62"/>
      <c r="AZ1303" s="62"/>
    </row>
    <row r="1304" spans="1:52" x14ac:dyDescent="0.25">
      <c r="A1304" s="62"/>
      <c r="B1304" s="68"/>
      <c r="C1304" s="76"/>
      <c r="D1304" s="76"/>
      <c r="E1304" s="60"/>
      <c r="F1304" s="60"/>
      <c r="G1304" s="60"/>
      <c r="H1304" s="61"/>
      <c r="I1304" s="61"/>
      <c r="J1304" s="61"/>
      <c r="K1304" s="61"/>
      <c r="L1304" s="62"/>
      <c r="M1304" s="62"/>
      <c r="N1304" s="68"/>
      <c r="O1304" s="76"/>
      <c r="P1304" s="60"/>
      <c r="Q1304" s="60"/>
      <c r="R1304" s="60"/>
      <c r="S1304" s="60"/>
      <c r="T1304" s="61"/>
      <c r="U1304" s="61"/>
      <c r="V1304" s="61"/>
      <c r="W1304" s="61"/>
      <c r="X1304" s="62"/>
      <c r="Y1304" s="62"/>
      <c r="Z1304" s="68"/>
      <c r="AA1304" s="76"/>
      <c r="AB1304" s="60"/>
      <c r="AC1304" s="60"/>
      <c r="AD1304" s="60"/>
      <c r="AE1304" s="60"/>
      <c r="AF1304" s="61"/>
      <c r="AG1304" s="61"/>
      <c r="AH1304" s="61"/>
      <c r="AI1304" s="61"/>
      <c r="AJ1304" s="62"/>
      <c r="AK1304" s="62"/>
      <c r="AL1304" s="62"/>
      <c r="AM1304" s="62"/>
      <c r="AN1304" s="62"/>
      <c r="AO1304" s="62"/>
      <c r="AP1304" s="62"/>
      <c r="AQ1304" s="62"/>
      <c r="AR1304" s="62"/>
      <c r="AS1304" s="62"/>
      <c r="AT1304" s="62"/>
      <c r="AU1304" s="62"/>
      <c r="AV1304" s="62"/>
      <c r="AW1304" s="62"/>
      <c r="AX1304" s="62"/>
      <c r="AY1304" s="62"/>
      <c r="AZ1304" s="62"/>
    </row>
    <row r="1305" spans="1:52" x14ac:dyDescent="0.25">
      <c r="A1305" s="62"/>
      <c r="B1305" s="68"/>
      <c r="C1305" s="76"/>
      <c r="D1305" s="60"/>
      <c r="E1305" s="60"/>
      <c r="F1305" s="60"/>
      <c r="G1305" s="60"/>
      <c r="H1305" s="62"/>
      <c r="I1305" s="62"/>
      <c r="J1305" s="62"/>
      <c r="K1305" s="61"/>
      <c r="L1305" s="62"/>
      <c r="M1305" s="62"/>
      <c r="N1305" s="68"/>
      <c r="O1305" s="76"/>
      <c r="P1305" s="69"/>
      <c r="Q1305" s="76"/>
      <c r="R1305" s="80"/>
      <c r="S1305" s="60"/>
      <c r="T1305" s="62"/>
      <c r="U1305" s="62"/>
      <c r="V1305" s="62"/>
      <c r="W1305" s="61"/>
      <c r="X1305" s="62"/>
      <c r="Y1305" s="62"/>
      <c r="Z1305" s="68"/>
      <c r="AA1305" s="62"/>
      <c r="AB1305" s="69"/>
      <c r="AC1305" s="76"/>
      <c r="AD1305" s="80"/>
      <c r="AE1305" s="60"/>
      <c r="AF1305" s="62"/>
      <c r="AG1305" s="62"/>
      <c r="AH1305" s="62"/>
      <c r="AI1305" s="61"/>
      <c r="AJ1305" s="62"/>
      <c r="AK1305" s="62"/>
      <c r="AL1305" s="62"/>
      <c r="AM1305" s="62"/>
      <c r="AN1305" s="62"/>
      <c r="AO1305" s="62"/>
      <c r="AP1305" s="62"/>
      <c r="AQ1305" s="62"/>
      <c r="AR1305" s="62"/>
      <c r="AS1305" s="62"/>
      <c r="AT1305" s="62"/>
      <c r="AU1305" s="62"/>
      <c r="AV1305" s="62"/>
      <c r="AW1305" s="62"/>
      <c r="AX1305" s="62"/>
      <c r="AY1305" s="62"/>
      <c r="AZ1305" s="62"/>
    </row>
    <row r="1306" spans="1:52" x14ac:dyDescent="0.25">
      <c r="A1306" s="62"/>
      <c r="B1306" s="68"/>
      <c r="C1306" s="76"/>
      <c r="D1306" s="60"/>
      <c r="E1306" s="60"/>
      <c r="F1306" s="60"/>
      <c r="G1306" s="60"/>
      <c r="H1306" s="62"/>
      <c r="I1306" s="62"/>
      <c r="J1306" s="62"/>
      <c r="K1306" s="61"/>
      <c r="L1306" s="62"/>
      <c r="M1306" s="62"/>
      <c r="N1306" s="68"/>
      <c r="O1306" s="76"/>
      <c r="P1306" s="70"/>
      <c r="Q1306" s="76"/>
      <c r="R1306" s="80"/>
      <c r="S1306" s="60"/>
      <c r="T1306" s="62"/>
      <c r="U1306" s="62"/>
      <c r="V1306" s="62"/>
      <c r="W1306" s="61"/>
      <c r="X1306" s="62"/>
      <c r="Y1306" s="62"/>
      <c r="Z1306" s="68"/>
      <c r="AA1306" s="76"/>
      <c r="AB1306" s="70"/>
      <c r="AC1306" s="76"/>
      <c r="AD1306" s="80"/>
      <c r="AE1306" s="60"/>
      <c r="AF1306" s="62"/>
      <c r="AG1306" s="62"/>
      <c r="AH1306" s="62"/>
      <c r="AI1306" s="61"/>
      <c r="AJ1306" s="62"/>
      <c r="AK1306" s="62"/>
      <c r="AL1306" s="62"/>
      <c r="AM1306" s="62"/>
      <c r="AN1306" s="62"/>
      <c r="AO1306" s="62"/>
      <c r="AP1306" s="62"/>
      <c r="AQ1306" s="62"/>
      <c r="AR1306" s="62"/>
      <c r="AS1306" s="62"/>
      <c r="AT1306" s="62"/>
      <c r="AU1306" s="62"/>
      <c r="AV1306" s="62"/>
      <c r="AW1306" s="62"/>
      <c r="AX1306" s="62"/>
      <c r="AY1306" s="62"/>
      <c r="AZ1306" s="62"/>
    </row>
    <row r="1307" spans="1:52" x14ac:dyDescent="0.25">
      <c r="A1307" s="62"/>
      <c r="B1307" s="68"/>
      <c r="C1307" s="76"/>
      <c r="D1307" s="60"/>
      <c r="E1307" s="60"/>
      <c r="F1307" s="60"/>
      <c r="G1307" s="60"/>
      <c r="H1307" s="62"/>
      <c r="I1307" s="62"/>
      <c r="J1307" s="61"/>
      <c r="K1307" s="61"/>
      <c r="L1307" s="62"/>
      <c r="M1307" s="62"/>
      <c r="N1307" s="68"/>
      <c r="O1307" s="66"/>
      <c r="P1307" s="71"/>
      <c r="Q1307" s="62"/>
      <c r="R1307" s="62"/>
      <c r="S1307" s="60"/>
      <c r="T1307" s="62"/>
      <c r="U1307" s="62"/>
      <c r="V1307" s="62"/>
      <c r="W1307" s="61"/>
      <c r="X1307" s="62"/>
      <c r="Y1307" s="62"/>
      <c r="Z1307" s="68"/>
      <c r="AA1307" s="76"/>
      <c r="AB1307" s="71"/>
      <c r="AC1307" s="62"/>
      <c r="AD1307" s="62"/>
      <c r="AE1307" s="60"/>
      <c r="AF1307" s="62"/>
      <c r="AG1307" s="62"/>
      <c r="AH1307" s="62"/>
      <c r="AI1307" s="61"/>
      <c r="AJ1307" s="62"/>
      <c r="AK1307" s="62"/>
      <c r="AL1307" s="62"/>
      <c r="AM1307" s="62"/>
      <c r="AN1307" s="62"/>
      <c r="AO1307" s="62"/>
      <c r="AP1307" s="62"/>
      <c r="AQ1307" s="62"/>
      <c r="AR1307" s="62"/>
      <c r="AS1307" s="62"/>
      <c r="AT1307" s="62"/>
      <c r="AU1307" s="62"/>
      <c r="AV1307" s="62"/>
      <c r="AW1307" s="62"/>
      <c r="AX1307" s="62"/>
      <c r="AY1307" s="62"/>
      <c r="AZ1307" s="62"/>
    </row>
    <row r="1308" spans="1:52" x14ac:dyDescent="0.25">
      <c r="A1308" s="62"/>
      <c r="B1308" s="68"/>
      <c r="C1308" s="76"/>
      <c r="D1308" s="60"/>
      <c r="E1308" s="60"/>
      <c r="F1308" s="60"/>
      <c r="G1308" s="60"/>
      <c r="H1308" s="62"/>
      <c r="I1308" s="62"/>
      <c r="J1308" s="62"/>
      <c r="K1308" s="61"/>
      <c r="L1308" s="62"/>
      <c r="M1308" s="62"/>
      <c r="N1308" s="68"/>
      <c r="O1308" s="76"/>
      <c r="P1308" s="71"/>
      <c r="Q1308" s="76"/>
      <c r="R1308" s="80"/>
      <c r="S1308" s="60"/>
      <c r="T1308" s="62"/>
      <c r="U1308" s="62"/>
      <c r="V1308" s="62"/>
      <c r="W1308" s="61"/>
      <c r="X1308" s="62"/>
      <c r="Y1308" s="62"/>
      <c r="Z1308" s="68"/>
      <c r="AA1308" s="76"/>
      <c r="AB1308" s="71"/>
      <c r="AC1308" s="76"/>
      <c r="AD1308" s="80"/>
      <c r="AE1308" s="60"/>
      <c r="AF1308" s="62"/>
      <c r="AG1308" s="62"/>
      <c r="AH1308" s="62"/>
      <c r="AI1308" s="61"/>
      <c r="AJ1308" s="62"/>
      <c r="AK1308" s="62"/>
      <c r="AL1308" s="62"/>
      <c r="AM1308" s="62"/>
      <c r="AN1308" s="62"/>
      <c r="AO1308" s="62"/>
      <c r="AP1308" s="62"/>
      <c r="AQ1308" s="62"/>
      <c r="AR1308" s="62"/>
      <c r="AS1308" s="62"/>
      <c r="AT1308" s="62"/>
      <c r="AU1308" s="62"/>
      <c r="AV1308" s="62"/>
      <c r="AW1308" s="62"/>
      <c r="AX1308" s="62"/>
      <c r="AY1308" s="62"/>
      <c r="AZ1308" s="62"/>
    </row>
    <row r="1309" spans="1:52" x14ac:dyDescent="0.25">
      <c r="A1309" s="62"/>
      <c r="B1309" s="68"/>
      <c r="C1309" s="76"/>
      <c r="D1309" s="60"/>
      <c r="E1309" s="60"/>
      <c r="F1309" s="60"/>
      <c r="G1309" s="60"/>
      <c r="H1309" s="62"/>
      <c r="I1309" s="62"/>
      <c r="J1309" s="62"/>
      <c r="K1309" s="61"/>
      <c r="L1309" s="62"/>
      <c r="M1309" s="62"/>
      <c r="N1309" s="68"/>
      <c r="O1309" s="76"/>
      <c r="P1309" s="71"/>
      <c r="Q1309" s="76"/>
      <c r="R1309" s="80"/>
      <c r="S1309" s="60"/>
      <c r="T1309" s="62"/>
      <c r="U1309" s="62"/>
      <c r="V1309" s="62"/>
      <c r="W1309" s="61"/>
      <c r="X1309" s="62"/>
      <c r="Y1309" s="62"/>
      <c r="Z1309" s="68"/>
      <c r="AA1309" s="76"/>
      <c r="AB1309" s="71"/>
      <c r="AC1309" s="76"/>
      <c r="AD1309" s="80"/>
      <c r="AE1309" s="60"/>
      <c r="AF1309" s="62"/>
      <c r="AG1309" s="62"/>
      <c r="AH1309" s="62"/>
      <c r="AI1309" s="61"/>
      <c r="AJ1309" s="62"/>
      <c r="AK1309" s="62"/>
      <c r="AL1309" s="62"/>
      <c r="AM1309" s="62"/>
      <c r="AN1309" s="62"/>
      <c r="AO1309" s="62"/>
      <c r="AP1309" s="62"/>
      <c r="AQ1309" s="62"/>
      <c r="AR1309" s="62"/>
      <c r="AS1309" s="62"/>
      <c r="AT1309" s="62"/>
      <c r="AU1309" s="62"/>
      <c r="AV1309" s="62"/>
      <c r="AW1309" s="62"/>
      <c r="AX1309" s="62"/>
      <c r="AY1309" s="62"/>
      <c r="AZ1309" s="62"/>
    </row>
    <row r="1310" spans="1:52" x14ac:dyDescent="0.25">
      <c r="A1310" s="62"/>
      <c r="B1310" s="68"/>
      <c r="C1310" s="76"/>
      <c r="D1310" s="60"/>
      <c r="E1310" s="60"/>
      <c r="F1310" s="60"/>
      <c r="G1310" s="60"/>
      <c r="H1310" s="62"/>
      <c r="I1310" s="62"/>
      <c r="J1310" s="62"/>
      <c r="K1310" s="61"/>
      <c r="L1310" s="62"/>
      <c r="M1310" s="62"/>
      <c r="N1310" s="68"/>
      <c r="O1310" s="76"/>
      <c r="P1310" s="71"/>
      <c r="Q1310" s="76"/>
      <c r="R1310" s="80"/>
      <c r="S1310" s="60"/>
      <c r="T1310" s="62"/>
      <c r="U1310" s="62"/>
      <c r="V1310" s="62"/>
      <c r="W1310" s="61"/>
      <c r="X1310" s="62"/>
      <c r="Y1310" s="62"/>
      <c r="Z1310" s="68"/>
      <c r="AA1310" s="76"/>
      <c r="AB1310" s="71"/>
      <c r="AC1310" s="76"/>
      <c r="AD1310" s="80"/>
      <c r="AE1310" s="60"/>
      <c r="AF1310" s="62"/>
      <c r="AG1310" s="62"/>
      <c r="AH1310" s="62"/>
      <c r="AI1310" s="61"/>
      <c r="AJ1310" s="62"/>
      <c r="AK1310" s="62"/>
      <c r="AL1310" s="62"/>
      <c r="AM1310" s="62"/>
      <c r="AN1310" s="62"/>
      <c r="AO1310" s="62"/>
      <c r="AP1310" s="62"/>
      <c r="AQ1310" s="62"/>
      <c r="AR1310" s="62"/>
      <c r="AS1310" s="62"/>
      <c r="AT1310" s="62"/>
      <c r="AU1310" s="62"/>
      <c r="AV1310" s="62"/>
      <c r="AW1310" s="62"/>
      <c r="AX1310" s="62"/>
      <c r="AY1310" s="62"/>
      <c r="AZ1310" s="62"/>
    </row>
    <row r="1311" spans="1:52" x14ac:dyDescent="0.25">
      <c r="A1311" s="62"/>
      <c r="B1311" s="68"/>
      <c r="C1311" s="76"/>
      <c r="D1311" s="60"/>
      <c r="E1311" s="60"/>
      <c r="F1311" s="60"/>
      <c r="G1311" s="60"/>
      <c r="H1311" s="62"/>
      <c r="I1311" s="62"/>
      <c r="J1311" s="62"/>
      <c r="K1311" s="61"/>
      <c r="L1311" s="62"/>
      <c r="M1311" s="62"/>
      <c r="N1311" s="68"/>
      <c r="O1311" s="76"/>
      <c r="P1311" s="71"/>
      <c r="Q1311" s="76"/>
      <c r="R1311" s="80"/>
      <c r="S1311" s="60"/>
      <c r="T1311" s="62"/>
      <c r="U1311" s="62"/>
      <c r="V1311" s="62"/>
      <c r="W1311" s="61"/>
      <c r="X1311" s="62"/>
      <c r="Y1311" s="62"/>
      <c r="Z1311" s="68"/>
      <c r="AA1311" s="76"/>
      <c r="AB1311" s="71"/>
      <c r="AC1311" s="76"/>
      <c r="AD1311" s="80"/>
      <c r="AE1311" s="60"/>
      <c r="AF1311" s="62"/>
      <c r="AG1311" s="62"/>
      <c r="AH1311" s="62"/>
      <c r="AI1311" s="61"/>
      <c r="AJ1311" s="62"/>
      <c r="AK1311" s="62"/>
      <c r="AL1311" s="62"/>
      <c r="AM1311" s="62"/>
      <c r="AN1311" s="62"/>
      <c r="AO1311" s="62"/>
      <c r="AP1311" s="62"/>
      <c r="AQ1311" s="62"/>
      <c r="AR1311" s="62"/>
      <c r="AS1311" s="62"/>
      <c r="AT1311" s="62"/>
      <c r="AU1311" s="62"/>
      <c r="AV1311" s="62"/>
      <c r="AW1311" s="62"/>
      <c r="AX1311" s="62"/>
      <c r="AY1311" s="62"/>
      <c r="AZ1311" s="62"/>
    </row>
    <row r="1312" spans="1:52" x14ac:dyDescent="0.25">
      <c r="A1312" s="62"/>
      <c r="B1312" s="68"/>
      <c r="C1312" s="76"/>
      <c r="D1312" s="60"/>
      <c r="E1312" s="60"/>
      <c r="F1312" s="60"/>
      <c r="G1312" s="60"/>
      <c r="H1312" s="62"/>
      <c r="I1312" s="62"/>
      <c r="J1312" s="62"/>
      <c r="K1312" s="61"/>
      <c r="L1312" s="62"/>
      <c r="M1312" s="62"/>
      <c r="N1312" s="68"/>
      <c r="O1312" s="76"/>
      <c r="P1312" s="71"/>
      <c r="Q1312" s="76"/>
      <c r="R1312" s="80"/>
      <c r="S1312" s="60"/>
      <c r="T1312" s="62"/>
      <c r="U1312" s="62"/>
      <c r="V1312" s="62"/>
      <c r="W1312" s="61"/>
      <c r="X1312" s="62"/>
      <c r="Y1312" s="62"/>
      <c r="Z1312" s="68"/>
      <c r="AA1312" s="76"/>
      <c r="AB1312" s="71"/>
      <c r="AC1312" s="76"/>
      <c r="AD1312" s="80"/>
      <c r="AE1312" s="60"/>
      <c r="AF1312" s="62"/>
      <c r="AG1312" s="62"/>
      <c r="AH1312" s="62"/>
      <c r="AI1312" s="61"/>
      <c r="AJ1312" s="62"/>
      <c r="AK1312" s="62"/>
      <c r="AL1312" s="62"/>
      <c r="AM1312" s="62"/>
      <c r="AN1312" s="62"/>
      <c r="AO1312" s="62"/>
      <c r="AP1312" s="62"/>
      <c r="AQ1312" s="62"/>
      <c r="AR1312" s="62"/>
      <c r="AS1312" s="62"/>
      <c r="AT1312" s="62"/>
      <c r="AU1312" s="62"/>
      <c r="AV1312" s="62"/>
      <c r="AW1312" s="62"/>
      <c r="AX1312" s="62"/>
      <c r="AY1312" s="62"/>
      <c r="AZ1312" s="62"/>
    </row>
    <row r="1313" spans="1:52" x14ac:dyDescent="0.25">
      <c r="A1313" s="62"/>
      <c r="B1313" s="68"/>
      <c r="C1313" s="76"/>
      <c r="D1313" s="60"/>
      <c r="E1313" s="60"/>
      <c r="F1313" s="60"/>
      <c r="G1313" s="60"/>
      <c r="H1313" s="62"/>
      <c r="I1313" s="62"/>
      <c r="J1313" s="62"/>
      <c r="K1313" s="61"/>
      <c r="L1313" s="62"/>
      <c r="M1313" s="62"/>
      <c r="N1313" s="68"/>
      <c r="O1313" s="76"/>
      <c r="P1313" s="71"/>
      <c r="Q1313" s="76"/>
      <c r="R1313" s="80"/>
      <c r="S1313" s="60"/>
      <c r="T1313" s="62"/>
      <c r="U1313" s="62"/>
      <c r="V1313" s="62"/>
      <c r="W1313" s="61"/>
      <c r="X1313" s="62"/>
      <c r="Y1313" s="62"/>
      <c r="Z1313" s="68"/>
      <c r="AA1313" s="76"/>
      <c r="AB1313" s="71"/>
      <c r="AC1313" s="76"/>
      <c r="AD1313" s="80"/>
      <c r="AE1313" s="60"/>
      <c r="AF1313" s="62"/>
      <c r="AG1313" s="62"/>
      <c r="AH1313" s="62"/>
      <c r="AI1313" s="61"/>
      <c r="AJ1313" s="62"/>
      <c r="AK1313" s="62"/>
      <c r="AL1313" s="62"/>
      <c r="AM1313" s="62"/>
      <c r="AN1313" s="62"/>
      <c r="AO1313" s="62"/>
      <c r="AP1313" s="62"/>
      <c r="AQ1313" s="62"/>
      <c r="AR1313" s="62"/>
      <c r="AS1313" s="62"/>
      <c r="AT1313" s="62"/>
      <c r="AU1313" s="62"/>
      <c r="AV1313" s="62"/>
      <c r="AW1313" s="62"/>
      <c r="AX1313" s="62"/>
      <c r="AY1313" s="62"/>
      <c r="AZ1313" s="62"/>
    </row>
    <row r="1314" spans="1:52" x14ac:dyDescent="0.25">
      <c r="A1314" s="62"/>
      <c r="B1314" s="68"/>
      <c r="C1314" s="76"/>
      <c r="D1314" s="60"/>
      <c r="E1314" s="60"/>
      <c r="F1314" s="60"/>
      <c r="G1314" s="60"/>
      <c r="H1314" s="62"/>
      <c r="I1314" s="62"/>
      <c r="J1314" s="62"/>
      <c r="K1314" s="61"/>
      <c r="L1314" s="62"/>
      <c r="M1314" s="62"/>
      <c r="N1314" s="68"/>
      <c r="O1314" s="76"/>
      <c r="P1314" s="71"/>
      <c r="Q1314" s="76"/>
      <c r="R1314" s="80"/>
      <c r="S1314" s="60"/>
      <c r="T1314" s="62"/>
      <c r="U1314" s="62"/>
      <c r="V1314" s="62"/>
      <c r="W1314" s="61"/>
      <c r="X1314" s="62"/>
      <c r="Y1314" s="62"/>
      <c r="Z1314" s="68"/>
      <c r="AA1314" s="76"/>
      <c r="AB1314" s="71"/>
      <c r="AC1314" s="76"/>
      <c r="AD1314" s="80"/>
      <c r="AE1314" s="60"/>
      <c r="AF1314" s="62"/>
      <c r="AG1314" s="62"/>
      <c r="AH1314" s="62"/>
      <c r="AI1314" s="61"/>
      <c r="AJ1314" s="62"/>
      <c r="AK1314" s="62"/>
      <c r="AL1314" s="62"/>
      <c r="AM1314" s="62"/>
      <c r="AN1314" s="62"/>
      <c r="AO1314" s="62"/>
      <c r="AP1314" s="62"/>
      <c r="AQ1314" s="62"/>
      <c r="AR1314" s="62"/>
      <c r="AS1314" s="62"/>
      <c r="AT1314" s="62"/>
      <c r="AU1314" s="62"/>
      <c r="AV1314" s="62"/>
      <c r="AW1314" s="62"/>
      <c r="AX1314" s="62"/>
      <c r="AY1314" s="62"/>
      <c r="AZ1314" s="62"/>
    </row>
    <row r="1315" spans="1:52" x14ac:dyDescent="0.25">
      <c r="A1315" s="62"/>
      <c r="B1315" s="68"/>
      <c r="C1315" s="76"/>
      <c r="D1315" s="60"/>
      <c r="E1315" s="60"/>
      <c r="F1315" s="60"/>
      <c r="G1315" s="60"/>
      <c r="H1315" s="62"/>
      <c r="I1315" s="62"/>
      <c r="J1315" s="62"/>
      <c r="K1315" s="61"/>
      <c r="L1315" s="62"/>
      <c r="M1315" s="62"/>
      <c r="N1315" s="68"/>
      <c r="O1315" s="76"/>
      <c r="P1315" s="71"/>
      <c r="Q1315" s="76"/>
      <c r="R1315" s="80"/>
      <c r="S1315" s="60"/>
      <c r="T1315" s="62"/>
      <c r="U1315" s="62"/>
      <c r="V1315" s="62"/>
      <c r="W1315" s="61"/>
      <c r="X1315" s="62"/>
      <c r="Y1315" s="62"/>
      <c r="Z1315" s="68"/>
      <c r="AA1315" s="62"/>
      <c r="AB1315" s="71"/>
      <c r="AC1315" s="76"/>
      <c r="AD1315" s="80"/>
      <c r="AE1315" s="60"/>
      <c r="AF1315" s="62"/>
      <c r="AG1315" s="62"/>
      <c r="AH1315" s="62"/>
      <c r="AI1315" s="61"/>
      <c r="AJ1315" s="62"/>
      <c r="AK1315" s="62"/>
      <c r="AL1315" s="62"/>
      <c r="AM1315" s="62"/>
      <c r="AN1315" s="62"/>
      <c r="AO1315" s="62"/>
      <c r="AP1315" s="62"/>
      <c r="AQ1315" s="62"/>
      <c r="AR1315" s="62"/>
      <c r="AS1315" s="62"/>
      <c r="AT1315" s="62"/>
      <c r="AU1315" s="62"/>
      <c r="AV1315" s="62"/>
      <c r="AW1315" s="62"/>
      <c r="AX1315" s="62"/>
      <c r="AY1315" s="62"/>
      <c r="AZ1315" s="62"/>
    </row>
    <row r="1316" spans="1:52" x14ac:dyDescent="0.25">
      <c r="A1316" s="62"/>
      <c r="B1316" s="68"/>
      <c r="C1316" s="76"/>
      <c r="D1316" s="60"/>
      <c r="E1316" s="60"/>
      <c r="F1316" s="60"/>
      <c r="G1316" s="60"/>
      <c r="H1316" s="62"/>
      <c r="I1316" s="62"/>
      <c r="J1316" s="62"/>
      <c r="K1316" s="61"/>
      <c r="L1316" s="62"/>
      <c r="M1316" s="62"/>
      <c r="N1316" s="68"/>
      <c r="O1316" s="76"/>
      <c r="P1316" s="71"/>
      <c r="Q1316" s="76"/>
      <c r="R1316" s="80"/>
      <c r="S1316" s="60"/>
      <c r="T1316" s="62"/>
      <c r="U1316" s="62"/>
      <c r="V1316" s="62"/>
      <c r="W1316" s="61"/>
      <c r="X1316" s="62"/>
      <c r="Y1316" s="62"/>
      <c r="Z1316" s="68"/>
      <c r="AA1316" s="76"/>
      <c r="AB1316" s="71"/>
      <c r="AC1316" s="76"/>
      <c r="AD1316" s="80"/>
      <c r="AE1316" s="60"/>
      <c r="AF1316" s="62"/>
      <c r="AG1316" s="62"/>
      <c r="AH1316" s="62"/>
      <c r="AI1316" s="61"/>
      <c r="AJ1316" s="62"/>
      <c r="AK1316" s="62"/>
      <c r="AL1316" s="62"/>
      <c r="AM1316" s="62"/>
      <c r="AN1316" s="62"/>
      <c r="AO1316" s="62"/>
      <c r="AP1316" s="62"/>
      <c r="AQ1316" s="62"/>
      <c r="AR1316" s="62"/>
      <c r="AS1316" s="62"/>
      <c r="AT1316" s="62"/>
      <c r="AU1316" s="62"/>
      <c r="AV1316" s="62"/>
      <c r="AW1316" s="62"/>
      <c r="AX1316" s="62"/>
      <c r="AY1316" s="62"/>
      <c r="AZ1316" s="62"/>
    </row>
    <row r="1317" spans="1:52" x14ac:dyDescent="0.25">
      <c r="A1317" s="62"/>
      <c r="B1317" s="68"/>
      <c r="C1317" s="76"/>
      <c r="D1317" s="60"/>
      <c r="E1317" s="60"/>
      <c r="F1317" s="60"/>
      <c r="G1317" s="60"/>
      <c r="H1317" s="62"/>
      <c r="I1317" s="62"/>
      <c r="J1317" s="62"/>
      <c r="K1317" s="61"/>
      <c r="L1317" s="62"/>
      <c r="M1317" s="62"/>
      <c r="N1317" s="68"/>
      <c r="O1317" s="76"/>
      <c r="P1317" s="71"/>
      <c r="Q1317" s="76"/>
      <c r="R1317" s="80"/>
      <c r="S1317" s="60"/>
      <c r="T1317" s="62"/>
      <c r="U1317" s="62"/>
      <c r="V1317" s="62"/>
      <c r="W1317" s="61"/>
      <c r="X1317" s="62"/>
      <c r="Y1317" s="62"/>
      <c r="Z1317" s="68"/>
      <c r="AA1317" s="76"/>
      <c r="AB1317" s="71"/>
      <c r="AC1317" s="76"/>
      <c r="AD1317" s="80"/>
      <c r="AE1317" s="60"/>
      <c r="AF1317" s="62"/>
      <c r="AG1317" s="62"/>
      <c r="AH1317" s="62"/>
      <c r="AI1317" s="61"/>
      <c r="AJ1317" s="62"/>
      <c r="AK1317" s="62"/>
      <c r="AL1317" s="62"/>
      <c r="AM1317" s="62"/>
      <c r="AN1317" s="62"/>
      <c r="AO1317" s="62"/>
      <c r="AP1317" s="62"/>
      <c r="AQ1317" s="62"/>
      <c r="AR1317" s="62"/>
      <c r="AS1317" s="62"/>
      <c r="AT1317" s="62"/>
      <c r="AU1317" s="62"/>
      <c r="AV1317" s="62"/>
      <c r="AW1317" s="62"/>
      <c r="AX1317" s="62"/>
      <c r="AY1317" s="62"/>
      <c r="AZ1317" s="62"/>
    </row>
    <row r="1318" spans="1:52" x14ac:dyDescent="0.25">
      <c r="A1318" s="62"/>
      <c r="B1318" s="68"/>
      <c r="C1318" s="76"/>
      <c r="D1318" s="60"/>
      <c r="E1318" s="60"/>
      <c r="F1318" s="60"/>
      <c r="G1318" s="60"/>
      <c r="H1318" s="62"/>
      <c r="I1318" s="62"/>
      <c r="J1318" s="62"/>
      <c r="K1318" s="61"/>
      <c r="L1318" s="62"/>
      <c r="M1318" s="62"/>
      <c r="N1318" s="68"/>
      <c r="O1318" s="76"/>
      <c r="P1318" s="71"/>
      <c r="Q1318" s="76"/>
      <c r="R1318" s="80"/>
      <c r="S1318" s="60"/>
      <c r="T1318" s="62"/>
      <c r="U1318" s="62"/>
      <c r="V1318" s="62"/>
      <c r="W1318" s="61"/>
      <c r="X1318" s="62"/>
      <c r="Y1318" s="62"/>
      <c r="Z1318" s="68"/>
      <c r="AA1318" s="76"/>
      <c r="AB1318" s="71"/>
      <c r="AC1318" s="76"/>
      <c r="AD1318" s="80"/>
      <c r="AE1318" s="60"/>
      <c r="AF1318" s="62"/>
      <c r="AG1318" s="62"/>
      <c r="AH1318" s="62"/>
      <c r="AI1318" s="61"/>
      <c r="AJ1318" s="62"/>
      <c r="AK1318" s="62"/>
      <c r="AL1318" s="62"/>
      <c r="AM1318" s="62"/>
      <c r="AN1318" s="62"/>
      <c r="AO1318" s="62"/>
      <c r="AP1318" s="62"/>
      <c r="AQ1318" s="62"/>
      <c r="AR1318" s="62"/>
      <c r="AS1318" s="62"/>
      <c r="AT1318" s="62"/>
      <c r="AU1318" s="62"/>
      <c r="AV1318" s="62"/>
      <c r="AW1318" s="62"/>
      <c r="AX1318" s="62"/>
      <c r="AY1318" s="62"/>
      <c r="AZ1318" s="62"/>
    </row>
    <row r="1319" spans="1:52" x14ac:dyDescent="0.25">
      <c r="A1319" s="62"/>
      <c r="B1319" s="68"/>
      <c r="C1319" s="76"/>
      <c r="D1319" s="60"/>
      <c r="E1319" s="60"/>
      <c r="F1319" s="60"/>
      <c r="G1319" s="60"/>
      <c r="H1319" s="62"/>
      <c r="I1319" s="62"/>
      <c r="J1319" s="62"/>
      <c r="K1319" s="61"/>
      <c r="L1319" s="62"/>
      <c r="M1319" s="62"/>
      <c r="N1319" s="68"/>
      <c r="O1319" s="76"/>
      <c r="P1319" s="71"/>
      <c r="Q1319" s="76"/>
      <c r="R1319" s="80"/>
      <c r="S1319" s="60"/>
      <c r="T1319" s="62"/>
      <c r="U1319" s="62"/>
      <c r="V1319" s="62"/>
      <c r="W1319" s="61"/>
      <c r="X1319" s="62"/>
      <c r="Y1319" s="62"/>
      <c r="Z1319" s="68"/>
      <c r="AA1319" s="76"/>
      <c r="AB1319" s="71"/>
      <c r="AC1319" s="76"/>
      <c r="AD1319" s="80"/>
      <c r="AE1319" s="60"/>
      <c r="AF1319" s="62"/>
      <c r="AG1319" s="62"/>
      <c r="AH1319" s="62"/>
      <c r="AI1319" s="61"/>
      <c r="AJ1319" s="62"/>
      <c r="AK1319" s="62"/>
      <c r="AL1319" s="62"/>
      <c r="AM1319" s="62"/>
      <c r="AN1319" s="62"/>
      <c r="AO1319" s="62"/>
      <c r="AP1319" s="62"/>
      <c r="AQ1319" s="62"/>
      <c r="AR1319" s="62"/>
      <c r="AS1319" s="62"/>
      <c r="AT1319" s="62"/>
      <c r="AU1319" s="62"/>
      <c r="AV1319" s="62"/>
      <c r="AW1319" s="62"/>
      <c r="AX1319" s="62"/>
      <c r="AY1319" s="62"/>
      <c r="AZ1319" s="62"/>
    </row>
    <row r="1320" spans="1:52" x14ac:dyDescent="0.25">
      <c r="A1320" s="62"/>
      <c r="B1320" s="68"/>
      <c r="C1320" s="76"/>
      <c r="D1320" s="60"/>
      <c r="E1320" s="60"/>
      <c r="F1320" s="60"/>
      <c r="G1320" s="60"/>
      <c r="H1320" s="62"/>
      <c r="I1320" s="62"/>
      <c r="J1320" s="62"/>
      <c r="K1320" s="61"/>
      <c r="L1320" s="62"/>
      <c r="M1320" s="62"/>
      <c r="N1320" s="68"/>
      <c r="O1320" s="76"/>
      <c r="P1320" s="71"/>
      <c r="Q1320" s="76"/>
      <c r="R1320" s="80"/>
      <c r="S1320" s="60"/>
      <c r="T1320" s="62"/>
      <c r="U1320" s="62"/>
      <c r="V1320" s="62"/>
      <c r="W1320" s="61"/>
      <c r="X1320" s="62"/>
      <c r="Y1320" s="62"/>
      <c r="Z1320" s="68"/>
      <c r="AA1320" s="76"/>
      <c r="AB1320" s="71"/>
      <c r="AC1320" s="76"/>
      <c r="AD1320" s="80"/>
      <c r="AE1320" s="60"/>
      <c r="AF1320" s="62"/>
      <c r="AG1320" s="62"/>
      <c r="AH1320" s="62"/>
      <c r="AI1320" s="61"/>
      <c r="AJ1320" s="62"/>
      <c r="AK1320" s="62"/>
      <c r="AL1320" s="62"/>
      <c r="AM1320" s="62"/>
      <c r="AN1320" s="62"/>
      <c r="AO1320" s="62"/>
      <c r="AP1320" s="62"/>
      <c r="AQ1320" s="62"/>
      <c r="AR1320" s="62"/>
      <c r="AS1320" s="62"/>
      <c r="AT1320" s="62"/>
      <c r="AU1320" s="62"/>
      <c r="AV1320" s="62"/>
      <c r="AW1320" s="62"/>
      <c r="AX1320" s="62"/>
      <c r="AY1320" s="62"/>
      <c r="AZ1320" s="62"/>
    </row>
    <row r="1321" spans="1:52" x14ac:dyDescent="0.25">
      <c r="A1321" s="62"/>
      <c r="B1321" s="68"/>
      <c r="C1321" s="76"/>
      <c r="D1321" s="60"/>
      <c r="E1321" s="60"/>
      <c r="F1321" s="60"/>
      <c r="G1321" s="60"/>
      <c r="H1321" s="62"/>
      <c r="I1321" s="62"/>
      <c r="J1321" s="62"/>
      <c r="K1321" s="61"/>
      <c r="L1321" s="62"/>
      <c r="M1321" s="62"/>
      <c r="N1321" s="68"/>
      <c r="O1321" s="62"/>
      <c r="P1321" s="71"/>
      <c r="Q1321" s="76"/>
      <c r="R1321" s="80"/>
      <c r="S1321" s="60"/>
      <c r="T1321" s="62"/>
      <c r="U1321" s="62"/>
      <c r="V1321" s="62"/>
      <c r="W1321" s="61"/>
      <c r="X1321" s="62"/>
      <c r="Y1321" s="62"/>
      <c r="Z1321" s="68"/>
      <c r="AA1321" s="76"/>
      <c r="AB1321" s="71"/>
      <c r="AC1321" s="76"/>
      <c r="AD1321" s="80"/>
      <c r="AE1321" s="60"/>
      <c r="AF1321" s="62"/>
      <c r="AG1321" s="62"/>
      <c r="AH1321" s="62"/>
      <c r="AI1321" s="61"/>
      <c r="AJ1321" s="62"/>
      <c r="AK1321" s="62"/>
      <c r="AL1321" s="62"/>
      <c r="AM1321" s="62"/>
      <c r="AN1321" s="62"/>
      <c r="AO1321" s="62"/>
      <c r="AP1321" s="62"/>
      <c r="AQ1321" s="62"/>
      <c r="AR1321" s="62"/>
      <c r="AS1321" s="62"/>
      <c r="AT1321" s="62"/>
      <c r="AU1321" s="62"/>
      <c r="AV1321" s="62"/>
      <c r="AW1321" s="62"/>
      <c r="AX1321" s="62"/>
      <c r="AY1321" s="62"/>
      <c r="AZ1321" s="62"/>
    </row>
    <row r="1322" spans="1:52" x14ac:dyDescent="0.25">
      <c r="A1322" s="62"/>
      <c r="B1322" s="68"/>
      <c r="C1322" s="76"/>
      <c r="D1322" s="60"/>
      <c r="E1322" s="60"/>
      <c r="F1322" s="60"/>
      <c r="G1322" s="60"/>
      <c r="H1322" s="62"/>
      <c r="I1322" s="62"/>
      <c r="J1322" s="62"/>
      <c r="K1322" s="61"/>
      <c r="L1322" s="62"/>
      <c r="M1322" s="62"/>
      <c r="N1322" s="68"/>
      <c r="O1322" s="76"/>
      <c r="P1322" s="71"/>
      <c r="Q1322" s="76"/>
      <c r="R1322" s="80"/>
      <c r="S1322" s="60"/>
      <c r="T1322" s="62"/>
      <c r="U1322" s="62"/>
      <c r="V1322" s="62"/>
      <c r="W1322" s="61"/>
      <c r="X1322" s="62"/>
      <c r="Y1322" s="62"/>
      <c r="Z1322" s="68"/>
      <c r="AA1322" s="76"/>
      <c r="AB1322" s="71"/>
      <c r="AC1322" s="76"/>
      <c r="AD1322" s="80"/>
      <c r="AE1322" s="60"/>
      <c r="AF1322" s="62"/>
      <c r="AG1322" s="62"/>
      <c r="AH1322" s="62"/>
      <c r="AI1322" s="61"/>
      <c r="AJ1322" s="62"/>
    </row>
    <row r="1323" spans="1:52" x14ac:dyDescent="0.25">
      <c r="A1323" s="62"/>
      <c r="B1323" s="68"/>
      <c r="C1323" s="76"/>
      <c r="D1323" s="60"/>
      <c r="E1323" s="60"/>
      <c r="F1323" s="60"/>
      <c r="G1323" s="60"/>
      <c r="H1323" s="62"/>
      <c r="I1323" s="62"/>
      <c r="J1323" s="62"/>
      <c r="K1323" s="61"/>
      <c r="L1323" s="62"/>
      <c r="M1323" s="62"/>
      <c r="N1323" s="68"/>
      <c r="O1323" s="76"/>
      <c r="P1323" s="71"/>
      <c r="Q1323" s="76"/>
      <c r="R1323" s="80"/>
      <c r="S1323" s="60"/>
      <c r="T1323" s="62"/>
      <c r="U1323" s="62"/>
      <c r="V1323" s="62"/>
      <c r="W1323" s="61"/>
      <c r="X1323" s="62"/>
      <c r="Y1323" s="62"/>
      <c r="Z1323" s="68"/>
      <c r="AA1323" s="76"/>
      <c r="AB1323" s="71"/>
      <c r="AC1323" s="76"/>
      <c r="AD1323" s="80"/>
      <c r="AE1323" s="60"/>
      <c r="AF1323" s="62"/>
      <c r="AG1323" s="62"/>
      <c r="AH1323" s="62"/>
      <c r="AI1323" s="61"/>
      <c r="AJ1323" s="62"/>
    </row>
    <row r="1324" spans="1:52" x14ac:dyDescent="0.25">
      <c r="A1324" s="62"/>
      <c r="B1324" s="68"/>
      <c r="C1324" s="76"/>
      <c r="D1324" s="60"/>
      <c r="E1324" s="60"/>
      <c r="F1324" s="60"/>
      <c r="G1324" s="60"/>
      <c r="H1324" s="62"/>
      <c r="I1324" s="62"/>
      <c r="J1324" s="62"/>
      <c r="K1324" s="61"/>
      <c r="L1324" s="62"/>
      <c r="M1324" s="62"/>
      <c r="N1324" s="68"/>
      <c r="O1324" s="62"/>
      <c r="P1324" s="71"/>
      <c r="Q1324" s="76"/>
      <c r="R1324" s="80"/>
      <c r="S1324" s="60"/>
      <c r="T1324" s="62"/>
      <c r="U1324" s="62"/>
      <c r="V1324" s="62"/>
      <c r="W1324" s="61"/>
      <c r="X1324" s="62"/>
      <c r="Y1324" s="62"/>
      <c r="Z1324" s="68"/>
      <c r="AA1324" s="62"/>
      <c r="AB1324" s="71"/>
      <c r="AC1324" s="76"/>
      <c r="AD1324" s="80"/>
      <c r="AE1324" s="60"/>
      <c r="AF1324" s="62"/>
      <c r="AG1324" s="62"/>
      <c r="AH1324" s="62"/>
      <c r="AI1324" s="61"/>
      <c r="AJ1324" s="62"/>
    </row>
    <row r="1325" spans="1:52" x14ac:dyDescent="0.25">
      <c r="A1325" s="62"/>
      <c r="B1325" s="68"/>
      <c r="C1325" s="76"/>
      <c r="D1325" s="60"/>
      <c r="E1325" s="60"/>
      <c r="F1325" s="60"/>
      <c r="G1325" s="60"/>
      <c r="H1325" s="62"/>
      <c r="I1325" s="62"/>
      <c r="J1325" s="62"/>
      <c r="K1325" s="61"/>
      <c r="L1325" s="62"/>
      <c r="M1325" s="62"/>
      <c r="N1325" s="68"/>
      <c r="O1325" s="76"/>
      <c r="P1325" s="71"/>
      <c r="Q1325" s="76"/>
      <c r="R1325" s="80"/>
      <c r="S1325" s="60"/>
      <c r="T1325" s="62"/>
      <c r="U1325" s="62"/>
      <c r="V1325" s="62"/>
      <c r="W1325" s="61"/>
      <c r="X1325" s="62"/>
      <c r="Y1325" s="62"/>
      <c r="Z1325" s="68"/>
      <c r="AA1325" s="76"/>
      <c r="AB1325" s="71"/>
      <c r="AC1325" s="76"/>
      <c r="AD1325" s="80"/>
      <c r="AE1325" s="60"/>
      <c r="AF1325" s="62"/>
      <c r="AG1325" s="62"/>
      <c r="AH1325" s="62"/>
      <c r="AI1325" s="61"/>
      <c r="AJ1325" s="62"/>
    </row>
    <row r="1326" spans="1:52" x14ac:dyDescent="0.25">
      <c r="A1326" s="62"/>
      <c r="B1326" s="68"/>
      <c r="C1326" s="68"/>
      <c r="D1326" s="60"/>
      <c r="E1326" s="60"/>
      <c r="F1326" s="60"/>
      <c r="G1326" s="60"/>
      <c r="H1326" s="62"/>
      <c r="I1326" s="62"/>
      <c r="J1326" s="62"/>
      <c r="K1326" s="61"/>
      <c r="L1326" s="62"/>
      <c r="M1326" s="62"/>
      <c r="N1326" s="76"/>
      <c r="O1326" s="76"/>
      <c r="P1326" s="76"/>
      <c r="Q1326" s="76"/>
      <c r="R1326" s="80"/>
      <c r="S1326" s="76"/>
      <c r="T1326" s="62"/>
      <c r="U1326" s="62"/>
      <c r="V1326" s="62"/>
      <c r="W1326" s="61"/>
      <c r="X1326" s="62"/>
      <c r="Y1326" s="62"/>
      <c r="Z1326" s="76"/>
      <c r="AA1326" s="76"/>
      <c r="AB1326" s="76"/>
      <c r="AC1326" s="76"/>
      <c r="AD1326" s="80"/>
      <c r="AE1326" s="76"/>
      <c r="AF1326" s="62"/>
      <c r="AG1326" s="62"/>
      <c r="AH1326" s="62"/>
      <c r="AI1326" s="61"/>
      <c r="AJ1326" s="62"/>
    </row>
    <row r="1327" spans="1:52" x14ac:dyDescent="0.25">
      <c r="A1327" s="62"/>
      <c r="B1327" s="76"/>
      <c r="C1327" s="76"/>
      <c r="D1327" s="76"/>
      <c r="E1327" s="76"/>
      <c r="F1327" s="80"/>
      <c r="G1327" s="76"/>
      <c r="H1327" s="62"/>
      <c r="I1327" s="62"/>
      <c r="J1327" s="62"/>
      <c r="K1327" s="62"/>
      <c r="L1327" s="62"/>
      <c r="M1327" s="62"/>
      <c r="N1327" s="76"/>
      <c r="O1327" s="76"/>
      <c r="P1327" s="76"/>
      <c r="Q1327" s="76"/>
      <c r="R1327" s="80"/>
      <c r="S1327" s="76"/>
      <c r="T1327" s="62"/>
      <c r="U1327" s="62"/>
      <c r="V1327" s="62"/>
      <c r="W1327" s="62"/>
      <c r="X1327" s="62"/>
      <c r="Y1327" s="62"/>
      <c r="Z1327" s="76"/>
      <c r="AA1327" s="76"/>
      <c r="AB1327" s="76"/>
      <c r="AC1327" s="76"/>
      <c r="AD1327" s="80"/>
      <c r="AE1327" s="76"/>
      <c r="AF1327" s="62"/>
      <c r="AG1327" s="62"/>
      <c r="AH1327" s="62"/>
      <c r="AI1327" s="62"/>
      <c r="AJ1327" s="62"/>
    </row>
    <row r="1328" spans="1:52" x14ac:dyDescent="0.25">
      <c r="A1328" s="62"/>
      <c r="B1328" s="76"/>
      <c r="C1328" s="76"/>
      <c r="D1328" s="72"/>
      <c r="E1328" s="72"/>
      <c r="F1328" s="72"/>
      <c r="G1328" s="72"/>
      <c r="H1328" s="64"/>
      <c r="I1328" s="72"/>
      <c r="J1328" s="72"/>
      <c r="K1328" s="72"/>
      <c r="L1328" s="62"/>
      <c r="M1328" s="62"/>
      <c r="N1328" s="76"/>
      <c r="O1328" s="76"/>
      <c r="P1328" s="72"/>
      <c r="Q1328" s="72"/>
      <c r="R1328" s="72"/>
      <c r="S1328" s="72"/>
      <c r="T1328" s="64"/>
      <c r="U1328" s="73"/>
      <c r="V1328" s="73"/>
      <c r="W1328" s="73"/>
      <c r="X1328" s="62"/>
      <c r="Y1328" s="62"/>
      <c r="Z1328" s="76"/>
      <c r="AA1328" s="76"/>
      <c r="AB1328" s="72"/>
      <c r="AC1328" s="72"/>
      <c r="AD1328" s="72"/>
      <c r="AE1328" s="78"/>
      <c r="AF1328" s="64"/>
      <c r="AG1328" s="73"/>
      <c r="AH1328" s="73"/>
      <c r="AI1328" s="73"/>
      <c r="AJ1328" s="62"/>
    </row>
    <row r="1329" spans="1:36" x14ac:dyDescent="0.25">
      <c r="A1329" s="62"/>
      <c r="B1329" s="62"/>
      <c r="C1329" s="62"/>
      <c r="D1329" s="62"/>
      <c r="E1329" s="62"/>
      <c r="F1329" s="62"/>
      <c r="G1329" s="62"/>
      <c r="H1329" s="62"/>
      <c r="I1329" s="62"/>
      <c r="J1329" s="62"/>
      <c r="K1329" s="62"/>
      <c r="L1329" s="62"/>
      <c r="M1329" s="62"/>
      <c r="N1329" s="62"/>
      <c r="O1329" s="62"/>
      <c r="P1329" s="62"/>
      <c r="Q1329" s="62"/>
      <c r="R1329" s="62"/>
      <c r="S1329" s="62"/>
      <c r="T1329" s="62"/>
      <c r="U1329" s="62"/>
      <c r="V1329" s="62"/>
      <c r="W1329" s="62"/>
      <c r="X1329" s="62"/>
      <c r="Y1329" s="62"/>
      <c r="Z1329" s="62"/>
      <c r="AA1329" s="62"/>
      <c r="AB1329" s="62"/>
      <c r="AC1329" s="62"/>
      <c r="AD1329" s="62"/>
      <c r="AE1329" s="62"/>
      <c r="AF1329" s="62"/>
      <c r="AG1329" s="62"/>
      <c r="AH1329" s="62"/>
      <c r="AI1329" s="62"/>
      <c r="AJ1329" s="62"/>
    </row>
  </sheetData>
  <mergeCells count="213">
    <mergeCell ref="W1095:W1096"/>
    <mergeCell ref="U1095:V1095"/>
    <mergeCell ref="P1095:Q1095"/>
    <mergeCell ref="AI1095:AI1096"/>
    <mergeCell ref="AG1095:AH1095"/>
    <mergeCell ref="AB1095:AC1095"/>
    <mergeCell ref="K1095:K1096"/>
    <mergeCell ref="I1095:J1095"/>
    <mergeCell ref="D1095:E1095"/>
    <mergeCell ref="AI906:AI907"/>
    <mergeCell ref="AG906:AH906"/>
    <mergeCell ref="AB906:AC906"/>
    <mergeCell ref="D969:E969"/>
    <mergeCell ref="AI969:AI970"/>
    <mergeCell ref="K906:K907"/>
    <mergeCell ref="I906:J906"/>
    <mergeCell ref="D1032:E1032"/>
    <mergeCell ref="W1032:W1033"/>
    <mergeCell ref="U1032:V1032"/>
    <mergeCell ref="P1032:Q1032"/>
    <mergeCell ref="AI1032:AI1033"/>
    <mergeCell ref="AG1032:AH1032"/>
    <mergeCell ref="AB1032:AC1032"/>
    <mergeCell ref="K1032:K1033"/>
    <mergeCell ref="I1032:J1032"/>
    <mergeCell ref="K969:K970"/>
    <mergeCell ref="I969:J969"/>
    <mergeCell ref="W969:W970"/>
    <mergeCell ref="U969:V969"/>
    <mergeCell ref="P969:Q969"/>
    <mergeCell ref="D725:E725"/>
    <mergeCell ref="K843:K844"/>
    <mergeCell ref="AG969:AH969"/>
    <mergeCell ref="AB969:AC969"/>
    <mergeCell ref="D906:E906"/>
    <mergeCell ref="W906:W907"/>
    <mergeCell ref="U906:V906"/>
    <mergeCell ref="P906:Q906"/>
    <mergeCell ref="AG560:AH560"/>
    <mergeCell ref="AB560:AC560"/>
    <mergeCell ref="K615:K616"/>
    <mergeCell ref="K560:K561"/>
    <mergeCell ref="K780:K781"/>
    <mergeCell ref="P615:Q615"/>
    <mergeCell ref="I670:J670"/>
    <mergeCell ref="AB843:AC843"/>
    <mergeCell ref="AG843:AH843"/>
    <mergeCell ref="K725:K726"/>
    <mergeCell ref="I725:J725"/>
    <mergeCell ref="U843:V843"/>
    <mergeCell ref="P843:Q843"/>
    <mergeCell ref="AI615:AI616"/>
    <mergeCell ref="AG615:AH615"/>
    <mergeCell ref="AB615:AC615"/>
    <mergeCell ref="AG780:AH780"/>
    <mergeCell ref="AI670:AI671"/>
    <mergeCell ref="AG670:AH670"/>
    <mergeCell ref="AB670:AC670"/>
    <mergeCell ref="K670:K671"/>
    <mergeCell ref="AB780:AC780"/>
    <mergeCell ref="AI780:AI781"/>
    <mergeCell ref="W725:W726"/>
    <mergeCell ref="U725:V725"/>
    <mergeCell ref="P725:Q725"/>
    <mergeCell ref="AB725:AC725"/>
    <mergeCell ref="AG725:AH725"/>
    <mergeCell ref="AI725:AI726"/>
    <mergeCell ref="P670:Q670"/>
    <mergeCell ref="D450:E450"/>
    <mergeCell ref="I843:J843"/>
    <mergeCell ref="D843:E843"/>
    <mergeCell ref="W843:W844"/>
    <mergeCell ref="AI843:AI844"/>
    <mergeCell ref="AI450:AI451"/>
    <mergeCell ref="AG450:AH450"/>
    <mergeCell ref="AB450:AC450"/>
    <mergeCell ref="K450:K451"/>
    <mergeCell ref="K505:K506"/>
    <mergeCell ref="I505:J505"/>
    <mergeCell ref="AI505:AI506"/>
    <mergeCell ref="D780:E780"/>
    <mergeCell ref="W780:W781"/>
    <mergeCell ref="U780:V780"/>
    <mergeCell ref="P780:Q780"/>
    <mergeCell ref="I615:J615"/>
    <mergeCell ref="D615:E615"/>
    <mergeCell ref="W615:W616"/>
    <mergeCell ref="U615:V615"/>
    <mergeCell ref="AI560:AI561"/>
    <mergeCell ref="D670:E670"/>
    <mergeCell ref="W670:W671"/>
    <mergeCell ref="U670:V670"/>
    <mergeCell ref="K340:K341"/>
    <mergeCell ref="I780:J780"/>
    <mergeCell ref="W340:W341"/>
    <mergeCell ref="U340:V340"/>
    <mergeCell ref="AG340:AH340"/>
    <mergeCell ref="AB340:AC340"/>
    <mergeCell ref="AB395:AC395"/>
    <mergeCell ref="D560:E560"/>
    <mergeCell ref="W560:W561"/>
    <mergeCell ref="U560:V560"/>
    <mergeCell ref="P560:Q560"/>
    <mergeCell ref="AG505:AH505"/>
    <mergeCell ref="AB505:AC505"/>
    <mergeCell ref="U505:V505"/>
    <mergeCell ref="W450:W451"/>
    <mergeCell ref="W505:W506"/>
    <mergeCell ref="P340:Q340"/>
    <mergeCell ref="W395:W396"/>
    <mergeCell ref="U395:V395"/>
    <mergeCell ref="P395:Q395"/>
    <mergeCell ref="P505:Q505"/>
    <mergeCell ref="U450:V450"/>
    <mergeCell ref="P450:Q450"/>
    <mergeCell ref="I560:J560"/>
    <mergeCell ref="D340:E340"/>
    <mergeCell ref="D505:E505"/>
    <mergeCell ref="AT67:AT68"/>
    <mergeCell ref="AR67:AS67"/>
    <mergeCell ref="AN67:AO67"/>
    <mergeCell ref="K395:K396"/>
    <mergeCell ref="I395:J395"/>
    <mergeCell ref="AT181:AT182"/>
    <mergeCell ref="AN181:AO181"/>
    <mergeCell ref="AR181:AS181"/>
    <mergeCell ref="U230:V230"/>
    <mergeCell ref="P230:Q230"/>
    <mergeCell ref="AI230:AI231"/>
    <mergeCell ref="AG230:AH230"/>
    <mergeCell ref="AB230:AC230"/>
    <mergeCell ref="K285:K286"/>
    <mergeCell ref="W285:W286"/>
    <mergeCell ref="U285:V285"/>
    <mergeCell ref="AI285:AI286"/>
    <mergeCell ref="AG285:AH285"/>
    <mergeCell ref="AB285:AC285"/>
    <mergeCell ref="AI395:AI396"/>
    <mergeCell ref="AG395:AH395"/>
    <mergeCell ref="AI340:AI341"/>
    <mergeCell ref="D230:E230"/>
    <mergeCell ref="AB10:AC10"/>
    <mergeCell ref="AG10:AH10"/>
    <mergeCell ref="W230:W231"/>
    <mergeCell ref="K120:K121"/>
    <mergeCell ref="I120:J120"/>
    <mergeCell ref="D120:E120"/>
    <mergeCell ref="P120:Q120"/>
    <mergeCell ref="D285:E285"/>
    <mergeCell ref="P285:Q285"/>
    <mergeCell ref="W175:W176"/>
    <mergeCell ref="U175:V175"/>
    <mergeCell ref="I450:J450"/>
    <mergeCell ref="I285:J285"/>
    <mergeCell ref="D395:E395"/>
    <mergeCell ref="I10:J10"/>
    <mergeCell ref="D10:E10"/>
    <mergeCell ref="W65:W66"/>
    <mergeCell ref="U65:V65"/>
    <mergeCell ref="I65:J65"/>
    <mergeCell ref="K175:K176"/>
    <mergeCell ref="I175:J175"/>
    <mergeCell ref="D175:E175"/>
    <mergeCell ref="D65:E65"/>
    <mergeCell ref="P65:Q65"/>
    <mergeCell ref="P175:Q175"/>
    <mergeCell ref="K230:K231"/>
    <mergeCell ref="I230:J230"/>
    <mergeCell ref="P10:Q10"/>
    <mergeCell ref="K10:K11"/>
    <mergeCell ref="K65:K66"/>
    <mergeCell ref="W120:W121"/>
    <mergeCell ref="U120:V120"/>
    <mergeCell ref="W10:W11"/>
    <mergeCell ref="U10:V10"/>
    <mergeCell ref="I340:J340"/>
    <mergeCell ref="AI10:AI11"/>
    <mergeCell ref="AI65:AI66"/>
    <mergeCell ref="AG65:AH65"/>
    <mergeCell ref="AB65:AC65"/>
    <mergeCell ref="AI175:AI176"/>
    <mergeCell ref="AG175:AH175"/>
    <mergeCell ref="AB175:AC175"/>
    <mergeCell ref="AI120:AI121"/>
    <mergeCell ref="AG120:AH120"/>
    <mergeCell ref="AB120:AC120"/>
    <mergeCell ref="K1283:K1284"/>
    <mergeCell ref="I1283:J1283"/>
    <mergeCell ref="D1283:E1283"/>
    <mergeCell ref="W1283:W1284"/>
    <mergeCell ref="U1283:V1283"/>
    <mergeCell ref="P1283:Q1283"/>
    <mergeCell ref="AI1283:AI1284"/>
    <mergeCell ref="AG1283:AH1283"/>
    <mergeCell ref="AB1283:AC1283"/>
    <mergeCell ref="W1221:W1222"/>
    <mergeCell ref="U1221:V1221"/>
    <mergeCell ref="P1221:Q1221"/>
    <mergeCell ref="AI1221:AI1222"/>
    <mergeCell ref="AG1221:AH1221"/>
    <mergeCell ref="AB1221:AC1221"/>
    <mergeCell ref="D1158:E1158"/>
    <mergeCell ref="AI1158:AI1159"/>
    <mergeCell ref="AG1158:AH1158"/>
    <mergeCell ref="AB1158:AC1158"/>
    <mergeCell ref="K1221:K1222"/>
    <mergeCell ref="I1221:J1221"/>
    <mergeCell ref="D1221:E1221"/>
    <mergeCell ref="W1158:W1159"/>
    <mergeCell ref="U1158:V1158"/>
    <mergeCell ref="P1158:Q1158"/>
    <mergeCell ref="K1158:K1159"/>
    <mergeCell ref="I1158:J1158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MSIS AUGUST</vt:lpstr>
      <vt:lpstr>DSIS | AUGUST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2024-09-23T07:17:57Z</dcterms:created>
  <dcterms:modified xsi:type="dcterms:W3CDTF">2025-08-20T00:24:03Z</dcterms:modified>
</cp:coreProperties>
</file>