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FD72EE60-48C1-4CAA-8EC6-7BC0F8FB20EF}" xr6:coauthVersionLast="45" xr6:coauthVersionMax="45" xr10:uidLastSave="{00000000-0000-0000-0000-000000000000}"/>
  <bookViews>
    <workbookView xWindow="-120" yWindow="-120" windowWidth="29040" windowHeight="15840" tabRatio="586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59" i="2" l="1"/>
  <c r="AH1100" i="2" s="1"/>
  <c r="AB1059" i="2"/>
  <c r="AE1059" i="2" s="1"/>
  <c r="AG1058" i="2"/>
  <c r="AB1058" i="2"/>
  <c r="AB1100" i="2"/>
  <c r="AG1057" i="2"/>
  <c r="AB1057" i="2"/>
  <c r="AD1100" i="2"/>
  <c r="AC1100" i="2"/>
  <c r="AI1098" i="2"/>
  <c r="AE1097" i="2"/>
  <c r="AI1097" i="2" s="1"/>
  <c r="AI1096" i="2"/>
  <c r="AI1095" i="2"/>
  <c r="AE1095" i="2"/>
  <c r="AI1094" i="2"/>
  <c r="AE1094" i="2"/>
  <c r="AI1093" i="2"/>
  <c r="AE1093" i="2"/>
  <c r="AE1092" i="2"/>
  <c r="AI1092" i="2" s="1"/>
  <c r="AE1091" i="2"/>
  <c r="AI1091" i="2" s="1"/>
  <c r="AE1090" i="2"/>
  <c r="AI1090" i="2" s="1"/>
  <c r="AE1089" i="2"/>
  <c r="AI1089" i="2" s="1"/>
  <c r="AI1088" i="2"/>
  <c r="AE1088" i="2"/>
  <c r="AI1087" i="2"/>
  <c r="AE1087" i="2"/>
  <c r="AI1086" i="2"/>
  <c r="AE1086" i="2"/>
  <c r="AI1085" i="2"/>
  <c r="AE1085" i="2"/>
  <c r="AE1084" i="2"/>
  <c r="AI1084" i="2" s="1"/>
  <c r="AE1083" i="2"/>
  <c r="AI1083" i="2" s="1"/>
  <c r="AI1082" i="2"/>
  <c r="AE1082" i="2"/>
  <c r="AI1081" i="2"/>
  <c r="AE1081" i="2"/>
  <c r="AI1080" i="2"/>
  <c r="AE1080" i="2"/>
  <c r="AI1079" i="2"/>
  <c r="AE1079" i="2"/>
  <c r="AI1078" i="2"/>
  <c r="AE1078" i="2"/>
  <c r="AI1077" i="2"/>
  <c r="AE1077" i="2"/>
  <c r="AE1076" i="2"/>
  <c r="AI1076" i="2" s="1"/>
  <c r="AE1075" i="2"/>
  <c r="AI1075" i="2" s="1"/>
  <c r="AI1074" i="2"/>
  <c r="AE1074" i="2"/>
  <c r="AI1073" i="2"/>
  <c r="AE1073" i="2"/>
  <c r="AI1072" i="2"/>
  <c r="AE1072" i="2"/>
  <c r="AI1071" i="2"/>
  <c r="AE1071" i="2"/>
  <c r="AI1070" i="2"/>
  <c r="AE1070" i="2"/>
  <c r="AI1069" i="2"/>
  <c r="AE1069" i="2"/>
  <c r="AE1068" i="2"/>
  <c r="AI1068" i="2" s="1"/>
  <c r="AI1067" i="2"/>
  <c r="AE1067" i="2"/>
  <c r="AE1066" i="2"/>
  <c r="AI1066" i="2" s="1"/>
  <c r="AI1065" i="2"/>
  <c r="AE1065" i="2"/>
  <c r="AE1064" i="2"/>
  <c r="AI1064" i="2" s="1"/>
  <c r="AE1063" i="2"/>
  <c r="AI1063" i="2" s="1"/>
  <c r="AE1062" i="2"/>
  <c r="AI1062" i="2" s="1"/>
  <c r="AE1061" i="2"/>
  <c r="AI1061" i="2" s="1"/>
  <c r="AE1060" i="2"/>
  <c r="AI1060" i="2" s="1"/>
  <c r="AE1058" i="2"/>
  <c r="AA1058" i="2"/>
  <c r="AA1059" i="2" s="1"/>
  <c r="AG1100" i="2"/>
  <c r="V1058" i="2"/>
  <c r="U1058" i="2"/>
  <c r="P1058" i="2"/>
  <c r="S1058" i="2" s="1"/>
  <c r="W1058" i="2" s="1"/>
  <c r="V1057" i="2"/>
  <c r="U1057" i="2"/>
  <c r="V1100" i="2"/>
  <c r="U1100" i="2"/>
  <c r="P1057" i="2"/>
  <c r="P1100" i="2" s="1"/>
  <c r="R1100" i="2"/>
  <c r="Q1100" i="2"/>
  <c r="W1098" i="2"/>
  <c r="S1097" i="2"/>
  <c r="W1097" i="2" s="1"/>
  <c r="W1096" i="2"/>
  <c r="W1095" i="2"/>
  <c r="S1095" i="2"/>
  <c r="W1094" i="2"/>
  <c r="S1094" i="2"/>
  <c r="W1093" i="2"/>
  <c r="S1093" i="2"/>
  <c r="W1092" i="2"/>
  <c r="S1092" i="2"/>
  <c r="S1091" i="2"/>
  <c r="W1091" i="2" s="1"/>
  <c r="W1090" i="2"/>
  <c r="S1090" i="2"/>
  <c r="S1089" i="2"/>
  <c r="W1089" i="2" s="1"/>
  <c r="S1088" i="2"/>
  <c r="W1088" i="2" s="1"/>
  <c r="W1087" i="2"/>
  <c r="S1087" i="2"/>
  <c r="W1086" i="2"/>
  <c r="S1086" i="2"/>
  <c r="W1085" i="2"/>
  <c r="S1085" i="2"/>
  <c r="W1084" i="2"/>
  <c r="S1084" i="2"/>
  <c r="S1083" i="2"/>
  <c r="W1083" i="2" s="1"/>
  <c r="W1082" i="2"/>
  <c r="S1082" i="2"/>
  <c r="S1081" i="2"/>
  <c r="W1081" i="2" s="1"/>
  <c r="S1080" i="2"/>
  <c r="W1080" i="2" s="1"/>
  <c r="W1079" i="2"/>
  <c r="S1079" i="2"/>
  <c r="W1078" i="2"/>
  <c r="S1078" i="2"/>
  <c r="W1077" i="2"/>
  <c r="S1077" i="2"/>
  <c r="W1076" i="2"/>
  <c r="S1076" i="2"/>
  <c r="S1075" i="2"/>
  <c r="W1075" i="2" s="1"/>
  <c r="W1074" i="2"/>
  <c r="S1074" i="2"/>
  <c r="S1073" i="2"/>
  <c r="W1073" i="2" s="1"/>
  <c r="S1072" i="2"/>
  <c r="W1072" i="2" s="1"/>
  <c r="S1071" i="2"/>
  <c r="W1071" i="2" s="1"/>
  <c r="S1070" i="2"/>
  <c r="W1070" i="2" s="1"/>
  <c r="S1069" i="2"/>
  <c r="W1069" i="2" s="1"/>
  <c r="S1068" i="2"/>
  <c r="W1068" i="2" s="1"/>
  <c r="S1067" i="2"/>
  <c r="W1067" i="2" s="1"/>
  <c r="S1066" i="2"/>
  <c r="W1066" i="2" s="1"/>
  <c r="S1065" i="2"/>
  <c r="W1065" i="2" s="1"/>
  <c r="S1064" i="2"/>
  <c r="W1064" i="2" s="1"/>
  <c r="S1063" i="2"/>
  <c r="W1063" i="2" s="1"/>
  <c r="S1062" i="2"/>
  <c r="W1062" i="2" s="1"/>
  <c r="S1061" i="2"/>
  <c r="W1061" i="2" s="1"/>
  <c r="S1060" i="2"/>
  <c r="W1060" i="2" s="1"/>
  <c r="S1059" i="2"/>
  <c r="W1059" i="2" s="1"/>
  <c r="O1058" i="2"/>
  <c r="D1064" i="2"/>
  <c r="D1063" i="2"/>
  <c r="D1100" i="2" s="1"/>
  <c r="D1062" i="2"/>
  <c r="G1062" i="2" s="1"/>
  <c r="K1062" i="2" s="1"/>
  <c r="D1061" i="2"/>
  <c r="G1061" i="2" s="1"/>
  <c r="K1061" i="2" s="1"/>
  <c r="D1060" i="2"/>
  <c r="D1059" i="2"/>
  <c r="D1058" i="2"/>
  <c r="J1057" i="2"/>
  <c r="D1057" i="2"/>
  <c r="G1057" i="2" s="1"/>
  <c r="K1057" i="2" s="1"/>
  <c r="J1100" i="2"/>
  <c r="C1058" i="2"/>
  <c r="C1059" i="2" s="1"/>
  <c r="C1060" i="2" s="1"/>
  <c r="C1061" i="2" s="1"/>
  <c r="C1062" i="2" s="1"/>
  <c r="C1063" i="2" s="1"/>
  <c r="C1064" i="2" s="1"/>
  <c r="G1058" i="2"/>
  <c r="K1058" i="2" s="1"/>
  <c r="G1059" i="2"/>
  <c r="K1059" i="2" s="1"/>
  <c r="G1060" i="2"/>
  <c r="K1060" i="2" s="1"/>
  <c r="G1063" i="2"/>
  <c r="K1063" i="2"/>
  <c r="G1064" i="2"/>
  <c r="K1064" i="2" s="1"/>
  <c r="G1065" i="2"/>
  <c r="K1065" i="2" s="1"/>
  <c r="G1066" i="2"/>
  <c r="K1066" i="2" s="1"/>
  <c r="G1067" i="2"/>
  <c r="K1067" i="2"/>
  <c r="G1068" i="2"/>
  <c r="K1068" i="2"/>
  <c r="G1069" i="2"/>
  <c r="K1069" i="2"/>
  <c r="G1070" i="2"/>
  <c r="K1070" i="2" s="1"/>
  <c r="G1071" i="2"/>
  <c r="K1071" i="2" s="1"/>
  <c r="G1072" i="2"/>
  <c r="K1072" i="2" s="1"/>
  <c r="G1073" i="2"/>
  <c r="K1073" i="2" s="1"/>
  <c r="G1074" i="2"/>
  <c r="K1074" i="2" s="1"/>
  <c r="G1075" i="2"/>
  <c r="K1075" i="2"/>
  <c r="G1076" i="2"/>
  <c r="K1076" i="2"/>
  <c r="G1077" i="2"/>
  <c r="K1077" i="2"/>
  <c r="G1078" i="2"/>
  <c r="K1078" i="2" s="1"/>
  <c r="G1079" i="2"/>
  <c r="K1079" i="2"/>
  <c r="G1080" i="2"/>
  <c r="K1080" i="2" s="1"/>
  <c r="G1081" i="2"/>
  <c r="K1081" i="2" s="1"/>
  <c r="G1082" i="2"/>
  <c r="K1082" i="2" s="1"/>
  <c r="G1083" i="2"/>
  <c r="K1083" i="2"/>
  <c r="G1084" i="2"/>
  <c r="K1084" i="2"/>
  <c r="G1085" i="2"/>
  <c r="K1085" i="2"/>
  <c r="G1086" i="2"/>
  <c r="K1086" i="2" s="1"/>
  <c r="G1087" i="2"/>
  <c r="K1087" i="2"/>
  <c r="G1088" i="2"/>
  <c r="K1088" i="2" s="1"/>
  <c r="G1089" i="2"/>
  <c r="K1089" i="2" s="1"/>
  <c r="G1090" i="2"/>
  <c r="K1090" i="2"/>
  <c r="G1097" i="2"/>
  <c r="K1097" i="2"/>
  <c r="E1100" i="2"/>
  <c r="F1100" i="2"/>
  <c r="I1100" i="2"/>
  <c r="AI1058" i="2" l="1"/>
  <c r="AI1059" i="2"/>
  <c r="AE1057" i="2"/>
  <c r="S1057" i="2"/>
  <c r="K1100" i="2"/>
  <c r="G1100" i="2"/>
  <c r="D1003" i="2"/>
  <c r="J1002" i="2"/>
  <c r="J1045" i="2" s="1"/>
  <c r="I1002" i="2"/>
  <c r="D1002" i="2"/>
  <c r="D1045" i="2" s="1"/>
  <c r="G1002" i="2"/>
  <c r="C1003" i="2"/>
  <c r="G1003" i="2"/>
  <c r="K1003" i="2" s="1"/>
  <c r="G1004" i="2"/>
  <c r="K1004" i="2" s="1"/>
  <c r="G1005" i="2"/>
  <c r="K1005" i="2" s="1"/>
  <c r="G1006" i="2"/>
  <c r="K1006" i="2" s="1"/>
  <c r="G1007" i="2"/>
  <c r="K1007" i="2" s="1"/>
  <c r="G1008" i="2"/>
  <c r="K1008" i="2" s="1"/>
  <c r="G1009" i="2"/>
  <c r="K1009" i="2" s="1"/>
  <c r="G1010" i="2"/>
  <c r="K1010" i="2" s="1"/>
  <c r="G1011" i="2"/>
  <c r="K1011" i="2" s="1"/>
  <c r="G1012" i="2"/>
  <c r="K1012" i="2" s="1"/>
  <c r="G1013" i="2"/>
  <c r="K1013" i="2" s="1"/>
  <c r="G1014" i="2"/>
  <c r="K1014" i="2" s="1"/>
  <c r="G1015" i="2"/>
  <c r="K1015" i="2" s="1"/>
  <c r="G1016" i="2"/>
  <c r="K1016" i="2" s="1"/>
  <c r="G1017" i="2"/>
  <c r="K1017" i="2" s="1"/>
  <c r="G1018" i="2"/>
  <c r="K1018" i="2" s="1"/>
  <c r="G1019" i="2"/>
  <c r="K1019" i="2" s="1"/>
  <c r="G1020" i="2"/>
  <c r="K1020" i="2" s="1"/>
  <c r="G1021" i="2"/>
  <c r="K1021" i="2" s="1"/>
  <c r="G1022" i="2"/>
  <c r="K1022" i="2" s="1"/>
  <c r="G1023" i="2"/>
  <c r="K1023" i="2" s="1"/>
  <c r="G1024" i="2"/>
  <c r="K1024" i="2" s="1"/>
  <c r="G1025" i="2"/>
  <c r="K1025" i="2" s="1"/>
  <c r="G1026" i="2"/>
  <c r="K1026" i="2" s="1"/>
  <c r="G1027" i="2"/>
  <c r="K1027" i="2" s="1"/>
  <c r="G1028" i="2"/>
  <c r="K1028" i="2" s="1"/>
  <c r="G1029" i="2"/>
  <c r="K1029" i="2"/>
  <c r="G1030" i="2"/>
  <c r="K1030" i="2" s="1"/>
  <c r="G1031" i="2"/>
  <c r="K1031" i="2" s="1"/>
  <c r="G1032" i="2"/>
  <c r="K1032" i="2" s="1"/>
  <c r="G1033" i="2"/>
  <c r="K1033" i="2" s="1"/>
  <c r="G1034" i="2"/>
  <c r="K1034" i="2" s="1"/>
  <c r="G1035" i="2"/>
  <c r="K1035" i="2"/>
  <c r="G1042" i="2"/>
  <c r="K1042" i="2" s="1"/>
  <c r="E1045" i="2"/>
  <c r="F1045" i="2"/>
  <c r="I1045" i="2"/>
  <c r="AE1100" i="2" l="1"/>
  <c r="AI1057" i="2"/>
  <c r="AI1100" i="2" s="1"/>
  <c r="S1100" i="2"/>
  <c r="W1057" i="2"/>
  <c r="W1100" i="2" s="1"/>
  <c r="K1002" i="2"/>
  <c r="K1045" i="2" s="1"/>
  <c r="G1045" i="2"/>
  <c r="V961" i="2"/>
  <c r="U961" i="2"/>
  <c r="P961" i="2"/>
  <c r="V960" i="2"/>
  <c r="P960" i="2"/>
  <c r="P959" i="2"/>
  <c r="P958" i="2"/>
  <c r="P957" i="2"/>
  <c r="AB949" i="2" l="1"/>
  <c r="AE949" i="2" s="1"/>
  <c r="AG949" i="2"/>
  <c r="AB948" i="2"/>
  <c r="AE948" i="2"/>
  <c r="AI948" i="2" s="1"/>
  <c r="AG947" i="2"/>
  <c r="AB947" i="2"/>
  <c r="AE947" i="2"/>
  <c r="AI947" i="2" s="1"/>
  <c r="AA948" i="2"/>
  <c r="AA949" i="2" s="1"/>
  <c r="AE950" i="2"/>
  <c r="AI950" i="2" s="1"/>
  <c r="AE951" i="2"/>
  <c r="AI951" i="2" s="1"/>
  <c r="AE952" i="2"/>
  <c r="AI952" i="2" s="1"/>
  <c r="AE953" i="2"/>
  <c r="AI953" i="2" s="1"/>
  <c r="AE954" i="2"/>
  <c r="AI954" i="2"/>
  <c r="AE955" i="2"/>
  <c r="AI955" i="2" s="1"/>
  <c r="AE956" i="2"/>
  <c r="AI956" i="2" s="1"/>
  <c r="AE957" i="2"/>
  <c r="AI957" i="2"/>
  <c r="AE958" i="2"/>
  <c r="AI958" i="2"/>
  <c r="AE959" i="2"/>
  <c r="AI959" i="2" s="1"/>
  <c r="AE960" i="2"/>
  <c r="AI960" i="2" s="1"/>
  <c r="AE961" i="2"/>
  <c r="AI961" i="2" s="1"/>
  <c r="AE962" i="2"/>
  <c r="AI962" i="2"/>
  <c r="AE963" i="2"/>
  <c r="AI963" i="2" s="1"/>
  <c r="AE964" i="2"/>
  <c r="AI964" i="2" s="1"/>
  <c r="AE965" i="2"/>
  <c r="AI965" i="2"/>
  <c r="AE966" i="2"/>
  <c r="AI966" i="2"/>
  <c r="AE967" i="2"/>
  <c r="AI967" i="2" s="1"/>
  <c r="AE968" i="2"/>
  <c r="AI968" i="2" s="1"/>
  <c r="AE969" i="2"/>
  <c r="AI969" i="2"/>
  <c r="AE970" i="2"/>
  <c r="AI970" i="2"/>
  <c r="AE971" i="2"/>
  <c r="AI971" i="2" s="1"/>
  <c r="AE972" i="2"/>
  <c r="AI972" i="2" s="1"/>
  <c r="AE973" i="2"/>
  <c r="AI973" i="2"/>
  <c r="AE974" i="2"/>
  <c r="AI974" i="2"/>
  <c r="AE975" i="2"/>
  <c r="AI975" i="2" s="1"/>
  <c r="AE976" i="2"/>
  <c r="AI976" i="2" s="1"/>
  <c r="AE977" i="2"/>
  <c r="AI977" i="2"/>
  <c r="AE978" i="2"/>
  <c r="AI978" i="2"/>
  <c r="AE979" i="2"/>
  <c r="AI979" i="2" s="1"/>
  <c r="AE980" i="2"/>
  <c r="AI980" i="2" s="1"/>
  <c r="AE981" i="2"/>
  <c r="AI981" i="2"/>
  <c r="AE982" i="2"/>
  <c r="AI982" i="2"/>
  <c r="AE983" i="2"/>
  <c r="AI983" i="2" s="1"/>
  <c r="AE984" i="2"/>
  <c r="AI984" i="2" s="1"/>
  <c r="AE985" i="2"/>
  <c r="AI985" i="2"/>
  <c r="AI986" i="2"/>
  <c r="AE987" i="2"/>
  <c r="AI987" i="2" s="1"/>
  <c r="AI988" i="2"/>
  <c r="AC990" i="2"/>
  <c r="AD990" i="2"/>
  <c r="AG990" i="2"/>
  <c r="AH990" i="2"/>
  <c r="P956" i="2"/>
  <c r="P955" i="2"/>
  <c r="P954" i="2"/>
  <c r="P990" i="2" s="1"/>
  <c r="P953" i="2"/>
  <c r="P952" i="2"/>
  <c r="S952" i="2" s="1"/>
  <c r="W952" i="2" s="1"/>
  <c r="P951" i="2"/>
  <c r="P950" i="2"/>
  <c r="P949" i="2"/>
  <c r="P948" i="2"/>
  <c r="P947" i="2"/>
  <c r="S947" i="2"/>
  <c r="W947" i="2" s="1"/>
  <c r="O948" i="2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S948" i="2"/>
  <c r="W948" i="2" s="1"/>
  <c r="S949" i="2"/>
  <c r="W949" i="2" s="1"/>
  <c r="S950" i="2"/>
  <c r="W950" i="2" s="1"/>
  <c r="S951" i="2"/>
  <c r="W951" i="2" s="1"/>
  <c r="S953" i="2"/>
  <c r="W953" i="2"/>
  <c r="S955" i="2"/>
  <c r="W955" i="2" s="1"/>
  <c r="S956" i="2"/>
  <c r="W956" i="2" s="1"/>
  <c r="S957" i="2"/>
  <c r="W957" i="2"/>
  <c r="S958" i="2"/>
  <c r="W958" i="2" s="1"/>
  <c r="S959" i="2"/>
  <c r="W959" i="2" s="1"/>
  <c r="S960" i="2"/>
  <c r="W960" i="2" s="1"/>
  <c r="S961" i="2"/>
  <c r="W961" i="2"/>
  <c r="S962" i="2"/>
  <c r="W962" i="2" s="1"/>
  <c r="S963" i="2"/>
  <c r="W963" i="2"/>
  <c r="S964" i="2"/>
  <c r="W964" i="2" s="1"/>
  <c r="S965" i="2"/>
  <c r="W965" i="2"/>
  <c r="S966" i="2"/>
  <c r="W966" i="2" s="1"/>
  <c r="S967" i="2"/>
  <c r="W967" i="2" s="1"/>
  <c r="S968" i="2"/>
  <c r="W968" i="2"/>
  <c r="S969" i="2"/>
  <c r="W969" i="2" s="1"/>
  <c r="S970" i="2"/>
  <c r="W970" i="2" s="1"/>
  <c r="S971" i="2"/>
  <c r="W971" i="2" s="1"/>
  <c r="S972" i="2"/>
  <c r="W972" i="2" s="1"/>
  <c r="S973" i="2"/>
  <c r="W973" i="2"/>
  <c r="S974" i="2"/>
  <c r="W974" i="2" s="1"/>
  <c r="S975" i="2"/>
  <c r="W975" i="2"/>
  <c r="S976" i="2"/>
  <c r="W976" i="2"/>
  <c r="S977" i="2"/>
  <c r="W977" i="2"/>
  <c r="S978" i="2"/>
  <c r="W978" i="2" s="1"/>
  <c r="S979" i="2"/>
  <c r="W979" i="2"/>
  <c r="S980" i="2"/>
  <c r="W980" i="2" s="1"/>
  <c r="S981" i="2"/>
  <c r="W981" i="2"/>
  <c r="S982" i="2"/>
  <c r="W982" i="2" s="1"/>
  <c r="S983" i="2"/>
  <c r="W983" i="2"/>
  <c r="S984" i="2"/>
  <c r="W984" i="2"/>
  <c r="S985" i="2"/>
  <c r="W985" i="2"/>
  <c r="W986" i="2"/>
  <c r="S987" i="2"/>
  <c r="W987" i="2"/>
  <c r="W988" i="2"/>
  <c r="Q990" i="2"/>
  <c r="R990" i="2"/>
  <c r="U990" i="2"/>
  <c r="V990" i="2"/>
  <c r="D973" i="2"/>
  <c r="D972" i="2"/>
  <c r="D971" i="2"/>
  <c r="D970" i="2"/>
  <c r="D969" i="2"/>
  <c r="D968" i="2"/>
  <c r="G968" i="2" s="1"/>
  <c r="K968" i="2" s="1"/>
  <c r="D967" i="2"/>
  <c r="G967" i="2" s="1"/>
  <c r="K967" i="2" s="1"/>
  <c r="D966" i="2"/>
  <c r="G966" i="2" s="1"/>
  <c r="K966" i="2" s="1"/>
  <c r="D965" i="2"/>
  <c r="G965" i="2" s="1"/>
  <c r="K965" i="2" s="1"/>
  <c r="D964" i="2"/>
  <c r="D963" i="2"/>
  <c r="D962" i="2"/>
  <c r="D961" i="2"/>
  <c r="D960" i="2"/>
  <c r="D959" i="2"/>
  <c r="G959" i="2" s="1"/>
  <c r="K959" i="2" s="1"/>
  <c r="D958" i="2"/>
  <c r="G958" i="2" s="1"/>
  <c r="K958" i="2" s="1"/>
  <c r="D957" i="2"/>
  <c r="G957" i="2" s="1"/>
  <c r="K957" i="2" s="1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G952" i="2" s="1"/>
  <c r="K952" i="2" s="1"/>
  <c r="D951" i="2"/>
  <c r="D950" i="2"/>
  <c r="D949" i="2"/>
  <c r="D948" i="2"/>
  <c r="G948" i="2" s="1"/>
  <c r="K948" i="2" s="1"/>
  <c r="D947" i="2"/>
  <c r="C948" i="2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G950" i="2"/>
  <c r="K950" i="2" s="1"/>
  <c r="I990" i="2"/>
  <c r="G951" i="2"/>
  <c r="K951" i="2" s="1"/>
  <c r="G960" i="2"/>
  <c r="K960" i="2" s="1"/>
  <c r="G961" i="2"/>
  <c r="K961" i="2" s="1"/>
  <c r="G962" i="2"/>
  <c r="K962" i="2" s="1"/>
  <c r="G963" i="2"/>
  <c r="K963" i="2" s="1"/>
  <c r="G964" i="2"/>
  <c r="K964" i="2" s="1"/>
  <c r="G969" i="2"/>
  <c r="K969" i="2" s="1"/>
  <c r="G970" i="2"/>
  <c r="K970" i="2"/>
  <c r="G971" i="2"/>
  <c r="K971" i="2" s="1"/>
  <c r="G972" i="2"/>
  <c r="K972" i="2" s="1"/>
  <c r="G973" i="2"/>
  <c r="K973" i="2" s="1"/>
  <c r="G974" i="2"/>
  <c r="K974" i="2"/>
  <c r="G975" i="2"/>
  <c r="K975" i="2"/>
  <c r="G976" i="2"/>
  <c r="K976" i="2"/>
  <c r="G977" i="2"/>
  <c r="K977" i="2"/>
  <c r="G978" i="2"/>
  <c r="K978" i="2"/>
  <c r="G979" i="2"/>
  <c r="K979" i="2"/>
  <c r="G980" i="2"/>
  <c r="K980" i="2"/>
  <c r="G987" i="2"/>
  <c r="K987" i="2"/>
  <c r="E990" i="2"/>
  <c r="F990" i="2"/>
  <c r="J990" i="2"/>
  <c r="AI949" i="2" l="1"/>
  <c r="AI990" i="2" s="1"/>
  <c r="AE990" i="2"/>
  <c r="AB990" i="2"/>
  <c r="S954" i="2"/>
  <c r="W954" i="2" s="1"/>
  <c r="W990" i="2"/>
  <c r="S990" i="2"/>
  <c r="D990" i="2"/>
  <c r="G949" i="2"/>
  <c r="K949" i="2" s="1"/>
  <c r="G947" i="2"/>
  <c r="K947" i="2" s="1"/>
  <c r="K990" i="2" s="1"/>
  <c r="AB895" i="2"/>
  <c r="AE895" i="2"/>
  <c r="AI895" i="2" s="1"/>
  <c r="AB894" i="2"/>
  <c r="AB893" i="2"/>
  <c r="AB935" i="2" s="1"/>
  <c r="AB892" i="2"/>
  <c r="AE892" i="2"/>
  <c r="AI892" i="2"/>
  <c r="AA893" i="2"/>
  <c r="AE893" i="2"/>
  <c r="AI893" i="2"/>
  <c r="AA894" i="2"/>
  <c r="AA895" i="2" s="1"/>
  <c r="AE894" i="2"/>
  <c r="AE896" i="2"/>
  <c r="AI896" i="2" s="1"/>
  <c r="AE897" i="2"/>
  <c r="AI897" i="2" s="1"/>
  <c r="AE898" i="2"/>
  <c r="AI898" i="2"/>
  <c r="AE899" i="2"/>
  <c r="AI899" i="2" s="1"/>
  <c r="AE900" i="2"/>
  <c r="AI900" i="2" s="1"/>
  <c r="AE901" i="2"/>
  <c r="AI901" i="2"/>
  <c r="AE902" i="2"/>
  <c r="AI902" i="2" s="1"/>
  <c r="AE903" i="2"/>
  <c r="AI903" i="2" s="1"/>
  <c r="AE904" i="2"/>
  <c r="AI904" i="2"/>
  <c r="AE905" i="2"/>
  <c r="AI905" i="2" s="1"/>
  <c r="AE906" i="2"/>
  <c r="AI906" i="2"/>
  <c r="AE907" i="2"/>
  <c r="AI907" i="2" s="1"/>
  <c r="AE908" i="2"/>
  <c r="AI908" i="2" s="1"/>
  <c r="AE909" i="2"/>
  <c r="AI909" i="2"/>
  <c r="AE910" i="2"/>
  <c r="AI910" i="2"/>
  <c r="AE911" i="2"/>
  <c r="AI911" i="2"/>
  <c r="AE912" i="2"/>
  <c r="AI912" i="2"/>
  <c r="AE913" i="2"/>
  <c r="AI913" i="2"/>
  <c r="AE914" i="2"/>
  <c r="AI914" i="2"/>
  <c r="AE915" i="2"/>
  <c r="AI915" i="2" s="1"/>
  <c r="AE916" i="2"/>
  <c r="AI916" i="2" s="1"/>
  <c r="AE917" i="2"/>
  <c r="AI917" i="2"/>
  <c r="AE918" i="2"/>
  <c r="AI918" i="2"/>
  <c r="AE919" i="2"/>
  <c r="AI919" i="2"/>
  <c r="AE920" i="2"/>
  <c r="AI920" i="2"/>
  <c r="AE921" i="2"/>
  <c r="AI921" i="2"/>
  <c r="AE922" i="2"/>
  <c r="AI922" i="2"/>
  <c r="AE923" i="2"/>
  <c r="AI923" i="2" s="1"/>
  <c r="AE924" i="2"/>
  <c r="AI924" i="2" s="1"/>
  <c r="AE925" i="2"/>
  <c r="AI925" i="2"/>
  <c r="AE926" i="2"/>
  <c r="AI926" i="2"/>
  <c r="AE927" i="2"/>
  <c r="AI927" i="2"/>
  <c r="AE928" i="2"/>
  <c r="AI928" i="2"/>
  <c r="AE929" i="2"/>
  <c r="AI929" i="2"/>
  <c r="AE930" i="2"/>
  <c r="AI930" i="2"/>
  <c r="AI931" i="2"/>
  <c r="AE932" i="2"/>
  <c r="AI932" i="2"/>
  <c r="AI933" i="2"/>
  <c r="AC935" i="2"/>
  <c r="AD935" i="2"/>
  <c r="AG935" i="2"/>
  <c r="AH935" i="2"/>
  <c r="P900" i="2"/>
  <c r="P899" i="2"/>
  <c r="P898" i="2"/>
  <c r="P897" i="2"/>
  <c r="S897" i="2" s="1"/>
  <c r="W897" i="2" s="1"/>
  <c r="P896" i="2"/>
  <c r="P895" i="2"/>
  <c r="P894" i="2"/>
  <c r="S894" i="2" s="1"/>
  <c r="W894" i="2" s="1"/>
  <c r="P893" i="2"/>
  <c r="S893" i="2" s="1"/>
  <c r="P892" i="2"/>
  <c r="S892" i="2"/>
  <c r="W892" i="2" s="1"/>
  <c r="O893" i="2"/>
  <c r="O894" i="2" s="1"/>
  <c r="O895" i="2" s="1"/>
  <c r="O896" i="2" s="1"/>
  <c r="O897" i="2" s="1"/>
  <c r="O898" i="2" s="1"/>
  <c r="O899" i="2" s="1"/>
  <c r="O900" i="2" s="1"/>
  <c r="S895" i="2"/>
  <c r="W895" i="2" s="1"/>
  <c r="S896" i="2"/>
  <c r="W896" i="2" s="1"/>
  <c r="S898" i="2"/>
  <c r="W898" i="2"/>
  <c r="S899" i="2"/>
  <c r="W899" i="2"/>
  <c r="S900" i="2"/>
  <c r="W900" i="2" s="1"/>
  <c r="S901" i="2"/>
  <c r="W901" i="2" s="1"/>
  <c r="S902" i="2"/>
  <c r="W902" i="2" s="1"/>
  <c r="S903" i="2"/>
  <c r="W903" i="2"/>
  <c r="S904" i="2"/>
  <c r="W904" i="2" s="1"/>
  <c r="S905" i="2"/>
  <c r="W905" i="2" s="1"/>
  <c r="S906" i="2"/>
  <c r="W906" i="2" s="1"/>
  <c r="S907" i="2"/>
  <c r="W907" i="2" s="1"/>
  <c r="S908" i="2"/>
  <c r="W908" i="2" s="1"/>
  <c r="S909" i="2"/>
  <c r="W909" i="2" s="1"/>
  <c r="S910" i="2"/>
  <c r="W910" i="2"/>
  <c r="S911" i="2"/>
  <c r="W911" i="2"/>
  <c r="S912" i="2"/>
  <c r="W912" i="2" s="1"/>
  <c r="S913" i="2"/>
  <c r="W913" i="2" s="1"/>
  <c r="S914" i="2"/>
  <c r="W914" i="2"/>
  <c r="S915" i="2"/>
  <c r="W915" i="2"/>
  <c r="S916" i="2"/>
  <c r="W916" i="2" s="1"/>
  <c r="S917" i="2"/>
  <c r="W917" i="2" s="1"/>
  <c r="S918" i="2"/>
  <c r="W918" i="2"/>
  <c r="S919" i="2"/>
  <c r="W919" i="2"/>
  <c r="S920" i="2"/>
  <c r="W920" i="2" s="1"/>
  <c r="S921" i="2"/>
  <c r="W921" i="2" s="1"/>
  <c r="S922" i="2"/>
  <c r="W922" i="2"/>
  <c r="S923" i="2"/>
  <c r="W923" i="2"/>
  <c r="S924" i="2"/>
  <c r="W924" i="2" s="1"/>
  <c r="S925" i="2"/>
  <c r="W925" i="2" s="1"/>
  <c r="S926" i="2"/>
  <c r="W926" i="2"/>
  <c r="S927" i="2"/>
  <c r="W927" i="2"/>
  <c r="S928" i="2"/>
  <c r="W928" i="2" s="1"/>
  <c r="S929" i="2"/>
  <c r="W929" i="2" s="1"/>
  <c r="S930" i="2"/>
  <c r="W930" i="2"/>
  <c r="W931" i="2"/>
  <c r="S932" i="2"/>
  <c r="W932" i="2" s="1"/>
  <c r="W933" i="2"/>
  <c r="Q935" i="2"/>
  <c r="R935" i="2"/>
  <c r="U935" i="2"/>
  <c r="V935" i="2"/>
  <c r="D913" i="2"/>
  <c r="D912" i="2"/>
  <c r="D911" i="2"/>
  <c r="D910" i="2"/>
  <c r="D909" i="2"/>
  <c r="D908" i="2"/>
  <c r="D907" i="2"/>
  <c r="D906" i="2"/>
  <c r="C906" i="2"/>
  <c r="C907" i="2"/>
  <c r="C908" i="2"/>
  <c r="C909" i="2"/>
  <c r="C910" i="2" s="1"/>
  <c r="C911" i="2" s="1"/>
  <c r="C912" i="2" s="1"/>
  <c r="C913" i="2" s="1"/>
  <c r="D905" i="2"/>
  <c r="D904" i="2"/>
  <c r="D903" i="2"/>
  <c r="D902" i="2"/>
  <c r="D901" i="2"/>
  <c r="D900" i="2"/>
  <c r="D899" i="2"/>
  <c r="G990" i="2" l="1"/>
  <c r="AE935" i="2"/>
  <c r="AI894" i="2"/>
  <c r="AI935" i="2" s="1"/>
  <c r="P935" i="2"/>
  <c r="S935" i="2"/>
  <c r="W893" i="2"/>
  <c r="W935" i="2" s="1"/>
  <c r="D898" i="2" l="1"/>
  <c r="I897" i="2"/>
  <c r="D897" i="2"/>
  <c r="G897" i="2" s="1"/>
  <c r="K897" i="2" s="1"/>
  <c r="I896" i="2"/>
  <c r="D896" i="2"/>
  <c r="I895" i="2"/>
  <c r="D895" i="2"/>
  <c r="D894" i="2"/>
  <c r="G894" i="2" s="1"/>
  <c r="K894" i="2" s="1"/>
  <c r="D893" i="2"/>
  <c r="G893" i="2" s="1"/>
  <c r="K893" i="2" s="1"/>
  <c r="D892" i="2"/>
  <c r="G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G895" i="2"/>
  <c r="K895" i="2" s="1"/>
  <c r="G896" i="2"/>
  <c r="K896" i="2" s="1"/>
  <c r="G898" i="2"/>
  <c r="K898" i="2" s="1"/>
  <c r="G899" i="2"/>
  <c r="K899" i="2" s="1"/>
  <c r="G900" i="2"/>
  <c r="K900" i="2" s="1"/>
  <c r="G901" i="2"/>
  <c r="K901" i="2" s="1"/>
  <c r="G902" i="2"/>
  <c r="K902" i="2" s="1"/>
  <c r="G903" i="2"/>
  <c r="K903" i="2" s="1"/>
  <c r="G904" i="2"/>
  <c r="K904" i="2"/>
  <c r="G905" i="2"/>
  <c r="K905" i="2" s="1"/>
  <c r="G906" i="2"/>
  <c r="K906" i="2" s="1"/>
  <c r="G907" i="2"/>
  <c r="K907" i="2" s="1"/>
  <c r="G908" i="2"/>
  <c r="K908" i="2" s="1"/>
  <c r="G909" i="2"/>
  <c r="K909" i="2" s="1"/>
  <c r="G910" i="2"/>
  <c r="K910" i="2" s="1"/>
  <c r="G911" i="2"/>
  <c r="K911" i="2" s="1"/>
  <c r="G912" i="2"/>
  <c r="K912" i="2" s="1"/>
  <c r="G913" i="2"/>
  <c r="K913" i="2" s="1"/>
  <c r="G914" i="2"/>
  <c r="K914" i="2"/>
  <c r="G915" i="2"/>
  <c r="K915" i="2" s="1"/>
  <c r="G916" i="2"/>
  <c r="K916" i="2"/>
  <c r="G917" i="2"/>
  <c r="K917" i="2"/>
  <c r="G918" i="2"/>
  <c r="K918" i="2"/>
  <c r="G919" i="2"/>
  <c r="K919" i="2"/>
  <c r="G920" i="2"/>
  <c r="K920" i="2" s="1"/>
  <c r="G921" i="2"/>
  <c r="K921" i="2" s="1"/>
  <c r="G922" i="2"/>
  <c r="K922" i="2"/>
  <c r="G923" i="2"/>
  <c r="K923" i="2" s="1"/>
  <c r="G924" i="2"/>
  <c r="K924" i="2"/>
  <c r="G925" i="2"/>
  <c r="K925" i="2"/>
  <c r="G932" i="2"/>
  <c r="K932" i="2"/>
  <c r="E935" i="2"/>
  <c r="F935" i="2"/>
  <c r="I935" i="2"/>
  <c r="J935" i="2"/>
  <c r="G935" i="2" l="1"/>
  <c r="K892" i="2"/>
  <c r="K935" i="2" s="1"/>
  <c r="D935" i="2"/>
  <c r="G880" i="2"/>
  <c r="AB842" i="2"/>
  <c r="AB841" i="2"/>
  <c r="AE841" i="2" s="1"/>
  <c r="AI841" i="2" s="1"/>
  <c r="AB840" i="2"/>
  <c r="AB839" i="2"/>
  <c r="AB838" i="2"/>
  <c r="AG837" i="2"/>
  <c r="AB837" i="2"/>
  <c r="AE837" i="2"/>
  <c r="AA838" i="2"/>
  <c r="AA839" i="2" s="1"/>
  <c r="AA840" i="2" s="1"/>
  <c r="AA841" i="2" s="1"/>
  <c r="AA842" i="2" s="1"/>
  <c r="AE838" i="2"/>
  <c r="AI838" i="2" s="1"/>
  <c r="AE839" i="2"/>
  <c r="AI839" i="2" s="1"/>
  <c r="AE840" i="2"/>
  <c r="AI840" i="2" s="1"/>
  <c r="AE842" i="2"/>
  <c r="AI842" i="2" s="1"/>
  <c r="AE843" i="2"/>
  <c r="AI843" i="2"/>
  <c r="AE844" i="2"/>
  <c r="AI844" i="2"/>
  <c r="AE845" i="2"/>
  <c r="AI845" i="2" s="1"/>
  <c r="AE846" i="2"/>
  <c r="AI846" i="2"/>
  <c r="AE847" i="2"/>
  <c r="AI847" i="2"/>
  <c r="AE848" i="2"/>
  <c r="AI848" i="2"/>
  <c r="AE849" i="2"/>
  <c r="AI849" i="2" s="1"/>
  <c r="AE850" i="2"/>
  <c r="AI850" i="2" s="1"/>
  <c r="AE851" i="2"/>
  <c r="AI851" i="2"/>
  <c r="AE852" i="2"/>
  <c r="AI852" i="2"/>
  <c r="AE853" i="2"/>
  <c r="AI853" i="2" s="1"/>
  <c r="AE854" i="2"/>
  <c r="AI854" i="2"/>
  <c r="AE855" i="2"/>
  <c r="AI855" i="2"/>
  <c r="AE856" i="2"/>
  <c r="AI856" i="2"/>
  <c r="AE857" i="2"/>
  <c r="AI857" i="2" s="1"/>
  <c r="AE858" i="2"/>
  <c r="AI858" i="2" s="1"/>
  <c r="AE859" i="2"/>
  <c r="AI859" i="2"/>
  <c r="AE860" i="2"/>
  <c r="AI860" i="2"/>
  <c r="AE861" i="2"/>
  <c r="AI861" i="2" s="1"/>
  <c r="AE862" i="2"/>
  <c r="AI862" i="2"/>
  <c r="AE863" i="2"/>
  <c r="AI863" i="2"/>
  <c r="AE864" i="2"/>
  <c r="AI864" i="2"/>
  <c r="AE865" i="2"/>
  <c r="AI865" i="2" s="1"/>
  <c r="AE866" i="2"/>
  <c r="AI866" i="2" s="1"/>
  <c r="AE867" i="2"/>
  <c r="AI867" i="2"/>
  <c r="AE868" i="2"/>
  <c r="AI868" i="2"/>
  <c r="AE869" i="2"/>
  <c r="AI869" i="2" s="1"/>
  <c r="AE870" i="2"/>
  <c r="AI870" i="2"/>
  <c r="AE871" i="2"/>
  <c r="AI871" i="2"/>
  <c r="AE872" i="2"/>
  <c r="AI872" i="2"/>
  <c r="AE873" i="2"/>
  <c r="AI873" i="2" s="1"/>
  <c r="AE874" i="2"/>
  <c r="AI874" i="2" s="1"/>
  <c r="AE875" i="2"/>
  <c r="AI875" i="2"/>
  <c r="AI876" i="2"/>
  <c r="AE877" i="2"/>
  <c r="AI877" i="2"/>
  <c r="AI878" i="2"/>
  <c r="AB880" i="2"/>
  <c r="AC880" i="2"/>
  <c r="AD880" i="2"/>
  <c r="AG880" i="2"/>
  <c r="AH880" i="2"/>
  <c r="P843" i="2"/>
  <c r="S843" i="2" s="1"/>
  <c r="W843" i="2" s="1"/>
  <c r="P842" i="2"/>
  <c r="P841" i="2"/>
  <c r="S841" i="2" s="1"/>
  <c r="W841" i="2" s="1"/>
  <c r="P840" i="2"/>
  <c r="P839" i="2"/>
  <c r="P838" i="2"/>
  <c r="S838" i="2" s="1"/>
  <c r="W838" i="2" s="1"/>
  <c r="P837" i="2"/>
  <c r="S837" i="2"/>
  <c r="W837" i="2" s="1"/>
  <c r="O838" i="2"/>
  <c r="O839" i="2" s="1"/>
  <c r="O840" i="2" s="1"/>
  <c r="O841" i="2" s="1"/>
  <c r="O842" i="2" s="1"/>
  <c r="O843" i="2" s="1"/>
  <c r="S839" i="2"/>
  <c r="W839" i="2" s="1"/>
  <c r="S840" i="2"/>
  <c r="W840" i="2" s="1"/>
  <c r="S842" i="2"/>
  <c r="W842" i="2" s="1"/>
  <c r="S844" i="2"/>
  <c r="W844" i="2" s="1"/>
  <c r="S845" i="2"/>
  <c r="W845" i="2" s="1"/>
  <c r="S846" i="2"/>
  <c r="W846" i="2"/>
  <c r="S847" i="2"/>
  <c r="W847" i="2"/>
  <c r="S848" i="2"/>
  <c r="W848" i="2"/>
  <c r="S849" i="2"/>
  <c r="W849" i="2" s="1"/>
  <c r="S850" i="2"/>
  <c r="W850" i="2" s="1"/>
  <c r="S851" i="2"/>
  <c r="W851" i="2"/>
  <c r="S852" i="2"/>
  <c r="W852" i="2" s="1"/>
  <c r="S853" i="2"/>
  <c r="W853" i="2" s="1"/>
  <c r="S854" i="2"/>
  <c r="W854" i="2" s="1"/>
  <c r="S855" i="2"/>
  <c r="W855" i="2" s="1"/>
  <c r="U880" i="2"/>
  <c r="S856" i="2"/>
  <c r="W856" i="2"/>
  <c r="S857" i="2"/>
  <c r="W857" i="2" s="1"/>
  <c r="S858" i="2"/>
  <c r="W858" i="2" s="1"/>
  <c r="S859" i="2"/>
  <c r="W859" i="2" s="1"/>
  <c r="S860" i="2"/>
  <c r="W860" i="2"/>
  <c r="S861" i="2"/>
  <c r="W861" i="2" s="1"/>
  <c r="S862" i="2"/>
  <c r="W862" i="2" s="1"/>
  <c r="S863" i="2"/>
  <c r="W863" i="2" s="1"/>
  <c r="S864" i="2"/>
  <c r="W864" i="2"/>
  <c r="S865" i="2"/>
  <c r="W865" i="2" s="1"/>
  <c r="S866" i="2"/>
  <c r="W866" i="2" s="1"/>
  <c r="S867" i="2"/>
  <c r="W867" i="2" s="1"/>
  <c r="S868" i="2"/>
  <c r="W868" i="2"/>
  <c r="S869" i="2"/>
  <c r="W869" i="2" s="1"/>
  <c r="S870" i="2"/>
  <c r="W870" i="2"/>
  <c r="S871" i="2"/>
  <c r="W871" i="2" s="1"/>
  <c r="S872" i="2"/>
  <c r="W872" i="2"/>
  <c r="S873" i="2"/>
  <c r="W873" i="2" s="1"/>
  <c r="S874" i="2"/>
  <c r="W874" i="2" s="1"/>
  <c r="S875" i="2"/>
  <c r="W875" i="2" s="1"/>
  <c r="W876" i="2"/>
  <c r="S877" i="2"/>
  <c r="W877" i="2"/>
  <c r="W878" i="2"/>
  <c r="Q880" i="2"/>
  <c r="R880" i="2"/>
  <c r="V880" i="2"/>
  <c r="D850" i="2"/>
  <c r="D849" i="2"/>
  <c r="D848" i="2"/>
  <c r="G848" i="2" s="1"/>
  <c r="K848" i="2" s="1"/>
  <c r="D847" i="2"/>
  <c r="G847" i="2" s="1"/>
  <c r="K847" i="2" s="1"/>
  <c r="D846" i="2"/>
  <c r="G846" i="2" s="1"/>
  <c r="K846" i="2" s="1"/>
  <c r="D845" i="2"/>
  <c r="D844" i="2"/>
  <c r="G844" i="2" s="1"/>
  <c r="K844" i="2" s="1"/>
  <c r="D843" i="2"/>
  <c r="G843" i="2" s="1"/>
  <c r="K843" i="2" s="1"/>
  <c r="I842" i="2"/>
  <c r="I880" i="2" s="1"/>
  <c r="D842" i="2"/>
  <c r="G842" i="2" s="1"/>
  <c r="K842" i="2" s="1"/>
  <c r="D841" i="2"/>
  <c r="G841" i="2" s="1"/>
  <c r="K841" i="2" s="1"/>
  <c r="D840" i="2"/>
  <c r="D839" i="2"/>
  <c r="G839" i="2" s="1"/>
  <c r="K839" i="2" s="1"/>
  <c r="D838" i="2"/>
  <c r="D837" i="2"/>
  <c r="G837" i="2"/>
  <c r="J880" i="2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G845" i="2"/>
  <c r="K845" i="2" s="1"/>
  <c r="G849" i="2"/>
  <c r="K849" i="2" s="1"/>
  <c r="G850" i="2"/>
  <c r="K850" i="2" s="1"/>
  <c r="G851" i="2"/>
  <c r="K851" i="2" s="1"/>
  <c r="G852" i="2"/>
  <c r="K852" i="2" s="1"/>
  <c r="G853" i="2"/>
  <c r="K853" i="2"/>
  <c r="G854" i="2"/>
  <c r="K854" i="2" s="1"/>
  <c r="G855" i="2"/>
  <c r="K855" i="2"/>
  <c r="G856" i="2"/>
  <c r="K856" i="2"/>
  <c r="G857" i="2"/>
  <c r="K857" i="2"/>
  <c r="G858" i="2"/>
  <c r="K858" i="2" s="1"/>
  <c r="G859" i="2"/>
  <c r="K859" i="2" s="1"/>
  <c r="G860" i="2"/>
  <c r="K860" i="2" s="1"/>
  <c r="G861" i="2"/>
  <c r="K861" i="2"/>
  <c r="G862" i="2"/>
  <c r="K862" i="2"/>
  <c r="G863" i="2"/>
  <c r="K863" i="2"/>
  <c r="G864" i="2"/>
  <c r="K864" i="2"/>
  <c r="G865" i="2"/>
  <c r="K865" i="2"/>
  <c r="G866" i="2"/>
  <c r="K866" i="2" s="1"/>
  <c r="G867" i="2"/>
  <c r="K867" i="2" s="1"/>
  <c r="G868" i="2"/>
  <c r="K868" i="2" s="1"/>
  <c r="G869" i="2"/>
  <c r="K869" i="2"/>
  <c r="G870" i="2"/>
  <c r="K870" i="2"/>
  <c r="G877" i="2"/>
  <c r="K877" i="2"/>
  <c r="E880" i="2"/>
  <c r="F880" i="2"/>
  <c r="AE880" i="2" l="1"/>
  <c r="AI837" i="2"/>
  <c r="AI880" i="2" s="1"/>
  <c r="P880" i="2"/>
  <c r="W880" i="2"/>
  <c r="S880" i="2"/>
  <c r="D880" i="2"/>
  <c r="G840" i="2"/>
  <c r="K840" i="2" s="1"/>
  <c r="G838" i="2"/>
  <c r="K838" i="2" s="1"/>
  <c r="K837" i="2"/>
  <c r="AB786" i="2"/>
  <c r="AA786" i="2"/>
  <c r="AG785" i="2"/>
  <c r="AB785" i="2"/>
  <c r="AE785" i="2" s="1"/>
  <c r="AI785" i="2" s="1"/>
  <c r="AB784" i="2"/>
  <c r="AG783" i="2"/>
  <c r="AB783" i="2"/>
  <c r="AE783" i="2" s="1"/>
  <c r="AG782" i="2"/>
  <c r="AG825" i="2" s="1"/>
  <c r="AB782" i="2"/>
  <c r="AE782" i="2"/>
  <c r="AI782" i="2" s="1"/>
  <c r="AA783" i="2"/>
  <c r="AA784" i="2" s="1"/>
  <c r="AA785" i="2" s="1"/>
  <c r="AE784" i="2"/>
  <c r="AI784" i="2" s="1"/>
  <c r="AE786" i="2"/>
  <c r="AI786" i="2"/>
  <c r="AE787" i="2"/>
  <c r="AI787" i="2"/>
  <c r="AE788" i="2"/>
  <c r="AI788" i="2" s="1"/>
  <c r="AE789" i="2"/>
  <c r="AI789" i="2" s="1"/>
  <c r="AE790" i="2"/>
  <c r="AI790" i="2"/>
  <c r="AE791" i="2"/>
  <c r="AI791" i="2" s="1"/>
  <c r="AE792" i="2"/>
  <c r="AI792" i="2" s="1"/>
  <c r="AE793" i="2"/>
  <c r="AI793" i="2"/>
  <c r="AE794" i="2"/>
  <c r="AI794" i="2"/>
  <c r="AE795" i="2"/>
  <c r="AI795" i="2"/>
  <c r="AE796" i="2"/>
  <c r="AI796" i="2" s="1"/>
  <c r="AE797" i="2"/>
  <c r="AI797" i="2" s="1"/>
  <c r="AE798" i="2"/>
  <c r="AI798" i="2"/>
  <c r="AE799" i="2"/>
  <c r="AI799" i="2"/>
  <c r="AE800" i="2"/>
  <c r="AI800" i="2" s="1"/>
  <c r="AE801" i="2"/>
  <c r="AI801" i="2" s="1"/>
  <c r="AE802" i="2"/>
  <c r="AI802" i="2"/>
  <c r="AE803" i="2"/>
  <c r="AI803" i="2"/>
  <c r="AE804" i="2"/>
  <c r="AI804" i="2" s="1"/>
  <c r="AE805" i="2"/>
  <c r="AI805" i="2" s="1"/>
  <c r="AE806" i="2"/>
  <c r="AI806" i="2"/>
  <c r="AE807" i="2"/>
  <c r="AI807" i="2"/>
  <c r="AE808" i="2"/>
  <c r="AI808" i="2" s="1"/>
  <c r="AE809" i="2"/>
  <c r="AI809" i="2"/>
  <c r="AE810" i="2"/>
  <c r="AI810" i="2"/>
  <c r="AE811" i="2"/>
  <c r="AI811" i="2"/>
  <c r="AE812" i="2"/>
  <c r="AI812" i="2" s="1"/>
  <c r="AE813" i="2"/>
  <c r="AI813" i="2" s="1"/>
  <c r="AE814" i="2"/>
  <c r="AI814" i="2"/>
  <c r="AE815" i="2"/>
  <c r="AI815" i="2"/>
  <c r="AE816" i="2"/>
  <c r="AI816" i="2" s="1"/>
  <c r="AE817" i="2"/>
  <c r="AI817" i="2"/>
  <c r="AE818" i="2"/>
  <c r="AI818" i="2"/>
  <c r="AE819" i="2"/>
  <c r="AI819" i="2"/>
  <c r="AE820" i="2"/>
  <c r="AI820" i="2" s="1"/>
  <c r="AI821" i="2"/>
  <c r="AE822" i="2"/>
  <c r="AI822" i="2" s="1"/>
  <c r="AI823" i="2"/>
  <c r="AC825" i="2"/>
  <c r="AD825" i="2"/>
  <c r="AH825" i="2"/>
  <c r="U800" i="2"/>
  <c r="P800" i="2"/>
  <c r="P799" i="2"/>
  <c r="S799" i="2" s="1"/>
  <c r="W799" i="2" s="1"/>
  <c r="P798" i="2"/>
  <c r="S798" i="2" s="1"/>
  <c r="W798" i="2" s="1"/>
  <c r="P797" i="2"/>
  <c r="S797" i="2" s="1"/>
  <c r="W797" i="2" s="1"/>
  <c r="O797" i="2"/>
  <c r="O798" i="2" s="1"/>
  <c r="O799" i="2" s="1"/>
  <c r="O800" i="2" s="1"/>
  <c r="P796" i="2"/>
  <c r="P795" i="2"/>
  <c r="P794" i="2"/>
  <c r="P793" i="2"/>
  <c r="P792" i="2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P786" i="2"/>
  <c r="S786" i="2" s="1"/>
  <c r="W786" i="2" s="1"/>
  <c r="P785" i="2"/>
  <c r="S785" i="2" s="1"/>
  <c r="W785" i="2" s="1"/>
  <c r="P784" i="2"/>
  <c r="P783" i="2"/>
  <c r="P782" i="2"/>
  <c r="O784" i="2"/>
  <c r="O785" i="2" s="1"/>
  <c r="O786" i="2" s="1"/>
  <c r="O787" i="2" s="1"/>
  <c r="O788" i="2" s="1"/>
  <c r="O789" i="2" s="1"/>
  <c r="O790" i="2" s="1"/>
  <c r="O792" i="2" s="1"/>
  <c r="O793" i="2" s="1"/>
  <c r="O794" i="2" s="1"/>
  <c r="O795" i="2" s="1"/>
  <c r="O796" i="2" s="1"/>
  <c r="S782" i="2"/>
  <c r="W782" i="2" s="1"/>
  <c r="U825" i="2"/>
  <c r="O783" i="2"/>
  <c r="S783" i="2"/>
  <c r="W783" i="2" s="1"/>
  <c r="S784" i="2"/>
  <c r="W784" i="2"/>
  <c r="S792" i="2"/>
  <c r="W792" i="2" s="1"/>
  <c r="S793" i="2"/>
  <c r="W793" i="2" s="1"/>
  <c r="S794" i="2"/>
  <c r="W794" i="2" s="1"/>
  <c r="S795" i="2"/>
  <c r="W795" i="2" s="1"/>
  <c r="S796" i="2"/>
  <c r="W796" i="2" s="1"/>
  <c r="S800" i="2"/>
  <c r="W800" i="2" s="1"/>
  <c r="S801" i="2"/>
  <c r="W801" i="2"/>
  <c r="S802" i="2"/>
  <c r="W802" i="2" s="1"/>
  <c r="S803" i="2"/>
  <c r="W803" i="2" s="1"/>
  <c r="S804" i="2"/>
  <c r="W804" i="2"/>
  <c r="S805" i="2"/>
  <c r="W805" i="2"/>
  <c r="S806" i="2"/>
  <c r="W806" i="2"/>
  <c r="S807" i="2"/>
  <c r="W807" i="2" s="1"/>
  <c r="S808" i="2"/>
  <c r="W808" i="2"/>
  <c r="S809" i="2"/>
  <c r="W809" i="2"/>
  <c r="S810" i="2"/>
  <c r="W810" i="2" s="1"/>
  <c r="S811" i="2"/>
  <c r="W811" i="2" s="1"/>
  <c r="S812" i="2"/>
  <c r="W812" i="2"/>
  <c r="S813" i="2"/>
  <c r="W813" i="2"/>
  <c r="S814" i="2"/>
  <c r="W814" i="2"/>
  <c r="S815" i="2"/>
  <c r="W815" i="2" s="1"/>
  <c r="S816" i="2"/>
  <c r="W816" i="2"/>
  <c r="S817" i="2"/>
  <c r="W817" i="2"/>
  <c r="S818" i="2"/>
  <c r="W818" i="2" s="1"/>
  <c r="S819" i="2"/>
  <c r="W819" i="2" s="1"/>
  <c r="S820" i="2"/>
  <c r="W820" i="2"/>
  <c r="W821" i="2"/>
  <c r="S822" i="2"/>
  <c r="W822" i="2"/>
  <c r="W823" i="2"/>
  <c r="Q825" i="2"/>
  <c r="R825" i="2"/>
  <c r="V825" i="2"/>
  <c r="D793" i="2"/>
  <c r="D792" i="2"/>
  <c r="D791" i="2"/>
  <c r="G791" i="2" s="1"/>
  <c r="K791" i="2" s="1"/>
  <c r="D790" i="2"/>
  <c r="D789" i="2"/>
  <c r="D788" i="2"/>
  <c r="G788" i="2" s="1"/>
  <c r="K788" i="2" s="1"/>
  <c r="D787" i="2"/>
  <c r="G787" i="2"/>
  <c r="K787" i="2" s="1"/>
  <c r="D786" i="2"/>
  <c r="G786" i="2" s="1"/>
  <c r="K786" i="2" s="1"/>
  <c r="I785" i="2"/>
  <c r="D785" i="2"/>
  <c r="G785" i="2" s="1"/>
  <c r="D784" i="2"/>
  <c r="D783" i="2"/>
  <c r="J782" i="2"/>
  <c r="I782" i="2"/>
  <c r="I825" i="2"/>
  <c r="K782" i="2"/>
  <c r="J825" i="2"/>
  <c r="D782" i="2"/>
  <c r="G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G783" i="2"/>
  <c r="K783" i="2" s="1"/>
  <c r="G784" i="2"/>
  <c r="K784" i="2" s="1"/>
  <c r="G789" i="2"/>
  <c r="K789" i="2" s="1"/>
  <c r="G790" i="2"/>
  <c r="K790" i="2" s="1"/>
  <c r="G792" i="2"/>
  <c r="K792" i="2" s="1"/>
  <c r="G793" i="2"/>
  <c r="K793" i="2" s="1"/>
  <c r="G794" i="2"/>
  <c r="K794" i="2"/>
  <c r="G795" i="2"/>
  <c r="K795" i="2" s="1"/>
  <c r="G796" i="2"/>
  <c r="K796" i="2"/>
  <c r="G797" i="2"/>
  <c r="K797" i="2"/>
  <c r="G798" i="2"/>
  <c r="K798" i="2" s="1"/>
  <c r="G799" i="2"/>
  <c r="K799" i="2" s="1"/>
  <c r="G800" i="2"/>
  <c r="K800" i="2" s="1"/>
  <c r="G801" i="2"/>
  <c r="K801" i="2" s="1"/>
  <c r="G802" i="2"/>
  <c r="K802" i="2"/>
  <c r="G803" i="2"/>
  <c r="K803" i="2" s="1"/>
  <c r="G804" i="2"/>
  <c r="K804" i="2"/>
  <c r="G805" i="2"/>
  <c r="K805" i="2"/>
  <c r="G806" i="2"/>
  <c r="K806" i="2" s="1"/>
  <c r="G807" i="2"/>
  <c r="K807" i="2"/>
  <c r="G808" i="2"/>
  <c r="K808" i="2" s="1"/>
  <c r="G809" i="2"/>
  <c r="K809" i="2"/>
  <c r="G810" i="2"/>
  <c r="K810" i="2"/>
  <c r="G811" i="2"/>
  <c r="K811" i="2" s="1"/>
  <c r="G812" i="2"/>
  <c r="K812" i="2"/>
  <c r="G813" i="2"/>
  <c r="K813" i="2"/>
  <c r="G814" i="2"/>
  <c r="K814" i="2" s="1"/>
  <c r="G815" i="2"/>
  <c r="K815" i="2"/>
  <c r="G822" i="2"/>
  <c r="K822" i="2" s="1"/>
  <c r="E825" i="2"/>
  <c r="F825" i="2"/>
  <c r="K880" i="2" l="1"/>
  <c r="AB825" i="2"/>
  <c r="AI783" i="2"/>
  <c r="AI825" i="2" s="1"/>
  <c r="AE825" i="2"/>
  <c r="P825" i="2"/>
  <c r="S787" i="2"/>
  <c r="W787" i="2" s="1"/>
  <c r="W825" i="2" s="1"/>
  <c r="D825" i="2"/>
  <c r="K785" i="2"/>
  <c r="K825" i="2" s="1"/>
  <c r="G825" i="2"/>
  <c r="AB730" i="2"/>
  <c r="AB729" i="2"/>
  <c r="AB728" i="2"/>
  <c r="AH727" i="2"/>
  <c r="AB727" i="2"/>
  <c r="AE727" i="2"/>
  <c r="AA728" i="2"/>
  <c r="AA729" i="2" s="1"/>
  <c r="AA730" i="2" s="1"/>
  <c r="AE728" i="2"/>
  <c r="AI728" i="2" s="1"/>
  <c r="AE731" i="2"/>
  <c r="AI731" i="2" s="1"/>
  <c r="AE732" i="2"/>
  <c r="AI732" i="2" s="1"/>
  <c r="AE733" i="2"/>
  <c r="AI733" i="2" s="1"/>
  <c r="AE734" i="2"/>
  <c r="AI734" i="2" s="1"/>
  <c r="AE735" i="2"/>
  <c r="AI735" i="2" s="1"/>
  <c r="AE736" i="2"/>
  <c r="AI736" i="2" s="1"/>
  <c r="AE737" i="2"/>
  <c r="AI737" i="2" s="1"/>
  <c r="AE738" i="2"/>
  <c r="AI738" i="2"/>
  <c r="AE739" i="2"/>
  <c r="AI739" i="2" s="1"/>
  <c r="AE740" i="2"/>
  <c r="AI740" i="2" s="1"/>
  <c r="AE741" i="2"/>
  <c r="AI741" i="2"/>
  <c r="AE742" i="2"/>
  <c r="AI742" i="2" s="1"/>
  <c r="AE743" i="2"/>
  <c r="AI743" i="2"/>
  <c r="AE744" i="2"/>
  <c r="AI744" i="2"/>
  <c r="AE745" i="2"/>
  <c r="AI745" i="2"/>
  <c r="AE746" i="2"/>
  <c r="AI746" i="2"/>
  <c r="AE747" i="2"/>
  <c r="AI747" i="2" s="1"/>
  <c r="AE748" i="2"/>
  <c r="AI748" i="2" s="1"/>
  <c r="AE749" i="2"/>
  <c r="AI749" i="2"/>
  <c r="AE750" i="2"/>
  <c r="AI750" i="2" s="1"/>
  <c r="AE751" i="2"/>
  <c r="AI751" i="2"/>
  <c r="AE752" i="2"/>
  <c r="AI752" i="2"/>
  <c r="AE753" i="2"/>
  <c r="AI753" i="2"/>
  <c r="AE754" i="2"/>
  <c r="AI754" i="2"/>
  <c r="AE755" i="2"/>
  <c r="AI755" i="2" s="1"/>
  <c r="AE756" i="2"/>
  <c r="AI756" i="2" s="1"/>
  <c r="AE757" i="2"/>
  <c r="AI757" i="2"/>
  <c r="AE758" i="2"/>
  <c r="AI758" i="2" s="1"/>
  <c r="AE759" i="2"/>
  <c r="AI759" i="2"/>
  <c r="AE760" i="2"/>
  <c r="AI760" i="2"/>
  <c r="AE761" i="2"/>
  <c r="AI761" i="2"/>
  <c r="AE762" i="2"/>
  <c r="AI762" i="2"/>
  <c r="AE763" i="2"/>
  <c r="AI763" i="2" s="1"/>
  <c r="AE764" i="2"/>
  <c r="AI764" i="2"/>
  <c r="AE765" i="2"/>
  <c r="AI765" i="2"/>
  <c r="AI766" i="2"/>
  <c r="AE767" i="2"/>
  <c r="AI767" i="2"/>
  <c r="AI768" i="2"/>
  <c r="AC770" i="2"/>
  <c r="AD770" i="2"/>
  <c r="AG770" i="2"/>
  <c r="AH770" i="2"/>
  <c r="U728" i="2"/>
  <c r="P728" i="2"/>
  <c r="U727" i="2"/>
  <c r="P727" i="2"/>
  <c r="S727" i="2" s="1"/>
  <c r="O728" i="2"/>
  <c r="S728" i="2"/>
  <c r="W728" i="2" s="1"/>
  <c r="S729" i="2"/>
  <c r="W729" i="2"/>
  <c r="S730" i="2"/>
  <c r="W730" i="2"/>
  <c r="S731" i="2"/>
  <c r="W731" i="2"/>
  <c r="S732" i="2"/>
  <c r="W732" i="2"/>
  <c r="S733" i="2"/>
  <c r="W733" i="2"/>
  <c r="S734" i="2"/>
  <c r="W734" i="2" s="1"/>
  <c r="S735" i="2"/>
  <c r="W735" i="2" s="1"/>
  <c r="S736" i="2"/>
  <c r="W736" i="2" s="1"/>
  <c r="S737" i="2"/>
  <c r="W737" i="2"/>
  <c r="S738" i="2"/>
  <c r="W738" i="2"/>
  <c r="S739" i="2"/>
  <c r="W739" i="2" s="1"/>
  <c r="S740" i="2"/>
  <c r="W740" i="2"/>
  <c r="S741" i="2"/>
  <c r="W741" i="2" s="1"/>
  <c r="S742" i="2"/>
  <c r="W742" i="2"/>
  <c r="S743" i="2"/>
  <c r="W743" i="2" s="1"/>
  <c r="S744" i="2"/>
  <c r="W744" i="2"/>
  <c r="S745" i="2"/>
  <c r="W745" i="2"/>
  <c r="S746" i="2"/>
  <c r="W746" i="2"/>
  <c r="S747" i="2"/>
  <c r="W747" i="2" s="1"/>
  <c r="S748" i="2"/>
  <c r="W748" i="2"/>
  <c r="S749" i="2"/>
  <c r="W749" i="2" s="1"/>
  <c r="S750" i="2"/>
  <c r="W750" i="2"/>
  <c r="S751" i="2"/>
  <c r="W751" i="2" s="1"/>
  <c r="S752" i="2"/>
  <c r="W752" i="2"/>
  <c r="S753" i="2"/>
  <c r="W753" i="2"/>
  <c r="S754" i="2"/>
  <c r="W754" i="2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/>
  <c r="S762" i="2"/>
  <c r="W762" i="2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U770" i="2"/>
  <c r="V770" i="2"/>
  <c r="D730" i="2"/>
  <c r="D729" i="2"/>
  <c r="D728" i="2"/>
  <c r="D727" i="2"/>
  <c r="G727" i="2"/>
  <c r="C728" i="2"/>
  <c r="C729" i="2" s="1"/>
  <c r="C730" i="2" s="1"/>
  <c r="G728" i="2"/>
  <c r="K728" i="2" s="1"/>
  <c r="G729" i="2"/>
  <c r="K729" i="2" s="1"/>
  <c r="G731" i="2"/>
  <c r="K731" i="2" s="1"/>
  <c r="G732" i="2"/>
  <c r="K732" i="2" s="1"/>
  <c r="G733" i="2"/>
  <c r="K733" i="2" s="1"/>
  <c r="G734" i="2"/>
  <c r="K734" i="2" s="1"/>
  <c r="G735" i="2"/>
  <c r="K735" i="2" s="1"/>
  <c r="G736" i="2"/>
  <c r="K736" i="2" s="1"/>
  <c r="G737" i="2"/>
  <c r="K737" i="2" s="1"/>
  <c r="G738" i="2"/>
  <c r="K738" i="2" s="1"/>
  <c r="G739" i="2"/>
  <c r="K739" i="2" s="1"/>
  <c r="G740" i="2"/>
  <c r="K740" i="2" s="1"/>
  <c r="G741" i="2"/>
  <c r="K741" i="2" s="1"/>
  <c r="G742" i="2"/>
  <c r="K742" i="2"/>
  <c r="G743" i="2"/>
  <c r="K743" i="2" s="1"/>
  <c r="G744" i="2"/>
  <c r="K744" i="2" s="1"/>
  <c r="G745" i="2"/>
  <c r="K745" i="2" s="1"/>
  <c r="G746" i="2"/>
  <c r="K746" i="2"/>
  <c r="G747" i="2"/>
  <c r="K747" i="2" s="1"/>
  <c r="G748" i="2"/>
  <c r="K748" i="2" s="1"/>
  <c r="G749" i="2"/>
  <c r="K749" i="2"/>
  <c r="G750" i="2"/>
  <c r="K750" i="2"/>
  <c r="G751" i="2"/>
  <c r="K751" i="2"/>
  <c r="G752" i="2"/>
  <c r="K752" i="2"/>
  <c r="G753" i="2"/>
  <c r="K753" i="2"/>
  <c r="G754" i="2"/>
  <c r="K754" i="2" s="1"/>
  <c r="G755" i="2"/>
  <c r="K755" i="2" s="1"/>
  <c r="G756" i="2"/>
  <c r="K756" i="2" s="1"/>
  <c r="G757" i="2"/>
  <c r="K757" i="2"/>
  <c r="G758" i="2"/>
  <c r="K758" i="2"/>
  <c r="G759" i="2"/>
  <c r="K759" i="2"/>
  <c r="G760" i="2"/>
  <c r="K760" i="2"/>
  <c r="G767" i="2"/>
  <c r="K767" i="2"/>
  <c r="E770" i="2"/>
  <c r="F770" i="2"/>
  <c r="I770" i="2"/>
  <c r="J770" i="2"/>
  <c r="S825" i="2" l="1"/>
  <c r="AB770" i="2"/>
  <c r="AE729" i="2"/>
  <c r="AI729" i="2" s="1"/>
  <c r="AI727" i="2"/>
  <c r="AE730" i="2"/>
  <c r="AI730" i="2" s="1"/>
  <c r="W727" i="2"/>
  <c r="W770" i="2" s="1"/>
  <c r="S770" i="2"/>
  <c r="P770" i="2"/>
  <c r="D770" i="2"/>
  <c r="G730" i="2"/>
  <c r="K730" i="2" s="1"/>
  <c r="AG682" i="2"/>
  <c r="AB682" i="2"/>
  <c r="AE682" i="2" s="1"/>
  <c r="AI682" i="2" s="1"/>
  <c r="AH681" i="2"/>
  <c r="AH715" i="2" s="1"/>
  <c r="AB681" i="2"/>
  <c r="AB680" i="2"/>
  <c r="AE680" i="2" s="1"/>
  <c r="AI680" i="2" s="1"/>
  <c r="AB679" i="2"/>
  <c r="AB678" i="2"/>
  <c r="AB677" i="2"/>
  <c r="AB676" i="2"/>
  <c r="AB675" i="2"/>
  <c r="AE675" i="2" s="1"/>
  <c r="AI675" i="2" s="1"/>
  <c r="AB674" i="2"/>
  <c r="AB673" i="2"/>
  <c r="AE673" i="2" s="1"/>
  <c r="AI673" i="2" s="1"/>
  <c r="AG672" i="2"/>
  <c r="AB672" i="2"/>
  <c r="AA674" i="2"/>
  <c r="AA675" i="2" s="1"/>
  <c r="AA676" i="2" s="1"/>
  <c r="AA677" i="2" s="1"/>
  <c r="AA678" i="2" s="1"/>
  <c r="AA679" i="2" s="1"/>
  <c r="AA680" i="2" s="1"/>
  <c r="AA682" i="2" s="1"/>
  <c r="AE672" i="2"/>
  <c r="AA673" i="2"/>
  <c r="AE674" i="2"/>
  <c r="AI674" i="2" s="1"/>
  <c r="AE676" i="2"/>
  <c r="AI676" i="2" s="1"/>
  <c r="AE677" i="2"/>
  <c r="AI677" i="2" s="1"/>
  <c r="AE678" i="2"/>
  <c r="AI678" i="2" s="1"/>
  <c r="AE679" i="2"/>
  <c r="AI679" i="2" s="1"/>
  <c r="AE681" i="2"/>
  <c r="AI681" i="2" s="1"/>
  <c r="AE683" i="2"/>
  <c r="AI683" i="2"/>
  <c r="AE684" i="2"/>
  <c r="AI684" i="2" s="1"/>
  <c r="AE685" i="2"/>
  <c r="AI685" i="2" s="1"/>
  <c r="AE686" i="2"/>
  <c r="AI686" i="2" s="1"/>
  <c r="AE687" i="2"/>
  <c r="AI687" i="2" s="1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/>
  <c r="AE694" i="2"/>
  <c r="AI694" i="2" s="1"/>
  <c r="AE695" i="2"/>
  <c r="AI695" i="2"/>
  <c r="AE696" i="2"/>
  <c r="AI696" i="2" s="1"/>
  <c r="AE697" i="2"/>
  <c r="AI697" i="2"/>
  <c r="AE698" i="2"/>
  <c r="AI698" i="2" s="1"/>
  <c r="AE699" i="2"/>
  <c r="AI699" i="2"/>
  <c r="AE700" i="2"/>
  <c r="AI700" i="2" s="1"/>
  <c r="AE701" i="2"/>
  <c r="AI701" i="2"/>
  <c r="AE702" i="2"/>
  <c r="AI702" i="2" s="1"/>
  <c r="AE703" i="2"/>
  <c r="AI703" i="2"/>
  <c r="AE704" i="2"/>
  <c r="AI704" i="2" s="1"/>
  <c r="AE705" i="2"/>
  <c r="AI705" i="2"/>
  <c r="AE706" i="2"/>
  <c r="AI706" i="2" s="1"/>
  <c r="AE707" i="2"/>
  <c r="AI707" i="2"/>
  <c r="AE708" i="2"/>
  <c r="AI708" i="2" s="1"/>
  <c r="AE709" i="2"/>
  <c r="AI709" i="2"/>
  <c r="AE710" i="2"/>
  <c r="AI710" i="2" s="1"/>
  <c r="AI711" i="2"/>
  <c r="AE712" i="2"/>
  <c r="AI712" i="2"/>
  <c r="AI713" i="2"/>
  <c r="AC715" i="2"/>
  <c r="AD715" i="2"/>
  <c r="V682" i="2"/>
  <c r="U682" i="2"/>
  <c r="U715" i="2"/>
  <c r="P682" i="2"/>
  <c r="P681" i="2"/>
  <c r="P680" i="2"/>
  <c r="S680" i="2" s="1"/>
  <c r="W680" i="2" s="1"/>
  <c r="P679" i="2"/>
  <c r="S679" i="2" s="1"/>
  <c r="W679" i="2" s="1"/>
  <c r="P678" i="2"/>
  <c r="S678" i="2" s="1"/>
  <c r="W678" i="2" s="1"/>
  <c r="P677" i="2"/>
  <c r="S677" i="2" s="1"/>
  <c r="W677" i="2" s="1"/>
  <c r="P676" i="2"/>
  <c r="S676" i="2" s="1"/>
  <c r="W676" i="2" s="1"/>
  <c r="P675" i="2"/>
  <c r="P674" i="2"/>
  <c r="S674" i="2" s="1"/>
  <c r="W674" i="2" s="1"/>
  <c r="V673" i="2"/>
  <c r="P673" i="2"/>
  <c r="P672" i="2"/>
  <c r="O675" i="2"/>
  <c r="O676" i="2" s="1"/>
  <c r="O677" i="2" s="1"/>
  <c r="O678" i="2" s="1"/>
  <c r="O679" i="2" s="1"/>
  <c r="O680" i="2" s="1"/>
  <c r="O681" i="2" s="1"/>
  <c r="O682" i="2" s="1"/>
  <c r="S672" i="2"/>
  <c r="W672" i="2" s="1"/>
  <c r="O673" i="2"/>
  <c r="S673" i="2"/>
  <c r="W673" i="2" s="1"/>
  <c r="O674" i="2"/>
  <c r="S675" i="2"/>
  <c r="W675" i="2" s="1"/>
  <c r="S681" i="2"/>
  <c r="W681" i="2" s="1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/>
  <c r="S689" i="2"/>
  <c r="W689" i="2" s="1"/>
  <c r="S690" i="2"/>
  <c r="W690" i="2" s="1"/>
  <c r="S691" i="2"/>
  <c r="W691" i="2" s="1"/>
  <c r="S692" i="2"/>
  <c r="W692" i="2"/>
  <c r="S693" i="2"/>
  <c r="W693" i="2" s="1"/>
  <c r="S694" i="2"/>
  <c r="W694" i="2"/>
  <c r="S695" i="2"/>
  <c r="W695" i="2"/>
  <c r="S696" i="2"/>
  <c r="W696" i="2"/>
  <c r="S697" i="2"/>
  <c r="W697" i="2" s="1"/>
  <c r="S698" i="2"/>
  <c r="W698" i="2"/>
  <c r="S699" i="2"/>
  <c r="W699" i="2"/>
  <c r="S700" i="2"/>
  <c r="W700" i="2"/>
  <c r="S701" i="2"/>
  <c r="W701" i="2" s="1"/>
  <c r="S702" i="2"/>
  <c r="W702" i="2"/>
  <c r="S703" i="2"/>
  <c r="W703" i="2"/>
  <c r="S704" i="2"/>
  <c r="W704" i="2"/>
  <c r="S705" i="2"/>
  <c r="W705" i="2" s="1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V715" i="2"/>
  <c r="D693" i="2"/>
  <c r="G693" i="2" s="1"/>
  <c r="K693" i="2" s="1"/>
  <c r="D692" i="2"/>
  <c r="D691" i="2"/>
  <c r="G691" i="2" s="1"/>
  <c r="K691" i="2" s="1"/>
  <c r="D690" i="2"/>
  <c r="G690" i="2" s="1"/>
  <c r="K690" i="2" s="1"/>
  <c r="D689" i="2"/>
  <c r="G689" i="2" s="1"/>
  <c r="K689" i="2" s="1"/>
  <c r="D688" i="2"/>
  <c r="G688" i="2" s="1"/>
  <c r="K688" i="2" s="1"/>
  <c r="D687" i="2"/>
  <c r="D686" i="2"/>
  <c r="D685" i="2"/>
  <c r="D684" i="2"/>
  <c r="D683" i="2"/>
  <c r="G683" i="2" s="1"/>
  <c r="K683" i="2" s="1"/>
  <c r="D682" i="2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C674" i="2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G673" i="2"/>
  <c r="K673" i="2" s="1"/>
  <c r="G674" i="2"/>
  <c r="K674" i="2" s="1"/>
  <c r="G675" i="2"/>
  <c r="K675" i="2" s="1"/>
  <c r="G676" i="2"/>
  <c r="K676" i="2" s="1"/>
  <c r="G682" i="2"/>
  <c r="K682" i="2" s="1"/>
  <c r="G684" i="2"/>
  <c r="K684" i="2" s="1"/>
  <c r="G685" i="2"/>
  <c r="K685" i="2" s="1"/>
  <c r="G686" i="2"/>
  <c r="K686" i="2" s="1"/>
  <c r="G687" i="2"/>
  <c r="K687" i="2" s="1"/>
  <c r="G692" i="2"/>
  <c r="K692" i="2" s="1"/>
  <c r="G694" i="2"/>
  <c r="K694" i="2"/>
  <c r="G695" i="2"/>
  <c r="K695" i="2" s="1"/>
  <c r="G696" i="2"/>
  <c r="K696" i="2"/>
  <c r="G697" i="2"/>
  <c r="K697" i="2" s="1"/>
  <c r="G698" i="2"/>
  <c r="K698" i="2"/>
  <c r="G699" i="2"/>
  <c r="K699" i="2"/>
  <c r="G700" i="2"/>
  <c r="K700" i="2"/>
  <c r="G701" i="2"/>
  <c r="K701" i="2"/>
  <c r="G702" i="2"/>
  <c r="K702" i="2"/>
  <c r="G703" i="2"/>
  <c r="K703" i="2" s="1"/>
  <c r="G704" i="2"/>
  <c r="K704" i="2"/>
  <c r="G705" i="2"/>
  <c r="K705" i="2" s="1"/>
  <c r="G712" i="2"/>
  <c r="K712" i="2"/>
  <c r="E715" i="2"/>
  <c r="F715" i="2"/>
  <c r="I715" i="2"/>
  <c r="J715" i="2"/>
  <c r="AE770" i="2" l="1"/>
  <c r="AI770" i="2"/>
  <c r="G770" i="2"/>
  <c r="K770" i="2"/>
  <c r="AG715" i="2"/>
  <c r="AB715" i="2"/>
  <c r="AI672" i="2"/>
  <c r="AI715" i="2" s="1"/>
  <c r="AE715" i="2"/>
  <c r="P715" i="2"/>
  <c r="S715" i="2"/>
  <c r="W715" i="2"/>
  <c r="D715" i="2"/>
  <c r="G672" i="2"/>
  <c r="AB623" i="2"/>
  <c r="AB622" i="2"/>
  <c r="AE622" i="2" s="1"/>
  <c r="AI622" i="2" s="1"/>
  <c r="AB621" i="2"/>
  <c r="AB620" i="2"/>
  <c r="AB619" i="2"/>
  <c r="AA620" i="2"/>
  <c r="AA621" i="2" s="1"/>
  <c r="AA622" i="2" s="1"/>
  <c r="AA623" i="2" s="1"/>
  <c r="AG618" i="2"/>
  <c r="AB618" i="2"/>
  <c r="AB617" i="2"/>
  <c r="AH660" i="2"/>
  <c r="AG660" i="2"/>
  <c r="AD660" i="2"/>
  <c r="AC660" i="2"/>
  <c r="AI658" i="2"/>
  <c r="AE657" i="2"/>
  <c r="AI657" i="2" s="1"/>
  <c r="AI656" i="2"/>
  <c r="AE655" i="2"/>
  <c r="AI655" i="2" s="1"/>
  <c r="AI654" i="2"/>
  <c r="AE654" i="2"/>
  <c r="AI653" i="2"/>
  <c r="AE653" i="2"/>
  <c r="AE652" i="2"/>
  <c r="AI652" i="2" s="1"/>
  <c r="AE651" i="2"/>
  <c r="AI651" i="2" s="1"/>
  <c r="AE650" i="2"/>
  <c r="AI650" i="2" s="1"/>
  <c r="AE649" i="2"/>
  <c r="AI649" i="2" s="1"/>
  <c r="AE648" i="2"/>
  <c r="AI648" i="2" s="1"/>
  <c r="AE647" i="2"/>
  <c r="AI647" i="2" s="1"/>
  <c r="AI646" i="2"/>
  <c r="AE646" i="2"/>
  <c r="AI645" i="2"/>
  <c r="AE645" i="2"/>
  <c r="AE644" i="2"/>
  <c r="AI644" i="2" s="1"/>
  <c r="AE643" i="2"/>
  <c r="AI643" i="2" s="1"/>
  <c r="AE642" i="2"/>
  <c r="AI642" i="2" s="1"/>
  <c r="AE641" i="2"/>
  <c r="AI641" i="2" s="1"/>
  <c r="AE640" i="2"/>
  <c r="AI640" i="2" s="1"/>
  <c r="AE639" i="2"/>
  <c r="AI639" i="2" s="1"/>
  <c r="AI638" i="2"/>
  <c r="AE638" i="2"/>
  <c r="AI637" i="2"/>
  <c r="AE637" i="2"/>
  <c r="AE636" i="2"/>
  <c r="AI636" i="2" s="1"/>
  <c r="AE635" i="2"/>
  <c r="AI635" i="2" s="1"/>
  <c r="AE634" i="2"/>
  <c r="AI634" i="2" s="1"/>
  <c r="AE633" i="2"/>
  <c r="AI633" i="2" s="1"/>
  <c r="AE632" i="2"/>
  <c r="AI632" i="2" s="1"/>
  <c r="AE631" i="2"/>
  <c r="AI631" i="2" s="1"/>
  <c r="AE630" i="2"/>
  <c r="AI630" i="2" s="1"/>
  <c r="AE629" i="2"/>
  <c r="AI629" i="2" s="1"/>
  <c r="AE628" i="2"/>
  <c r="AI628" i="2" s="1"/>
  <c r="AE627" i="2"/>
  <c r="AI627" i="2" s="1"/>
  <c r="AE626" i="2"/>
  <c r="AI626" i="2" s="1"/>
  <c r="AE625" i="2"/>
  <c r="AI625" i="2" s="1"/>
  <c r="AE624" i="2"/>
  <c r="AI624" i="2" s="1"/>
  <c r="AE623" i="2"/>
  <c r="AI623" i="2" s="1"/>
  <c r="AE621" i="2"/>
  <c r="AI621" i="2" s="1"/>
  <c r="AE620" i="2"/>
  <c r="AI620" i="2" s="1"/>
  <c r="AE619" i="2"/>
  <c r="AI619" i="2" s="1"/>
  <c r="AA618" i="2"/>
  <c r="AE617" i="2"/>
  <c r="P619" i="2"/>
  <c r="P618" i="2"/>
  <c r="P617" i="2"/>
  <c r="S617" i="2"/>
  <c r="U660" i="2"/>
  <c r="R660" i="2"/>
  <c r="Q660" i="2"/>
  <c r="W658" i="2"/>
  <c r="W657" i="2"/>
  <c r="S657" i="2"/>
  <c r="W656" i="2"/>
  <c r="W655" i="2"/>
  <c r="S655" i="2"/>
  <c r="S654" i="2"/>
  <c r="W654" i="2" s="1"/>
  <c r="W653" i="2"/>
  <c r="S653" i="2"/>
  <c r="S652" i="2"/>
  <c r="W652" i="2" s="1"/>
  <c r="S651" i="2"/>
  <c r="W651" i="2" s="1"/>
  <c r="S650" i="2"/>
  <c r="W650" i="2" s="1"/>
  <c r="S649" i="2"/>
  <c r="W649" i="2" s="1"/>
  <c r="S648" i="2"/>
  <c r="W648" i="2" s="1"/>
  <c r="W647" i="2"/>
  <c r="S647" i="2"/>
  <c r="S646" i="2"/>
  <c r="W646" i="2" s="1"/>
  <c r="W645" i="2"/>
  <c r="S645" i="2"/>
  <c r="S644" i="2"/>
  <c r="W644" i="2" s="1"/>
  <c r="S643" i="2"/>
  <c r="W643" i="2" s="1"/>
  <c r="S642" i="2"/>
  <c r="W642" i="2" s="1"/>
  <c r="S641" i="2"/>
  <c r="W641" i="2" s="1"/>
  <c r="S640" i="2"/>
  <c r="W640" i="2" s="1"/>
  <c r="W639" i="2"/>
  <c r="S639" i="2"/>
  <c r="S638" i="2"/>
  <c r="W638" i="2" s="1"/>
  <c r="W637" i="2"/>
  <c r="S637" i="2"/>
  <c r="S636" i="2"/>
  <c r="W636" i="2" s="1"/>
  <c r="S635" i="2"/>
  <c r="W635" i="2" s="1"/>
  <c r="S634" i="2"/>
  <c r="W634" i="2" s="1"/>
  <c r="S633" i="2"/>
  <c r="W633" i="2" s="1"/>
  <c r="S632" i="2"/>
  <c r="W632" i="2" s="1"/>
  <c r="W631" i="2"/>
  <c r="S631" i="2"/>
  <c r="S630" i="2"/>
  <c r="W630" i="2" s="1"/>
  <c r="W629" i="2"/>
  <c r="S629" i="2"/>
  <c r="S628" i="2"/>
  <c r="W628" i="2" s="1"/>
  <c r="S627" i="2"/>
  <c r="W627" i="2" s="1"/>
  <c r="S626" i="2"/>
  <c r="W626" i="2" s="1"/>
  <c r="S625" i="2"/>
  <c r="W625" i="2" s="1"/>
  <c r="S624" i="2"/>
  <c r="W624" i="2" s="1"/>
  <c r="W623" i="2"/>
  <c r="S623" i="2"/>
  <c r="S622" i="2"/>
  <c r="W622" i="2" s="1"/>
  <c r="S621" i="2"/>
  <c r="W621" i="2" s="1"/>
  <c r="S620" i="2"/>
  <c r="W620" i="2" s="1"/>
  <c r="S619" i="2"/>
  <c r="W619" i="2" s="1"/>
  <c r="P660" i="2"/>
  <c r="O618" i="2"/>
  <c r="O619" i="2" s="1"/>
  <c r="V660" i="2"/>
  <c r="D629" i="2"/>
  <c r="G629" i="2" s="1"/>
  <c r="K629" i="2" s="1"/>
  <c r="D628" i="2"/>
  <c r="D627" i="2"/>
  <c r="D626" i="2"/>
  <c r="D625" i="2"/>
  <c r="G625" i="2" s="1"/>
  <c r="K625" i="2" s="1"/>
  <c r="D624" i="2"/>
  <c r="G624" i="2" s="1"/>
  <c r="K624" i="2" s="1"/>
  <c r="D623" i="2"/>
  <c r="G623" i="2" s="1"/>
  <c r="K623" i="2" s="1"/>
  <c r="D622" i="2"/>
  <c r="D621" i="2"/>
  <c r="G621" i="2" s="1"/>
  <c r="K621" i="2" s="1"/>
  <c r="D620" i="2"/>
  <c r="I619" i="2"/>
  <c r="I660" i="2" s="1"/>
  <c r="D619" i="2"/>
  <c r="J618" i="2"/>
  <c r="D618" i="2"/>
  <c r="D617" i="2"/>
  <c r="G617" i="2" s="1"/>
  <c r="K617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G618" i="2"/>
  <c r="G619" i="2"/>
  <c r="G620" i="2"/>
  <c r="K620" i="2" s="1"/>
  <c r="G622" i="2"/>
  <c r="K622" i="2" s="1"/>
  <c r="G626" i="2"/>
  <c r="K626" i="2" s="1"/>
  <c r="G627" i="2"/>
  <c r="K627" i="2" s="1"/>
  <c r="G628" i="2"/>
  <c r="K628" i="2" s="1"/>
  <c r="G630" i="2"/>
  <c r="K630" i="2" s="1"/>
  <c r="G631" i="2"/>
  <c r="K631" i="2"/>
  <c r="G632" i="2"/>
  <c r="K632" i="2"/>
  <c r="G633" i="2"/>
  <c r="K633" i="2"/>
  <c r="G634" i="2"/>
  <c r="K634" i="2"/>
  <c r="G635" i="2"/>
  <c r="K635" i="2"/>
  <c r="G636" i="2"/>
  <c r="K636" i="2"/>
  <c r="G637" i="2"/>
  <c r="K637" i="2"/>
  <c r="G638" i="2"/>
  <c r="K638" i="2" s="1"/>
  <c r="G639" i="2"/>
  <c r="K639" i="2"/>
  <c r="G640" i="2"/>
  <c r="K640" i="2"/>
  <c r="G641" i="2"/>
  <c r="K641" i="2"/>
  <c r="G642" i="2"/>
  <c r="K642" i="2"/>
  <c r="G643" i="2"/>
  <c r="K643" i="2"/>
  <c r="G644" i="2"/>
  <c r="K644" i="2"/>
  <c r="G645" i="2"/>
  <c r="K645" i="2"/>
  <c r="G646" i="2"/>
  <c r="K646" i="2" s="1"/>
  <c r="G647" i="2"/>
  <c r="K647" i="2"/>
  <c r="G648" i="2"/>
  <c r="K648" i="2"/>
  <c r="G649" i="2"/>
  <c r="K649" i="2"/>
  <c r="G650" i="2"/>
  <c r="K650" i="2"/>
  <c r="G657" i="2"/>
  <c r="K657" i="2"/>
  <c r="E660" i="2"/>
  <c r="F660" i="2"/>
  <c r="J660" i="2"/>
  <c r="K672" i="2" l="1"/>
  <c r="K715" i="2" s="1"/>
  <c r="G715" i="2"/>
  <c r="AB660" i="2"/>
  <c r="AI617" i="2"/>
  <c r="AE618" i="2"/>
  <c r="AI618" i="2" s="1"/>
  <c r="W617" i="2"/>
  <c r="S618" i="2"/>
  <c r="W618" i="2" s="1"/>
  <c r="K619" i="2"/>
  <c r="K618" i="2"/>
  <c r="G660" i="2"/>
  <c r="D660" i="2"/>
  <c r="J23" i="1"/>
  <c r="D23" i="1" s="1"/>
  <c r="AB511" i="2"/>
  <c r="AB510" i="2"/>
  <c r="AG509" i="2"/>
  <c r="AB509" i="2"/>
  <c r="AB508" i="2"/>
  <c r="AB507" i="2"/>
  <c r="AE507" i="2" s="1"/>
  <c r="AI507" i="2" s="1"/>
  <c r="AA508" i="2"/>
  <c r="AA509" i="2" s="1"/>
  <c r="AA511" i="2" s="1"/>
  <c r="AE508" i="2"/>
  <c r="AI508" i="2" s="1"/>
  <c r="AE509" i="2"/>
  <c r="AI509" i="2" s="1"/>
  <c r="AE510" i="2"/>
  <c r="AI510" i="2" s="1"/>
  <c r="AE511" i="2"/>
  <c r="AI511" i="2" s="1"/>
  <c r="AE512" i="2"/>
  <c r="AI512" i="2" s="1"/>
  <c r="AE513" i="2"/>
  <c r="AI513" i="2"/>
  <c r="AE514" i="2"/>
  <c r="AI514" i="2"/>
  <c r="AE515" i="2"/>
  <c r="AI515" i="2"/>
  <c r="AE516" i="2"/>
  <c r="AI516" i="2"/>
  <c r="AE517" i="2"/>
  <c r="AI517" i="2" s="1"/>
  <c r="AE518" i="2"/>
  <c r="AI518" i="2"/>
  <c r="AE519" i="2"/>
  <c r="AI519" i="2"/>
  <c r="AE520" i="2"/>
  <c r="AI520" i="2" s="1"/>
  <c r="AE521" i="2"/>
  <c r="AI521" i="2"/>
  <c r="AE522" i="2"/>
  <c r="AI522" i="2"/>
  <c r="AE523" i="2"/>
  <c r="AI523" i="2"/>
  <c r="AE524" i="2"/>
  <c r="AI524" i="2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/>
  <c r="AE531" i="2"/>
  <c r="AI531" i="2"/>
  <c r="AE532" i="2"/>
  <c r="AI532" i="2"/>
  <c r="AE533" i="2"/>
  <c r="AI533" i="2" s="1"/>
  <c r="AE534" i="2"/>
  <c r="AI534" i="2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AG550" i="2"/>
  <c r="AH550" i="2"/>
  <c r="AE660" i="2" l="1"/>
  <c r="AI660" i="2"/>
  <c r="S660" i="2"/>
  <c r="W660" i="2"/>
  <c r="K660" i="2"/>
  <c r="AI550" i="2"/>
  <c r="AE550" i="2"/>
  <c r="AB550" i="2"/>
  <c r="D563" i="2"/>
  <c r="J562" i="2"/>
  <c r="I562" i="2"/>
  <c r="D562" i="2"/>
  <c r="G562" i="2" l="1"/>
  <c r="C563" i="2"/>
  <c r="G563" i="2"/>
  <c r="K563" i="2"/>
  <c r="G564" i="2"/>
  <c r="K564" i="2" s="1"/>
  <c r="G565" i="2"/>
  <c r="K565" i="2"/>
  <c r="G566" i="2"/>
  <c r="K566" i="2" s="1"/>
  <c r="G567" i="2"/>
  <c r="K567" i="2" s="1"/>
  <c r="G568" i="2"/>
  <c r="K568" i="2" s="1"/>
  <c r="G569" i="2"/>
  <c r="K569" i="2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/>
  <c r="G577" i="2"/>
  <c r="K577" i="2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/>
  <c r="G586" i="2"/>
  <c r="K586" i="2"/>
  <c r="G587" i="2"/>
  <c r="K587" i="2" s="1"/>
  <c r="G588" i="2"/>
  <c r="K588" i="2"/>
  <c r="G589" i="2"/>
  <c r="K589" i="2"/>
  <c r="G590" i="2"/>
  <c r="K590" i="2"/>
  <c r="G591" i="2"/>
  <c r="K591" i="2"/>
  <c r="G592" i="2"/>
  <c r="K592" i="2"/>
  <c r="G593" i="2"/>
  <c r="K593" i="2"/>
  <c r="G594" i="2"/>
  <c r="K594" i="2"/>
  <c r="G595" i="2"/>
  <c r="K595" i="2" s="1"/>
  <c r="G602" i="2"/>
  <c r="K602" i="2"/>
  <c r="D605" i="2"/>
  <c r="E605" i="2"/>
  <c r="F605" i="2"/>
  <c r="I605" i="2"/>
  <c r="J605" i="2"/>
  <c r="K562" i="2" l="1"/>
  <c r="K605" i="2" s="1"/>
  <c r="G605" i="2"/>
  <c r="P512" i="2"/>
  <c r="S512" i="2" s="1"/>
  <c r="W512" i="2" s="1"/>
  <c r="P511" i="2"/>
  <c r="S511" i="2" s="1"/>
  <c r="W511" i="2" s="1"/>
  <c r="P510" i="2"/>
  <c r="S510" i="2" s="1"/>
  <c r="W510" i="2" s="1"/>
  <c r="P509" i="2"/>
  <c r="P508" i="2"/>
  <c r="V507" i="2"/>
  <c r="V550" i="2" s="1"/>
  <c r="U507" i="2"/>
  <c r="U550" i="2" s="1"/>
  <c r="P507" i="2"/>
  <c r="S507" i="2"/>
  <c r="O508" i="2"/>
  <c r="O509" i="2" s="1"/>
  <c r="O510" i="2" s="1"/>
  <c r="O511" i="2" s="1"/>
  <c r="O512" i="2" s="1"/>
  <c r="S508" i="2"/>
  <c r="W508" i="2" s="1"/>
  <c r="S509" i="2"/>
  <c r="W509" i="2" s="1"/>
  <c r="S513" i="2"/>
  <c r="W513" i="2" s="1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 s="1"/>
  <c r="S520" i="2"/>
  <c r="W520" i="2" s="1"/>
  <c r="S521" i="2"/>
  <c r="W521" i="2" s="1"/>
  <c r="S522" i="2"/>
  <c r="W522" i="2" s="1"/>
  <c r="S523" i="2"/>
  <c r="W523" i="2" s="1"/>
  <c r="S524" i="2"/>
  <c r="W524" i="2" s="1"/>
  <c r="S525" i="2"/>
  <c r="W525" i="2" s="1"/>
  <c r="S526" i="2"/>
  <c r="W526" i="2" s="1"/>
  <c r="S527" i="2"/>
  <c r="W527" i="2"/>
  <c r="S528" i="2"/>
  <c r="W528" i="2"/>
  <c r="S529" i="2"/>
  <c r="W529" i="2" s="1"/>
  <c r="S530" i="2"/>
  <c r="W530" i="2" s="1"/>
  <c r="S531" i="2"/>
  <c r="W531" i="2"/>
  <c r="S532" i="2"/>
  <c r="W532" i="2"/>
  <c r="S533" i="2"/>
  <c r="W533" i="2" s="1"/>
  <c r="S534" i="2"/>
  <c r="W534" i="2"/>
  <c r="S535" i="2"/>
  <c r="W535" i="2"/>
  <c r="S536" i="2"/>
  <c r="W536" i="2"/>
  <c r="S537" i="2"/>
  <c r="W537" i="2" s="1"/>
  <c r="S538" i="2"/>
  <c r="W538" i="2" s="1"/>
  <c r="S539" i="2"/>
  <c r="W539" i="2"/>
  <c r="S540" i="2"/>
  <c r="W540" i="2"/>
  <c r="S541" i="2"/>
  <c r="W541" i="2" s="1"/>
  <c r="S542" i="2"/>
  <c r="W542" i="2"/>
  <c r="S543" i="2"/>
  <c r="W543" i="2"/>
  <c r="S544" i="2"/>
  <c r="W544" i="2"/>
  <c r="S545" i="2"/>
  <c r="W545" i="2" s="1"/>
  <c r="W546" i="2"/>
  <c r="S547" i="2"/>
  <c r="W547" i="2"/>
  <c r="W548" i="2"/>
  <c r="Q550" i="2"/>
  <c r="R550" i="2"/>
  <c r="D514" i="2"/>
  <c r="G514" i="2" s="1"/>
  <c r="K514" i="2" s="1"/>
  <c r="D513" i="2"/>
  <c r="D512" i="2"/>
  <c r="D511" i="2"/>
  <c r="D510" i="2"/>
  <c r="G510" i="2" s="1"/>
  <c r="K510" i="2" s="1"/>
  <c r="D509" i="2"/>
  <c r="G509" i="2" s="1"/>
  <c r="K509" i="2" s="1"/>
  <c r="D508" i="2"/>
  <c r="D507" i="2"/>
  <c r="G507" i="2" s="1"/>
  <c r="K507" i="2" s="1"/>
  <c r="C508" i="2"/>
  <c r="C509" i="2" s="1"/>
  <c r="C510" i="2" s="1"/>
  <c r="C511" i="2" s="1"/>
  <c r="C512" i="2" s="1"/>
  <c r="C513" i="2" s="1"/>
  <c r="C514" i="2" s="1"/>
  <c r="G508" i="2"/>
  <c r="G511" i="2"/>
  <c r="K511" i="2" s="1"/>
  <c r="G512" i="2"/>
  <c r="K512" i="2" s="1"/>
  <c r="G513" i="2"/>
  <c r="K513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 s="1"/>
  <c r="G528" i="2"/>
  <c r="K528" i="2" s="1"/>
  <c r="G529" i="2"/>
  <c r="K529" i="2" s="1"/>
  <c r="G530" i="2"/>
  <c r="K530" i="2" s="1"/>
  <c r="G531" i="2"/>
  <c r="K531" i="2"/>
  <c r="G532" i="2"/>
  <c r="K532" i="2" s="1"/>
  <c r="G533" i="2"/>
  <c r="K533" i="2"/>
  <c r="G534" i="2"/>
  <c r="K534" i="2"/>
  <c r="G535" i="2"/>
  <c r="K535" i="2"/>
  <c r="G536" i="2"/>
  <c r="K536" i="2"/>
  <c r="G537" i="2"/>
  <c r="K537" i="2" s="1"/>
  <c r="G538" i="2"/>
  <c r="K538" i="2" s="1"/>
  <c r="G539" i="2"/>
  <c r="K539" i="2"/>
  <c r="G540" i="2"/>
  <c r="K540" i="2" s="1"/>
  <c r="G547" i="2"/>
  <c r="K547" i="2"/>
  <c r="E550" i="2"/>
  <c r="F550" i="2"/>
  <c r="I550" i="2"/>
  <c r="J550" i="2"/>
  <c r="W507" i="2" l="1"/>
  <c r="W550" i="2" s="1"/>
  <c r="S550" i="2"/>
  <c r="P550" i="2"/>
  <c r="G550" i="2"/>
  <c r="K508" i="2"/>
  <c r="K550" i="2" s="1"/>
  <c r="D550" i="2"/>
  <c r="AH456" i="2"/>
  <c r="AB456" i="2"/>
  <c r="AB455" i="2"/>
  <c r="AB495" i="2" s="1"/>
  <c r="AB454" i="2"/>
  <c r="AE454" i="2" s="1"/>
  <c r="AI454" i="2" s="1"/>
  <c r="AG453" i="2"/>
  <c r="AB453" i="2"/>
  <c r="AB452" i="2"/>
  <c r="AE452" i="2"/>
  <c r="AA453" i="2"/>
  <c r="AE453" i="2"/>
  <c r="AI453" i="2"/>
  <c r="AA454" i="2"/>
  <c r="AA455" i="2" s="1"/>
  <c r="AA456" i="2" s="1"/>
  <c r="AE455" i="2"/>
  <c r="AI455" i="2" s="1"/>
  <c r="AE456" i="2"/>
  <c r="AI456" i="2" s="1"/>
  <c r="AE457" i="2"/>
  <c r="AI457" i="2"/>
  <c r="AE458" i="2"/>
  <c r="AI458" i="2"/>
  <c r="AE459" i="2"/>
  <c r="AI459" i="2" s="1"/>
  <c r="AE460" i="2"/>
  <c r="AI460" i="2" s="1"/>
  <c r="AE461" i="2"/>
  <c r="AI461" i="2"/>
  <c r="AE462" i="2"/>
  <c r="AI462" i="2"/>
  <c r="AE463" i="2"/>
  <c r="AI463" i="2" s="1"/>
  <c r="AE464" i="2"/>
  <c r="AI464" i="2"/>
  <c r="AE465" i="2"/>
  <c r="AI465" i="2"/>
  <c r="AE466" i="2"/>
  <c r="AI466" i="2"/>
  <c r="AE467" i="2"/>
  <c r="AI467" i="2"/>
  <c r="AE468" i="2"/>
  <c r="AI468" i="2"/>
  <c r="AE469" i="2"/>
  <c r="AI469" i="2"/>
  <c r="AE470" i="2"/>
  <c r="AI470" i="2"/>
  <c r="AE471" i="2"/>
  <c r="AI471" i="2"/>
  <c r="AE472" i="2"/>
  <c r="AI472" i="2"/>
  <c r="AE473" i="2"/>
  <c r="AI473" i="2"/>
  <c r="AE474" i="2"/>
  <c r="AI474" i="2"/>
  <c r="AE475" i="2"/>
  <c r="AI475" i="2"/>
  <c r="AE476" i="2"/>
  <c r="AI476" i="2"/>
  <c r="AE477" i="2"/>
  <c r="AI477" i="2"/>
  <c r="AE478" i="2"/>
  <c r="AI478" i="2"/>
  <c r="AE479" i="2"/>
  <c r="AI479" i="2"/>
  <c r="AE480" i="2"/>
  <c r="AI480" i="2"/>
  <c r="AE481" i="2"/>
  <c r="AI481" i="2"/>
  <c r="AE482" i="2"/>
  <c r="AI482" i="2"/>
  <c r="AE483" i="2"/>
  <c r="AI483" i="2"/>
  <c r="AE484" i="2"/>
  <c r="AI484" i="2"/>
  <c r="AE485" i="2"/>
  <c r="AI485" i="2"/>
  <c r="AE486" i="2"/>
  <c r="AI486" i="2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G495" i="2"/>
  <c r="AH495" i="2"/>
  <c r="P470" i="2"/>
  <c r="P469" i="2"/>
  <c r="S469" i="2" s="1"/>
  <c r="W469" i="2" s="1"/>
  <c r="P468" i="2"/>
  <c r="P467" i="2"/>
  <c r="S467" i="2" s="1"/>
  <c r="W467" i="2" s="1"/>
  <c r="P466" i="2"/>
  <c r="S466" i="2" s="1"/>
  <c r="W466" i="2" s="1"/>
  <c r="P465" i="2"/>
  <c r="S465" i="2" s="1"/>
  <c r="W465" i="2" s="1"/>
  <c r="P464" i="2"/>
  <c r="P463" i="2"/>
  <c r="P462" i="2"/>
  <c r="P461" i="2"/>
  <c r="P460" i="2"/>
  <c r="P459" i="2"/>
  <c r="S459" i="2" s="1"/>
  <c r="W459" i="2" s="1"/>
  <c r="P458" i="2"/>
  <c r="S458" i="2" s="1"/>
  <c r="W458" i="2" s="1"/>
  <c r="S457" i="2"/>
  <c r="W457" i="2" s="1"/>
  <c r="P456" i="2"/>
  <c r="P455" i="2"/>
  <c r="S455" i="2"/>
  <c r="W455" i="2" s="1"/>
  <c r="P454" i="2"/>
  <c r="P453" i="2"/>
  <c r="P452" i="2"/>
  <c r="O456" i="2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S452" i="2"/>
  <c r="W452" i="2" s="1"/>
  <c r="O453" i="2"/>
  <c r="O454" i="2" s="1"/>
  <c r="O455" i="2" s="1"/>
  <c r="S453" i="2"/>
  <c r="S454" i="2"/>
  <c r="W454" i="2" s="1"/>
  <c r="S456" i="2"/>
  <c r="W456" i="2" s="1"/>
  <c r="S460" i="2"/>
  <c r="W460" i="2" s="1"/>
  <c r="S461" i="2"/>
  <c r="W461" i="2" s="1"/>
  <c r="S462" i="2"/>
  <c r="W462" i="2" s="1"/>
  <c r="S463" i="2"/>
  <c r="W463" i="2" s="1"/>
  <c r="S464" i="2"/>
  <c r="W464" i="2" s="1"/>
  <c r="S468" i="2"/>
  <c r="W468" i="2" s="1"/>
  <c r="S470" i="2"/>
  <c r="W470" i="2" s="1"/>
  <c r="S471" i="2"/>
  <c r="W471" i="2" s="1"/>
  <c r="S472" i="2"/>
  <c r="W472" i="2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D476" i="2"/>
  <c r="D475" i="2"/>
  <c r="D474" i="2"/>
  <c r="I473" i="2"/>
  <c r="D473" i="2"/>
  <c r="D472" i="2"/>
  <c r="G472" i="2" s="1"/>
  <c r="K472" i="2" s="1"/>
  <c r="D471" i="2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D454" i="2"/>
  <c r="D453" i="2"/>
  <c r="G453" i="2" s="1"/>
  <c r="K453" i="2" s="1"/>
  <c r="I453" i="2"/>
  <c r="D452" i="2"/>
  <c r="G452" i="2" s="1"/>
  <c r="C453" i="2"/>
  <c r="C454" i="2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G454" i="2"/>
  <c r="K454" i="2" s="1"/>
  <c r="G455" i="2"/>
  <c r="K455" i="2" s="1"/>
  <c r="G461" i="2"/>
  <c r="K461" i="2" s="1"/>
  <c r="G464" i="2"/>
  <c r="K464" i="2" s="1"/>
  <c r="G465" i="2"/>
  <c r="K465" i="2" s="1"/>
  <c r="G471" i="2"/>
  <c r="K471" i="2" s="1"/>
  <c r="G473" i="2"/>
  <c r="K473" i="2" s="1"/>
  <c r="G474" i="2"/>
  <c r="K474" i="2" s="1"/>
  <c r="G475" i="2"/>
  <c r="K475" i="2" s="1"/>
  <c r="G476" i="2"/>
  <c r="K476" i="2" s="1"/>
  <c r="G477" i="2"/>
  <c r="K477" i="2" s="1"/>
  <c r="G478" i="2"/>
  <c r="K478" i="2" s="1"/>
  <c r="G479" i="2"/>
  <c r="K479" i="2" s="1"/>
  <c r="G480" i="2"/>
  <c r="K480" i="2"/>
  <c r="G481" i="2"/>
  <c r="K481" i="2" s="1"/>
  <c r="G482" i="2"/>
  <c r="K482" i="2"/>
  <c r="G483" i="2"/>
  <c r="K483" i="2" s="1"/>
  <c r="G484" i="2"/>
  <c r="K484" i="2"/>
  <c r="G485" i="2"/>
  <c r="K485" i="2" s="1"/>
  <c r="G492" i="2"/>
  <c r="K492" i="2"/>
  <c r="E495" i="2"/>
  <c r="F495" i="2"/>
  <c r="I495" i="2"/>
  <c r="J495" i="2"/>
  <c r="AE495" i="2" l="1"/>
  <c r="AI452" i="2"/>
  <c r="AI495" i="2" s="1"/>
  <c r="P495" i="2"/>
  <c r="W453" i="2"/>
  <c r="W495" i="2" s="1"/>
  <c r="S495" i="2"/>
  <c r="K452" i="2"/>
  <c r="K495" i="2" s="1"/>
  <c r="G495" i="2"/>
  <c r="D495" i="2"/>
  <c r="AB404" i="2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J32" i="1"/>
  <c r="D32" i="1" s="1"/>
  <c r="J33" i="1"/>
  <c r="D33" i="1" s="1"/>
  <c r="J34" i="1"/>
  <c r="D34" i="1" s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D21" i="1" s="1"/>
  <c r="J12" i="1"/>
  <c r="D12" i="1" s="1"/>
  <c r="J13" i="1"/>
  <c r="D13" i="1" s="1"/>
  <c r="J14" i="1"/>
  <c r="D14" i="1" s="1"/>
  <c r="J15" i="1"/>
  <c r="D15" i="1" s="1"/>
  <c r="D39" i="1"/>
  <c r="D40" i="1"/>
  <c r="D36" i="1"/>
  <c r="D26" i="1"/>
  <c r="D20" i="1"/>
  <c r="J29" i="1" l="1"/>
  <c r="D29" i="1" s="1"/>
  <c r="J31" i="1"/>
  <c r="D31" i="1" s="1"/>
  <c r="J22" i="1"/>
  <c r="D22" i="1" s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24" i="1" s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07" authorId="0" shapeId="0" xr:uid="{DFE90899-62A2-4B32-908D-64FD74A798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1002" authorId="0" shapeId="0" xr:uid="{045DD184-E223-48E9-891D-0B77BCB1F6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VAR. STORE
GUNYAN, SIAYAN</t>
        </r>
      </text>
    </comment>
    <comment ref="C1003" authorId="0" shapeId="0" xr:uid="{19AA551F-EA99-47E9-AF2F-D871550260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057" authorId="0" shapeId="0" xr:uid="{AE26494A-5D2E-4578-AAE1-2A774906DF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 TAMPUS
POB, SINDANGAN</t>
        </r>
      </text>
    </comment>
    <comment ref="O1057" authorId="0" shapeId="0" xr:uid="{DCDDB06E-DA48-4F2F-B91D-A09C3C2E08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POB, BACUNGAN</t>
        </r>
      </text>
    </comment>
    <comment ref="AA1057" authorId="0" shapeId="0" xr:uid="{97455140-2581-4508-93F4-B76B069974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1058" authorId="0" shapeId="0" xr:uid="{8BD19900-C12A-4583-9583-AAE49651B1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ANJES STORE
DAPAON, SINDANGAN</t>
        </r>
      </text>
    </comment>
    <comment ref="O1058" authorId="0" shapeId="0" xr:uid="{4B84365F-336B-435C-BA65-EAC5411D38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POB, BACUNGAN</t>
        </r>
      </text>
    </comment>
    <comment ref="AA1058" authorId="0" shapeId="0" xr:uid="{EE1E1B62-AC72-4F7C-9801-5EB1E508BF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BAYBAY, LILOY</t>
        </r>
      </text>
    </comment>
    <comment ref="C1059" authorId="0" shapeId="0" xr:uid="{4D120EB0-53D9-4ADA-AF33-BF5E375421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AA1059" authorId="0" shapeId="0" xr:uid="{DF9C42A7-AF03-4435-BC13-DD41BFB7E9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JODI'S VARIETY STORE
BAYBAY, LILOY</t>
        </r>
      </text>
    </comment>
    <comment ref="C1060" authorId="0" shapeId="0" xr:uid="{5D41E271-3D45-425C-AFD2-4A8B01F3968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ABRAHAM ANIÑON
DISUD, SINDANGAN</t>
        </r>
      </text>
    </comment>
    <comment ref="C1061" authorId="0" shapeId="0" xr:uid="{8E638FF3-0711-4440-BA7B-C7B511A3605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WIILLS STORE
DISUD, SINDANGAN</t>
        </r>
      </text>
    </comment>
    <comment ref="C1062" authorId="0" shapeId="0" xr:uid="{54710156-AE9C-4FF0-8ED6-354C9D2965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1063" authorId="0" shapeId="0" xr:uid="{AC8F6D79-C4E4-45BC-8AB5-32BF306EAD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1064" authorId="0" shapeId="0" xr:uid="{DF1A2D8D-5C14-4C8C-9292-8C2C0A7AC6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</commentList>
</comments>
</file>

<file path=xl/sharedStrings.xml><?xml version="1.0" encoding="utf-8"?>
<sst xmlns="http://schemas.openxmlformats.org/spreadsheetml/2006/main" count="1449" uniqueCount="96">
  <si>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</si>
  <si>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</si>
  <si>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</si>
  <si>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</si>
  <si>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</si>
  <si>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</si>
  <si>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</si>
  <si>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</si>
  <si>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</si>
  <si>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</si>
  <si>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</si>
  <si>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</si>
  <si>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</si>
  <si>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</si>
  <si>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</si>
  <si>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</si>
  <si>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</si>
  <si>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</si>
  <si>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</si>
  <si>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</si>
  <si>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</si>
  <si>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</si>
  <si>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</si>
  <si>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</si>
  <si>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</si>
  <si>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</si>
  <si>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</si>
  <si>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</si>
  <si>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</si>
  <si>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</si>
  <si>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</si>
  <si>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</si>
  <si>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</si>
  <si>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</si>
  <si>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</si>
  <si>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</si>
  <si>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</si>
  <si>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</si>
  <si>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</si>
  <si>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</si>
  <si>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</si>
  <si>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</si>
  <si>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</si>
  <si>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</si>
  <si>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</si>
  <si>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</si>
  <si>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</si>
  <si>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</si>
  <si>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</si>
  <si>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</si>
  <si>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</si>
  <si>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</si>
  <si>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</si>
  <si>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</si>
  <si>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</si>
  <si>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</si>
  <si>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</si>
  <si>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</si>
  <si>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</si>
  <si>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</si>
  <si>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</si>
  <si>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</si>
  <si>
    <t>SEPTEMBER 12. 2025</t>
  </si>
  <si>
    <t>5867-5891/5901-5919/5492-5496</t>
  </si>
  <si>
    <t>SEPTEMBER 13. 2025</t>
  </si>
  <si>
    <t>09/13/2025</t>
  </si>
  <si>
    <t>SEPTEMBER 14. 2025</t>
  </si>
  <si>
    <t>09/14/2025</t>
  </si>
  <si>
    <t>5892-5899/5920-5925/5801-5803,5497-5498</t>
  </si>
  <si>
    <t>5804-5805</t>
  </si>
  <si>
    <t>SEPTEMBER 15. 2025</t>
  </si>
  <si>
    <t>09/15/2025</t>
  </si>
  <si>
    <t>5951-5963/5926-5928/5499-5500,5806-5810</t>
  </si>
  <si>
    <t>SEPTEMBER 16. 2025</t>
  </si>
  <si>
    <t>09/16/2025</t>
  </si>
  <si>
    <t>SEPTEMBER 18. 2025</t>
  </si>
  <si>
    <t>09/18/2025</t>
  </si>
  <si>
    <t>5985-5988/5940-5941/5820-5823</t>
  </si>
  <si>
    <t>SEPTEMBER 19. 2025</t>
  </si>
  <si>
    <t>09/19/2025</t>
  </si>
  <si>
    <t>5900,5964-5984/5929-5939/5811-5819,6052-6053</t>
  </si>
  <si>
    <t>5989-6000/5942-6010/5824-5828</t>
  </si>
  <si>
    <t>SEPTEMBER 20. 2025</t>
  </si>
  <si>
    <t>09/20/2025</t>
  </si>
  <si>
    <t>6101-6114/6011-6017/5829-5834</t>
  </si>
  <si>
    <t>SEPTEMBER 22. 2025</t>
  </si>
  <si>
    <t>09/22/2025</t>
  </si>
  <si>
    <t>6115-6136/6018-6026/6054-6057</t>
  </si>
  <si>
    <t>SEPTEMBER 23. 2025</t>
  </si>
  <si>
    <t>09/23/2025</t>
  </si>
  <si>
    <t>6137-6163/6027-6041/6058-6060</t>
  </si>
  <si>
    <t>PORMENTO, ESTEMARK</t>
  </si>
  <si>
    <t>6164-6165</t>
  </si>
  <si>
    <t>SEPTEMBER 25. 2025</t>
  </si>
  <si>
    <t>09/25/2025</t>
  </si>
  <si>
    <t>6166-6173/6042-6043/6061-6063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</si>
</sst>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1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topLeftCell="A10" zoomScaleNormal="100" workbookViewId="0">
      <selection activeCell="F35" sqref="F35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08" t="s">
        <v>38</v>
      </c>
      <c r="B6" s="108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44" t="s">
        <v>47</v>
      </c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 t="s">
        <v>63</v>
      </c>
      <c r="D21" s="16">
        <f t="shared" si="0"/>
        <v>666015</v>
      </c>
      <c r="F21" s="14">
        <v>144937</v>
      </c>
      <c r="G21" s="14">
        <v>164768</v>
      </c>
      <c r="H21" s="14">
        <v>356310</v>
      </c>
      <c r="I21" s="14"/>
      <c r="J21" s="17">
        <f t="shared" si="1"/>
        <v>666015</v>
      </c>
    </row>
    <row r="22" spans="1:10" x14ac:dyDescent="0.25">
      <c r="A22" s="10">
        <f t="shared" si="2"/>
        <v>13</v>
      </c>
      <c r="B22" s="56" t="s">
        <v>5</v>
      </c>
      <c r="C22" s="12" t="s">
        <v>68</v>
      </c>
      <c r="D22" s="16">
        <f t="shared" si="0"/>
        <v>1217351</v>
      </c>
      <c r="F22" s="14">
        <v>231596</v>
      </c>
      <c r="G22" s="14">
        <v>217528.5</v>
      </c>
      <c r="H22" s="14">
        <v>768226.5</v>
      </c>
      <c r="I22" s="14"/>
      <c r="J22" s="17">
        <f t="shared" si="1"/>
        <v>1217351</v>
      </c>
    </row>
    <row r="23" spans="1:10" x14ac:dyDescent="0.25">
      <c r="A23" s="10">
        <f t="shared" si="2"/>
        <v>14</v>
      </c>
      <c r="B23" s="13" t="s">
        <v>6</v>
      </c>
      <c r="C23" s="12" t="s">
        <v>69</v>
      </c>
      <c r="D23" s="16">
        <f t="shared" si="0"/>
        <v>377084</v>
      </c>
      <c r="F23" s="14">
        <v>377084</v>
      </c>
      <c r="G23" s="14"/>
      <c r="H23" s="14"/>
      <c r="I23" s="14"/>
      <c r="J23" s="17">
        <f t="shared" si="1"/>
        <v>377084</v>
      </c>
    </row>
    <row r="24" spans="1:10" x14ac:dyDescent="0.25">
      <c r="A24" s="10">
        <f t="shared" si="2"/>
        <v>15</v>
      </c>
      <c r="B24" s="11" t="s">
        <v>7</v>
      </c>
      <c r="C24" s="12" t="s">
        <v>72</v>
      </c>
      <c r="D24" s="16">
        <f t="shared" si="0"/>
        <v>696084.5</v>
      </c>
      <c r="F24" s="14">
        <v>329483</v>
      </c>
      <c r="G24" s="14">
        <v>170400</v>
      </c>
      <c r="H24" s="14">
        <v>196201.5</v>
      </c>
      <c r="I24" s="14"/>
      <c r="J24" s="17">
        <f t="shared" si="1"/>
        <v>696084.5</v>
      </c>
    </row>
    <row r="25" spans="1:10" x14ac:dyDescent="0.25">
      <c r="A25" s="10">
        <f t="shared" si="2"/>
        <v>16</v>
      </c>
      <c r="B25" s="43" t="s">
        <v>8</v>
      </c>
      <c r="C25" s="12" t="s">
        <v>80</v>
      </c>
      <c r="D25" s="16">
        <f t="shared" si="0"/>
        <v>915406</v>
      </c>
      <c r="F25" s="14">
        <v>249332</v>
      </c>
      <c r="G25" s="14">
        <v>161241</v>
      </c>
      <c r="H25" s="14">
        <v>504833</v>
      </c>
      <c r="I25" s="14"/>
      <c r="J25" s="17">
        <f t="shared" si="1"/>
        <v>915406</v>
      </c>
    </row>
    <row r="26" spans="1:10" x14ac:dyDescent="0.25">
      <c r="A26" s="10">
        <f t="shared" si="2"/>
        <v>17</v>
      </c>
      <c r="B26" s="56" t="s">
        <v>9</v>
      </c>
      <c r="C26" s="44" t="s">
        <v>47</v>
      </c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 t="s">
        <v>77</v>
      </c>
      <c r="D27" s="16">
        <f t="shared" si="0"/>
        <v>1005041</v>
      </c>
      <c r="F27" s="14">
        <v>512050</v>
      </c>
      <c r="G27" s="14">
        <v>384760</v>
      </c>
      <c r="H27" s="14">
        <v>108231</v>
      </c>
      <c r="I27" s="14"/>
      <c r="J27" s="17">
        <f t="shared" si="1"/>
        <v>1005041</v>
      </c>
    </row>
    <row r="28" spans="1:10" x14ac:dyDescent="0.25">
      <c r="A28" s="10">
        <f t="shared" si="2"/>
        <v>19</v>
      </c>
      <c r="B28" s="43" t="s">
        <v>4</v>
      </c>
      <c r="C28" s="12" t="s">
        <v>81</v>
      </c>
      <c r="D28" s="16">
        <f t="shared" si="0"/>
        <v>896513.5</v>
      </c>
      <c r="F28" s="14">
        <v>238500</v>
      </c>
      <c r="G28" s="14">
        <v>201427.5</v>
      </c>
      <c r="H28" s="14">
        <v>456586</v>
      </c>
      <c r="I28" s="14"/>
      <c r="J28" s="17">
        <f t="shared" si="1"/>
        <v>896513.5</v>
      </c>
    </row>
    <row r="29" spans="1:10" x14ac:dyDescent="0.25">
      <c r="A29" s="10">
        <f t="shared" si="2"/>
        <v>20</v>
      </c>
      <c r="B29" s="56" t="s">
        <v>5</v>
      </c>
      <c r="C29" s="12" t="s">
        <v>84</v>
      </c>
      <c r="D29" s="16">
        <f t="shared" si="0"/>
        <v>736554.5</v>
      </c>
      <c r="F29" s="14">
        <v>208918</v>
      </c>
      <c r="G29" s="14">
        <v>117356.5</v>
      </c>
      <c r="H29" s="14">
        <v>410280</v>
      </c>
      <c r="I29" s="14"/>
      <c r="J29" s="17">
        <f t="shared" si="1"/>
        <v>736554.5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 t="s">
        <v>87</v>
      </c>
      <c r="D31" s="16">
        <f t="shared" si="0"/>
        <v>464797.5</v>
      </c>
      <c r="E31" s="14"/>
      <c r="F31" s="14">
        <v>163572.5</v>
      </c>
      <c r="G31" s="14">
        <v>138541</v>
      </c>
      <c r="H31" s="14">
        <v>162684</v>
      </c>
      <c r="I31" s="14"/>
      <c r="J31" s="17">
        <f t="shared" si="1"/>
        <v>464797.5</v>
      </c>
    </row>
    <row r="32" spans="1:10" x14ac:dyDescent="0.25">
      <c r="A32" s="10">
        <f t="shared" si="2"/>
        <v>23</v>
      </c>
      <c r="B32" s="43" t="s">
        <v>8</v>
      </c>
      <c r="C32" s="12" t="s">
        <v>90</v>
      </c>
      <c r="D32" s="16">
        <f t="shared" si="0"/>
        <v>665111.5</v>
      </c>
      <c r="E32" s="15"/>
      <c r="F32" s="15">
        <v>193047.5</v>
      </c>
      <c r="G32" s="14">
        <v>345656</v>
      </c>
      <c r="H32" s="54">
        <v>126408</v>
      </c>
      <c r="I32" s="54"/>
      <c r="J32" s="17">
        <f t="shared" si="1"/>
        <v>665111.5</v>
      </c>
    </row>
    <row r="33" spans="1:10" x14ac:dyDescent="0.25">
      <c r="A33" s="10">
        <f t="shared" si="2"/>
        <v>24</v>
      </c>
      <c r="B33" s="56" t="s">
        <v>9</v>
      </c>
      <c r="C33" s="12" t="s">
        <v>92</v>
      </c>
      <c r="D33" s="16">
        <f t="shared" si="0"/>
        <v>367094</v>
      </c>
      <c r="E33" s="15"/>
      <c r="F33" s="15">
        <v>367094</v>
      </c>
      <c r="G33" s="14"/>
      <c r="H33" s="14"/>
      <c r="I33" s="14"/>
      <c r="J33" s="17">
        <f t="shared" si="1"/>
        <v>367094</v>
      </c>
    </row>
    <row r="34" spans="1:10" x14ac:dyDescent="0.25">
      <c r="A34" s="10">
        <f>A33+1</f>
        <v>25</v>
      </c>
      <c r="B34" s="11" t="s">
        <v>31</v>
      </c>
      <c r="C34" s="12" t="s">
        <v>95</v>
      </c>
      <c r="D34" s="16">
        <f t="shared" si="0"/>
        <v>997274.5</v>
      </c>
      <c r="E34" s="14"/>
      <c r="F34" s="15">
        <v>150635.5</v>
      </c>
      <c r="G34" s="14">
        <v>437414</v>
      </c>
      <c r="H34" s="14">
        <v>409225</v>
      </c>
      <c r="I34" s="14"/>
      <c r="J34" s="17">
        <f t="shared" si="1"/>
        <v>997274.5</v>
      </c>
    </row>
    <row r="35" spans="1:10" x14ac:dyDescent="0.25">
      <c r="A35" s="10">
        <f t="shared" si="2"/>
        <v>26</v>
      </c>
      <c r="B35" s="43" t="s">
        <v>4</v>
      </c>
      <c r="C35" s="12"/>
      <c r="D35" s="16">
        <f t="shared" si="0"/>
        <v>0</v>
      </c>
      <c r="E35" s="14"/>
      <c r="F35" s="14"/>
      <c r="G35" s="14"/>
      <c r="H35" s="14"/>
      <c r="I35" s="14"/>
      <c r="J35" s="17">
        <f t="shared" si="1"/>
        <v>0</v>
      </c>
    </row>
    <row r="36" spans="1:10" x14ac:dyDescent="0.25">
      <c r="A36" s="10">
        <f t="shared" si="2"/>
        <v>27</v>
      </c>
      <c r="B36" s="56" t="s">
        <v>5</v>
      </c>
      <c r="C36" s="12"/>
      <c r="D36" s="16">
        <f t="shared" si="0"/>
        <v>0</v>
      </c>
      <c r="E36" s="14"/>
      <c r="F36" s="14"/>
      <c r="G36" s="14"/>
      <c r="H36" s="14"/>
      <c r="I36" s="14"/>
      <c r="J36" s="17">
        <f t="shared" si="1"/>
        <v>0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09" t="s">
        <v>10</v>
      </c>
      <c r="B42" s="110"/>
      <c r="C42" s="111"/>
      <c r="D42" s="48">
        <f>SUM(D2:D39)</f>
        <v>12641519.5</v>
      </c>
      <c r="J42" s="49">
        <f>SUM(J10:J41)</f>
        <v>12641519.5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A1044" zoomScale="85" zoomScaleNormal="85" workbookViewId="0">
      <selection activeCell="AA1062" sqref="AA1062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6" t="s">
        <v>18</v>
      </c>
      <c r="E10" s="116"/>
      <c r="F10" s="77"/>
      <c r="G10" s="27"/>
      <c r="I10" s="114" t="s">
        <v>19</v>
      </c>
      <c r="J10" s="115"/>
      <c r="K10" s="112" t="s">
        <v>20</v>
      </c>
      <c r="N10" s="25"/>
      <c r="O10" s="26"/>
      <c r="P10" s="116" t="s">
        <v>18</v>
      </c>
      <c r="Q10" s="116"/>
      <c r="R10" s="77"/>
      <c r="S10" s="27"/>
      <c r="U10" s="114" t="s">
        <v>19</v>
      </c>
      <c r="V10" s="115"/>
      <c r="W10" s="112" t="s">
        <v>20</v>
      </c>
      <c r="Z10" s="25"/>
      <c r="AA10" s="26"/>
      <c r="AB10" s="116" t="s">
        <v>18</v>
      </c>
      <c r="AC10" s="116"/>
      <c r="AD10" s="77"/>
      <c r="AE10" s="27"/>
      <c r="AG10" s="114" t="s">
        <v>19</v>
      </c>
      <c r="AH10" s="115"/>
      <c r="AI10" s="112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13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13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13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7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4"/>
      <c r="AM59" s="84"/>
      <c r="AN59" s="84"/>
      <c r="AO59" s="84"/>
      <c r="AP59" s="84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4"/>
      <c r="AM60" s="84"/>
      <c r="AN60" s="84"/>
      <c r="AO60" s="84"/>
      <c r="AP60" s="84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4"/>
      <c r="AM61" s="84"/>
      <c r="AN61" s="84"/>
      <c r="AO61" s="84"/>
      <c r="AP61" s="84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4"/>
      <c r="AM62" s="84"/>
      <c r="AN62" s="84"/>
      <c r="AO62" s="84"/>
      <c r="AP62" s="84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4"/>
      <c r="AM63" s="84"/>
      <c r="AN63" s="84"/>
      <c r="AO63" s="84"/>
      <c r="AP63" s="84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4"/>
      <c r="AM64" s="84"/>
      <c r="AN64" s="84"/>
      <c r="AO64" s="84"/>
      <c r="AP64" s="84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6" t="s">
        <v>18</v>
      </c>
      <c r="E65" s="116"/>
      <c r="F65" s="86"/>
      <c r="G65" s="27"/>
      <c r="I65" s="114" t="s">
        <v>19</v>
      </c>
      <c r="J65" s="115"/>
      <c r="K65" s="112" t="s">
        <v>20</v>
      </c>
      <c r="N65" s="25"/>
      <c r="O65" s="26"/>
      <c r="P65" s="116" t="s">
        <v>18</v>
      </c>
      <c r="Q65" s="116"/>
      <c r="R65" s="86"/>
      <c r="S65" s="27"/>
      <c r="U65" s="114" t="s">
        <v>19</v>
      </c>
      <c r="V65" s="115"/>
      <c r="W65" s="112" t="s">
        <v>20</v>
      </c>
      <c r="Z65" s="25"/>
      <c r="AA65" s="26"/>
      <c r="AB65" s="116" t="s">
        <v>18</v>
      </c>
      <c r="AC65" s="116"/>
      <c r="AD65" s="86"/>
      <c r="AE65" s="27"/>
      <c r="AG65" s="114" t="s">
        <v>19</v>
      </c>
      <c r="AH65" s="115"/>
      <c r="AI65" s="112" t="s">
        <v>20</v>
      </c>
      <c r="AK65" s="64"/>
      <c r="AL65" s="84"/>
      <c r="AM65" s="84"/>
      <c r="AN65" s="84"/>
      <c r="AO65" s="84"/>
      <c r="AP65" s="84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13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13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13"/>
      <c r="AK66" s="62"/>
      <c r="AL66" s="84"/>
      <c r="AM66" s="84"/>
      <c r="AN66" s="84"/>
      <c r="AO66" s="84"/>
      <c r="AP66" s="84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4"/>
      <c r="AN67" s="118"/>
      <c r="AO67" s="118"/>
      <c r="AP67" s="84"/>
      <c r="AQ67" s="62"/>
      <c r="AR67" s="118"/>
      <c r="AS67" s="118"/>
      <c r="AT67" s="117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4"/>
      <c r="AM68" s="84"/>
      <c r="AN68" s="84"/>
      <c r="AO68" s="85"/>
      <c r="AP68" s="85"/>
      <c r="AQ68" s="62"/>
      <c r="AR68" s="85"/>
      <c r="AS68" s="85"/>
      <c r="AT68" s="117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4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4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4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4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4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4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4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4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4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4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4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4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4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4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4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4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4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4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4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4"/>
      <c r="AN89" s="67"/>
      <c r="AO89" s="84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4"/>
      <c r="AN90" s="68"/>
      <c r="AO90" s="84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4"/>
      <c r="AN92" s="69"/>
      <c r="AO92" s="84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4"/>
      <c r="AN93" s="69"/>
      <c r="AO93" s="84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4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4"/>
      <c r="AN95" s="69"/>
      <c r="AO95" s="84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4"/>
      <c r="AN96" s="69"/>
      <c r="AO96" s="84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4"/>
      <c r="AN97" s="69"/>
      <c r="AO97" s="84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4"/>
      <c r="AN98" s="69"/>
      <c r="AO98" s="84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4"/>
      <c r="AN99" s="69"/>
      <c r="AO99" s="84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4"/>
      <c r="AN100" s="69"/>
      <c r="AO100" s="84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4"/>
      <c r="AN101" s="69"/>
      <c r="AO101" s="84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4"/>
      <c r="AN102" s="69"/>
      <c r="AO102" s="84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4"/>
      <c r="AN103" s="69"/>
      <c r="AO103" s="84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4"/>
      <c r="AN104" s="69"/>
      <c r="AO104" s="84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4"/>
      <c r="AN105" s="69"/>
      <c r="AO105" s="84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4"/>
      <c r="AN106" s="69"/>
      <c r="AO106" s="84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4"/>
      <c r="AN107" s="69"/>
      <c r="AO107" s="84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4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4"/>
      <c r="AN109" s="69"/>
      <c r="AO109" s="84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4"/>
      <c r="AM110" s="84"/>
      <c r="AN110" s="84"/>
      <c r="AO110" s="84"/>
      <c r="AP110" s="84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4"/>
      <c r="AM111" s="84"/>
      <c r="AN111" s="84"/>
      <c r="AO111" s="84"/>
      <c r="AP111" s="84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4"/>
      <c r="AM112" s="84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4"/>
      <c r="AM113" s="84"/>
      <c r="AN113" s="72"/>
      <c r="AO113" s="84"/>
      <c r="AP113" s="84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4"/>
      <c r="AM114" s="84"/>
      <c r="AN114" s="84"/>
      <c r="AO114" s="84"/>
      <c r="AP114" s="84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6" t="s">
        <v>18</v>
      </c>
      <c r="E120" s="116"/>
      <c r="F120" s="89"/>
      <c r="G120" s="27"/>
      <c r="I120" s="114" t="s">
        <v>19</v>
      </c>
      <c r="J120" s="115"/>
      <c r="K120" s="112" t="s">
        <v>20</v>
      </c>
      <c r="N120" s="25"/>
      <c r="O120" s="26"/>
      <c r="P120" s="116" t="s">
        <v>18</v>
      </c>
      <c r="Q120" s="116"/>
      <c r="R120" s="88"/>
      <c r="S120" s="27"/>
      <c r="U120" s="114" t="s">
        <v>19</v>
      </c>
      <c r="V120" s="115"/>
      <c r="W120" s="112" t="s">
        <v>20</v>
      </c>
      <c r="Z120" s="25"/>
      <c r="AA120" s="26"/>
      <c r="AB120" s="116" t="s">
        <v>18</v>
      </c>
      <c r="AC120" s="116"/>
      <c r="AD120" s="88"/>
      <c r="AE120" s="27"/>
      <c r="AG120" s="114" t="s">
        <v>19</v>
      </c>
      <c r="AH120" s="115"/>
      <c r="AI120" s="112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13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13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13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4"/>
      <c r="AM173" s="84"/>
      <c r="AN173" s="84"/>
      <c r="AO173" s="84"/>
      <c r="AP173" s="84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4"/>
      <c r="AM174" s="84"/>
      <c r="AN174" s="84"/>
      <c r="AO174" s="84"/>
      <c r="AP174" s="84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6" t="s">
        <v>18</v>
      </c>
      <c r="E175" s="116"/>
      <c r="F175" s="90"/>
      <c r="G175" s="27"/>
      <c r="I175" s="114" t="s">
        <v>19</v>
      </c>
      <c r="J175" s="115"/>
      <c r="K175" s="112" t="s">
        <v>20</v>
      </c>
      <c r="N175" s="25"/>
      <c r="O175" s="26"/>
      <c r="P175" s="116" t="s">
        <v>18</v>
      </c>
      <c r="Q175" s="116"/>
      <c r="R175" s="90"/>
      <c r="S175" s="27"/>
      <c r="U175" s="114" t="s">
        <v>19</v>
      </c>
      <c r="V175" s="115"/>
      <c r="W175" s="112" t="s">
        <v>20</v>
      </c>
      <c r="Z175" s="25"/>
      <c r="AA175" s="26"/>
      <c r="AB175" s="116" t="s">
        <v>18</v>
      </c>
      <c r="AC175" s="116"/>
      <c r="AD175" s="90"/>
      <c r="AE175" s="27"/>
      <c r="AG175" s="114" t="s">
        <v>19</v>
      </c>
      <c r="AH175" s="115"/>
      <c r="AI175" s="112" t="s">
        <v>20</v>
      </c>
      <c r="AK175" s="62"/>
      <c r="AL175" s="84"/>
      <c r="AM175" s="84"/>
      <c r="AN175" s="84"/>
      <c r="AO175" s="84"/>
      <c r="AP175" s="84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13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13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13"/>
      <c r="AK176" s="63"/>
      <c r="AL176" s="84"/>
      <c r="AM176" s="84"/>
      <c r="AN176" s="84"/>
      <c r="AO176" s="84"/>
      <c r="AP176" s="84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4"/>
      <c r="AM177" s="84"/>
      <c r="AN177" s="84"/>
      <c r="AO177" s="84"/>
      <c r="AP177" s="84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4"/>
      <c r="AM178" s="84"/>
      <c r="AN178" s="84"/>
      <c r="AO178" s="84"/>
      <c r="AP178" s="84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4"/>
      <c r="AM179" s="84"/>
      <c r="AN179" s="84"/>
      <c r="AO179" s="84"/>
      <c r="AP179" s="84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4"/>
      <c r="AM180" s="84"/>
      <c r="AN180" s="84"/>
      <c r="AO180" s="84"/>
      <c r="AP180" s="84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4"/>
      <c r="AN181" s="118"/>
      <c r="AO181" s="118"/>
      <c r="AP181" s="84"/>
      <c r="AQ181" s="62"/>
      <c r="AR181" s="118"/>
      <c r="AS181" s="118"/>
      <c r="AT181" s="117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4"/>
      <c r="AM182" s="84"/>
      <c r="AN182" s="84"/>
      <c r="AO182" s="85"/>
      <c r="AP182" s="85"/>
      <c r="AQ182" s="62"/>
      <c r="AR182" s="85"/>
      <c r="AS182" s="85"/>
      <c r="AT182" s="117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4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4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4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4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4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4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4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4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4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4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4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4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4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4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4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4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4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4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4"/>
      <c r="AN203" s="67"/>
      <c r="AO203" s="84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4"/>
      <c r="AN204" s="68"/>
      <c r="AO204" s="84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4"/>
      <c r="AN206" s="69"/>
      <c r="AO206" s="84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4"/>
      <c r="AN207" s="69"/>
      <c r="AO207" s="84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4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4"/>
      <c r="AN209" s="69"/>
      <c r="AO209" s="84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4"/>
      <c r="AN210" s="69"/>
      <c r="AO210" s="84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4"/>
      <c r="AN211" s="69"/>
      <c r="AO211" s="84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4"/>
      <c r="AN212" s="69"/>
      <c r="AO212" s="84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4"/>
      <c r="AN213" s="69"/>
      <c r="AO213" s="84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4"/>
      <c r="AN214" s="69"/>
      <c r="AO214" s="84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4"/>
      <c r="AN215" s="69"/>
      <c r="AO215" s="84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4"/>
      <c r="AN216" s="69"/>
      <c r="AO216" s="84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4"/>
      <c r="AN217" s="69"/>
      <c r="AO217" s="84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4"/>
      <c r="AN218" s="69"/>
      <c r="AO218" s="84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4"/>
      <c r="AN219" s="69"/>
      <c r="AO219" s="84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4"/>
      <c r="AN220" s="69"/>
      <c r="AO220" s="84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4"/>
      <c r="AN221" s="69"/>
      <c r="AO221" s="84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4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4"/>
      <c r="AN223" s="69"/>
      <c r="AO223" s="84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4"/>
      <c r="AM224" s="84"/>
      <c r="AN224" s="84"/>
      <c r="AO224" s="84"/>
      <c r="AP224" s="84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4"/>
      <c r="AM225" s="84"/>
      <c r="AN225" s="84"/>
      <c r="AO225" s="84"/>
      <c r="AP225" s="84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4"/>
      <c r="AM226" s="84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4"/>
      <c r="AM227" s="84"/>
      <c r="AN227" s="72"/>
      <c r="AO227" s="84"/>
      <c r="AP227" s="84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4"/>
      <c r="AM228" s="84"/>
      <c r="AN228" s="84"/>
      <c r="AO228" s="84"/>
      <c r="AP228" s="84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6" t="s">
        <v>18</v>
      </c>
      <c r="E230" s="116"/>
      <c r="F230" s="91"/>
      <c r="G230" s="27"/>
      <c r="I230" s="114" t="s">
        <v>19</v>
      </c>
      <c r="J230" s="115"/>
      <c r="K230" s="112" t="s">
        <v>20</v>
      </c>
      <c r="N230" s="25"/>
      <c r="O230" s="26"/>
      <c r="P230" s="116" t="s">
        <v>18</v>
      </c>
      <c r="Q230" s="116"/>
      <c r="R230" s="91"/>
      <c r="S230" s="27"/>
      <c r="U230" s="114" t="s">
        <v>19</v>
      </c>
      <c r="V230" s="115"/>
      <c r="W230" s="112" t="s">
        <v>20</v>
      </c>
      <c r="Z230" s="25"/>
      <c r="AA230" s="26"/>
      <c r="AB230" s="116" t="s">
        <v>18</v>
      </c>
      <c r="AC230" s="116"/>
      <c r="AD230" s="91"/>
      <c r="AE230" s="27"/>
      <c r="AG230" s="114" t="s">
        <v>19</v>
      </c>
      <c r="AH230" s="115"/>
      <c r="AI230" s="112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13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13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13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6" t="s">
        <v>18</v>
      </c>
      <c r="E285" s="116"/>
      <c r="F285" s="92"/>
      <c r="G285" s="27"/>
      <c r="I285" s="114" t="s">
        <v>19</v>
      </c>
      <c r="J285" s="115"/>
      <c r="K285" s="112" t="s">
        <v>20</v>
      </c>
      <c r="N285" s="25"/>
      <c r="O285" s="26"/>
      <c r="P285" s="116" t="s">
        <v>18</v>
      </c>
      <c r="Q285" s="116"/>
      <c r="R285" s="92"/>
      <c r="S285" s="27"/>
      <c r="U285" s="114" t="s">
        <v>19</v>
      </c>
      <c r="V285" s="115"/>
      <c r="W285" s="112" t="s">
        <v>20</v>
      </c>
      <c r="Z285" s="25"/>
      <c r="AA285" s="26"/>
      <c r="AB285" s="116" t="s">
        <v>18</v>
      </c>
      <c r="AC285" s="116"/>
      <c r="AD285" s="92"/>
      <c r="AE285" s="27"/>
      <c r="AG285" s="114" t="s">
        <v>19</v>
      </c>
      <c r="AH285" s="115"/>
      <c r="AI285" s="112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13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13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13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6" t="s">
        <v>18</v>
      </c>
      <c r="E340" s="116"/>
      <c r="F340" s="93"/>
      <c r="G340" s="27"/>
      <c r="I340" s="114" t="s">
        <v>19</v>
      </c>
      <c r="J340" s="115"/>
      <c r="K340" s="112" t="s">
        <v>20</v>
      </c>
      <c r="N340" s="25"/>
      <c r="O340" s="26"/>
      <c r="P340" s="116" t="s">
        <v>18</v>
      </c>
      <c r="Q340" s="116"/>
      <c r="R340" s="93"/>
      <c r="S340" s="27"/>
      <c r="U340" s="114" t="s">
        <v>19</v>
      </c>
      <c r="V340" s="115"/>
      <c r="W340" s="112" t="s">
        <v>20</v>
      </c>
      <c r="Z340" s="25"/>
      <c r="AA340" s="26"/>
      <c r="AB340" s="116" t="s">
        <v>18</v>
      </c>
      <c r="AC340" s="116"/>
      <c r="AD340" s="92"/>
      <c r="AE340" s="27"/>
      <c r="AG340" s="114" t="s">
        <v>19</v>
      </c>
      <c r="AH340" s="115"/>
      <c r="AI340" s="112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13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13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13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6" t="s">
        <v>18</v>
      </c>
      <c r="E395" s="116"/>
      <c r="F395" s="94"/>
      <c r="G395" s="27"/>
      <c r="I395" s="114" t="s">
        <v>19</v>
      </c>
      <c r="J395" s="115"/>
      <c r="K395" s="112" t="s">
        <v>20</v>
      </c>
      <c r="N395" s="25"/>
      <c r="O395" s="26"/>
      <c r="P395" s="116" t="s">
        <v>18</v>
      </c>
      <c r="Q395" s="116"/>
      <c r="R395" s="94"/>
      <c r="S395" s="27"/>
      <c r="U395" s="114" t="s">
        <v>19</v>
      </c>
      <c r="V395" s="115"/>
      <c r="W395" s="112" t="s">
        <v>20</v>
      </c>
      <c r="Z395" s="25"/>
      <c r="AA395" s="26"/>
      <c r="AB395" s="116" t="s">
        <v>18</v>
      </c>
      <c r="AC395" s="116"/>
      <c r="AD395" s="94"/>
      <c r="AE395" s="27"/>
      <c r="AG395" s="114" t="s">
        <v>19</v>
      </c>
      <c r="AH395" s="115"/>
      <c r="AI395" s="112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13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13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13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30" si="119">SUM(D397:E397)</f>
        <v>67628</v>
      </c>
      <c r="H397" s="12"/>
      <c r="I397" s="12"/>
      <c r="J397" s="12"/>
      <c r="K397" s="12">
        <f t="shared" ref="K397:K430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35" si="121">SUM(P398:Q398)</f>
        <v>2512</v>
      </c>
      <c r="T398" s="12"/>
      <c r="U398" s="12">
        <v>32</v>
      </c>
      <c r="V398" s="12"/>
      <c r="W398" s="12">
        <f t="shared" ref="W398:W438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35" si="123">SUM(AB398:AC398)</f>
        <v>8504</v>
      </c>
      <c r="AF398" s="12"/>
      <c r="AG398" s="12"/>
      <c r="AH398" s="12"/>
      <c r="AI398" s="12">
        <f t="shared" ref="AI398:AI438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2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00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4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F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49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49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49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62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62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62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6" t="s">
        <v>18</v>
      </c>
      <c r="E450" s="116"/>
      <c r="F450" s="95"/>
      <c r="G450" s="27"/>
      <c r="I450" s="114" t="s">
        <v>19</v>
      </c>
      <c r="J450" s="115"/>
      <c r="K450" s="112" t="s">
        <v>20</v>
      </c>
      <c r="N450" s="25"/>
      <c r="O450" s="26"/>
      <c r="P450" s="116" t="s">
        <v>18</v>
      </c>
      <c r="Q450" s="116"/>
      <c r="R450" s="95"/>
      <c r="S450" s="27"/>
      <c r="U450" s="114" t="s">
        <v>19</v>
      </c>
      <c r="V450" s="115"/>
      <c r="W450" s="112" t="s">
        <v>20</v>
      </c>
      <c r="Z450" s="25"/>
      <c r="AA450" s="26"/>
      <c r="AB450" s="116" t="s">
        <v>18</v>
      </c>
      <c r="AC450" s="116"/>
      <c r="AD450" s="95"/>
      <c r="AE450" s="27"/>
      <c r="AG450" s="114" t="s">
        <v>19</v>
      </c>
      <c r="AH450" s="115"/>
      <c r="AI450" s="112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36</v>
      </c>
      <c r="G451" s="80" t="s">
        <v>25</v>
      </c>
      <c r="I451" s="29" t="s">
        <v>26</v>
      </c>
      <c r="J451" s="29" t="s">
        <v>27</v>
      </c>
      <c r="K451" s="113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36</v>
      </c>
      <c r="S451" s="80" t="s">
        <v>25</v>
      </c>
      <c r="U451" s="29" t="s">
        <v>26</v>
      </c>
      <c r="V451" s="29" t="s">
        <v>27</v>
      </c>
      <c r="W451" s="113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36</v>
      </c>
      <c r="AE451" s="80" t="s">
        <v>25</v>
      </c>
      <c r="AG451" s="29" t="s">
        <v>26</v>
      </c>
      <c r="AH451" s="29" t="s">
        <v>27</v>
      </c>
      <c r="AI451" s="113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46000</v>
      </c>
      <c r="C452" s="31">
        <v>5867</v>
      </c>
      <c r="D452" s="32">
        <f>626+10</f>
        <v>636</v>
      </c>
      <c r="E452" s="32"/>
      <c r="F452" s="32"/>
      <c r="G452" s="32">
        <f t="shared" ref="G452:G485" si="133">SUM(D452:E452)</f>
        <v>636</v>
      </c>
      <c r="H452" s="12"/>
      <c r="I452" s="12"/>
      <c r="J452" s="12"/>
      <c r="K452" s="12">
        <f t="shared" ref="K452:K485" si="134">SUM(G452:J452)</f>
        <v>636</v>
      </c>
      <c r="M452" s="10">
        <v>1</v>
      </c>
      <c r="N452" s="30">
        <v>46000</v>
      </c>
      <c r="O452" s="31">
        <v>5901</v>
      </c>
      <c r="P452" s="32">
        <f>626+596+19</f>
        <v>1241</v>
      </c>
      <c r="Q452" s="32"/>
      <c r="R452" s="32"/>
      <c r="S452" s="32">
        <f>SUM(P452:Q452)</f>
        <v>1241</v>
      </c>
      <c r="T452" s="12"/>
      <c r="U452" s="12"/>
      <c r="V452" s="12"/>
      <c r="W452" s="12">
        <f>SUM(S452:V452)</f>
        <v>1241</v>
      </c>
      <c r="Y452" s="10">
        <v>1</v>
      </c>
      <c r="Z452" s="30">
        <v>46000</v>
      </c>
      <c r="AA452" s="31">
        <v>5492</v>
      </c>
      <c r="AB452" s="32">
        <f>674</f>
        <v>674</v>
      </c>
      <c r="AC452" s="32"/>
      <c r="AD452" s="32"/>
      <c r="AE452" s="32">
        <f>SUM(AB452:AC452)</f>
        <v>674</v>
      </c>
      <c r="AF452" s="12"/>
      <c r="AG452" s="12"/>
      <c r="AH452" s="12"/>
      <c r="AI452" s="12">
        <f>SUM(AE452:AH452)</f>
        <v>674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46000</v>
      </c>
      <c r="C453" s="31">
        <f>C452+1</f>
        <v>5868</v>
      </c>
      <c r="D453" s="32">
        <f>5008+1842+9.5*8</f>
        <v>6926</v>
      </c>
      <c r="E453" s="32"/>
      <c r="F453" s="32"/>
      <c r="G453" s="32">
        <f t="shared" si="133"/>
        <v>6926</v>
      </c>
      <c r="H453" s="12"/>
      <c r="I453" s="12">
        <f>135+8</f>
        <v>143</v>
      </c>
      <c r="J453" s="12"/>
      <c r="K453" s="12">
        <f t="shared" si="134"/>
        <v>7069</v>
      </c>
      <c r="M453" s="10">
        <v>2</v>
      </c>
      <c r="N453" s="30">
        <v>46000</v>
      </c>
      <c r="O453" s="31">
        <f>O452+1</f>
        <v>5902</v>
      </c>
      <c r="P453" s="32">
        <f>626+596+19</f>
        <v>1241</v>
      </c>
      <c r="Q453" s="32"/>
      <c r="R453" s="32"/>
      <c r="S453" s="32">
        <f t="shared" ref="S453:S490" si="135">SUM(P453:Q453)</f>
        <v>1241</v>
      </c>
      <c r="T453" s="12"/>
      <c r="U453" s="12"/>
      <c r="V453" s="12"/>
      <c r="W453" s="12">
        <f t="shared" ref="W453:W493" si="136">SUM(S453:V453)</f>
        <v>1241</v>
      </c>
      <c r="Y453" s="10">
        <v>2</v>
      </c>
      <c r="Z453" s="30">
        <v>46000</v>
      </c>
      <c r="AA453" s="31">
        <f>AA452+1</f>
        <v>5493</v>
      </c>
      <c r="AB453" s="32">
        <f>225360+6140+23840+1145</f>
        <v>256485</v>
      </c>
      <c r="AC453" s="32"/>
      <c r="AD453" s="32"/>
      <c r="AE453" s="32">
        <f t="shared" ref="AE453:AE490" si="137">SUM(AB453:AC453)</f>
        <v>256485</v>
      </c>
      <c r="AF453" s="12"/>
      <c r="AG453" s="12">
        <f>41958+390</f>
        <v>42348</v>
      </c>
      <c r="AH453" s="12"/>
      <c r="AI453" s="12">
        <f t="shared" ref="AI453:AI493" si="138">SUM(AE453:AH453)</f>
        <v>298833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46000</v>
      </c>
      <c r="C454" s="31">
        <f t="shared" ref="C454:C476" si="139">C453+1</f>
        <v>5869</v>
      </c>
      <c r="D454" s="33">
        <f>8138+596</f>
        <v>8734</v>
      </c>
      <c r="E454" s="33"/>
      <c r="F454" s="33"/>
      <c r="G454" s="33">
        <f t="shared" si="133"/>
        <v>8734</v>
      </c>
      <c r="H454" s="34"/>
      <c r="I454" s="34"/>
      <c r="J454" s="34"/>
      <c r="K454" s="34">
        <f t="shared" si="134"/>
        <v>8734</v>
      </c>
      <c r="M454" s="10">
        <v>3</v>
      </c>
      <c r="N454" s="30">
        <v>46000</v>
      </c>
      <c r="O454" s="31">
        <f t="shared" ref="O454:O470" si="140">O453+1</f>
        <v>5903</v>
      </c>
      <c r="P454" s="32">
        <f>3756+57</f>
        <v>3813</v>
      </c>
      <c r="Q454" s="32"/>
      <c r="R454" s="32"/>
      <c r="S454" s="32">
        <f t="shared" si="135"/>
        <v>3813</v>
      </c>
      <c r="T454" s="12"/>
      <c r="U454" s="12"/>
      <c r="V454" s="12"/>
      <c r="W454" s="12">
        <f t="shared" si="136"/>
        <v>3813</v>
      </c>
      <c r="Y454" s="10">
        <v>3</v>
      </c>
      <c r="Z454" s="30">
        <v>46000</v>
      </c>
      <c r="AA454" s="31">
        <f t="shared" ref="AA454:AA456" si="141">AA453+1</f>
        <v>5494</v>
      </c>
      <c r="AB454" s="33">
        <f>6260+458</f>
        <v>6718</v>
      </c>
      <c r="AC454" s="33"/>
      <c r="AD454" s="32"/>
      <c r="AE454" s="32">
        <f t="shared" si="137"/>
        <v>6718</v>
      </c>
      <c r="AF454" s="12"/>
      <c r="AG454" s="12"/>
      <c r="AH454" s="12"/>
      <c r="AI454" s="12">
        <f t="shared" si="138"/>
        <v>6718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46000</v>
      </c>
      <c r="C455" s="31">
        <f t="shared" si="139"/>
        <v>5870</v>
      </c>
      <c r="D455" s="32">
        <f>596+10</f>
        <v>606</v>
      </c>
      <c r="E455" s="32"/>
      <c r="F455" s="32"/>
      <c r="G455" s="32">
        <f t="shared" si="133"/>
        <v>606</v>
      </c>
      <c r="H455" s="12"/>
      <c r="I455" s="12"/>
      <c r="J455" s="12"/>
      <c r="K455" s="12">
        <f t="shared" si="134"/>
        <v>606</v>
      </c>
      <c r="M455" s="10">
        <v>4</v>
      </c>
      <c r="N455" s="30">
        <v>46000</v>
      </c>
      <c r="O455" s="31">
        <f t="shared" si="140"/>
        <v>5904</v>
      </c>
      <c r="P455" s="32">
        <f>5008+1192+95</f>
        <v>6295</v>
      </c>
      <c r="Q455" s="32"/>
      <c r="R455" s="32"/>
      <c r="S455" s="32">
        <f t="shared" si="135"/>
        <v>6295</v>
      </c>
      <c r="T455" s="12"/>
      <c r="U455" s="12"/>
      <c r="V455" s="12"/>
      <c r="W455" s="12">
        <f t="shared" si="136"/>
        <v>6295</v>
      </c>
      <c r="Y455" s="10">
        <v>4</v>
      </c>
      <c r="Z455" s="30">
        <v>46000</v>
      </c>
      <c r="AA455" s="31">
        <f t="shared" si="141"/>
        <v>5495</v>
      </c>
      <c r="AB455" s="32">
        <f>31300+3684+1348+25032</f>
        <v>61364</v>
      </c>
      <c r="AC455" s="32">
        <v>-600</v>
      </c>
      <c r="AD455" s="32"/>
      <c r="AE455" s="32">
        <f t="shared" si="137"/>
        <v>60764</v>
      </c>
      <c r="AF455" s="12"/>
      <c r="AH455" s="12"/>
      <c r="AI455" s="12">
        <f t="shared" si="138"/>
        <v>60764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46000</v>
      </c>
      <c r="C456" s="31">
        <f t="shared" si="139"/>
        <v>5871</v>
      </c>
      <c r="D456" s="32">
        <f>1374</f>
        <v>1374</v>
      </c>
      <c r="E456" s="32"/>
      <c r="F456" s="32"/>
      <c r="G456" s="32">
        <f t="shared" si="133"/>
        <v>1374</v>
      </c>
      <c r="H456" s="12"/>
      <c r="I456" s="12"/>
      <c r="J456" s="12"/>
      <c r="K456" s="12">
        <f t="shared" si="134"/>
        <v>1374</v>
      </c>
      <c r="M456" s="10">
        <v>5</v>
      </c>
      <c r="N456" s="30">
        <v>46000</v>
      </c>
      <c r="O456" s="31">
        <f t="shared" si="140"/>
        <v>5905</v>
      </c>
      <c r="P456" s="32">
        <f>626*8+57</f>
        <v>5065</v>
      </c>
      <c r="Q456" s="32"/>
      <c r="R456" s="32"/>
      <c r="S456" s="32">
        <f t="shared" si="135"/>
        <v>5065</v>
      </c>
      <c r="T456" s="12"/>
      <c r="U456" s="12">
        <v>12</v>
      </c>
      <c r="V456" s="12"/>
      <c r="W456" s="12">
        <f t="shared" si="136"/>
        <v>5077</v>
      </c>
      <c r="Y456" s="10">
        <v>5</v>
      </c>
      <c r="Z456" s="30">
        <v>46000</v>
      </c>
      <c r="AA456" s="31">
        <f t="shared" si="141"/>
        <v>5496</v>
      </c>
      <c r="AB456" s="32">
        <f>31300+687</f>
        <v>31987</v>
      </c>
      <c r="AC456" s="32">
        <v>-318</v>
      </c>
      <c r="AD456" s="32"/>
      <c r="AE456" s="32">
        <f t="shared" si="137"/>
        <v>31669</v>
      </c>
      <c r="AF456" s="12"/>
      <c r="AG456" s="12"/>
      <c r="AH456" s="12">
        <f>-8325</f>
        <v>-8325</v>
      </c>
      <c r="AI456" s="12">
        <f t="shared" si="138"/>
        <v>23344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46000</v>
      </c>
      <c r="C457" s="31">
        <f t="shared" si="139"/>
        <v>5872</v>
      </c>
      <c r="D457" s="32">
        <f>4382+67</f>
        <v>4449</v>
      </c>
      <c r="E457" s="32"/>
      <c r="F457" s="32"/>
      <c r="G457" s="32">
        <f t="shared" si="133"/>
        <v>4449</v>
      </c>
      <c r="H457" s="12"/>
      <c r="I457" s="12"/>
      <c r="J457" s="12"/>
      <c r="K457" s="12">
        <f t="shared" si="134"/>
        <v>4449</v>
      </c>
      <c r="M457" s="10">
        <v>6</v>
      </c>
      <c r="N457" s="30">
        <v>46000</v>
      </c>
      <c r="O457" s="31">
        <f t="shared" si="140"/>
        <v>5906</v>
      </c>
      <c r="P457" s="32">
        <v>4899</v>
      </c>
      <c r="Q457" s="32"/>
      <c r="R457" s="32"/>
      <c r="S457" s="32">
        <f t="shared" si="135"/>
        <v>4899</v>
      </c>
      <c r="T457" s="12"/>
      <c r="U457" s="12">
        <v>18</v>
      </c>
      <c r="V457" s="10"/>
      <c r="W457" s="12">
        <f t="shared" si="136"/>
        <v>4917</v>
      </c>
      <c r="Y457" s="10">
        <v>6</v>
      </c>
      <c r="Z457" s="30"/>
      <c r="AA457" s="11" t="s">
        <v>28</v>
      </c>
      <c r="AB457" s="32"/>
      <c r="AC457" s="32"/>
      <c r="AD457" s="32"/>
      <c r="AE457" s="32">
        <f t="shared" si="137"/>
        <v>0</v>
      </c>
      <c r="AF457" s="12"/>
      <c r="AG457" s="12"/>
      <c r="AH457" s="10"/>
      <c r="AI457" s="12">
        <f t="shared" si="138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46000</v>
      </c>
      <c r="C458" s="31">
        <f t="shared" si="139"/>
        <v>5873</v>
      </c>
      <c r="D458" s="32">
        <f>626+10</f>
        <v>636</v>
      </c>
      <c r="E458" s="32"/>
      <c r="F458" s="32"/>
      <c r="G458" s="32">
        <f t="shared" si="133"/>
        <v>636</v>
      </c>
      <c r="H458" s="12"/>
      <c r="I458" s="12"/>
      <c r="J458" s="12"/>
      <c r="K458" s="12">
        <f t="shared" si="134"/>
        <v>636</v>
      </c>
      <c r="M458" s="10">
        <v>7</v>
      </c>
      <c r="N458" s="30">
        <v>46000</v>
      </c>
      <c r="O458" s="31">
        <f t="shared" si="140"/>
        <v>5907</v>
      </c>
      <c r="P458" s="32">
        <f>4382+9.5*7</f>
        <v>4448.5</v>
      </c>
      <c r="Q458" s="32"/>
      <c r="R458" s="32"/>
      <c r="S458" s="32">
        <f t="shared" si="135"/>
        <v>4448.5</v>
      </c>
      <c r="T458" s="12"/>
      <c r="U458" s="12"/>
      <c r="V458" s="12"/>
      <c r="W458" s="12">
        <f t="shared" si="136"/>
        <v>4448.5</v>
      </c>
      <c r="Y458" s="10">
        <v>7</v>
      </c>
      <c r="Z458" s="30"/>
      <c r="AA458" s="31"/>
      <c r="AB458" s="32"/>
      <c r="AC458" s="32"/>
      <c r="AD458" s="32"/>
      <c r="AE458" s="32">
        <f t="shared" si="137"/>
        <v>0</v>
      </c>
      <c r="AF458" s="12"/>
      <c r="AG458" s="58"/>
      <c r="AH458" s="12"/>
      <c r="AI458" s="12">
        <f t="shared" si="13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46000</v>
      </c>
      <c r="C459" s="31">
        <f t="shared" si="139"/>
        <v>5874</v>
      </c>
      <c r="D459" s="32">
        <f>2504+596+48</f>
        <v>3148</v>
      </c>
      <c r="E459" s="32"/>
      <c r="F459" s="32"/>
      <c r="G459" s="32">
        <f t="shared" si="133"/>
        <v>3148</v>
      </c>
      <c r="H459" s="12"/>
      <c r="I459" s="12"/>
      <c r="J459" s="12"/>
      <c r="K459" s="12">
        <f t="shared" si="134"/>
        <v>3148</v>
      </c>
      <c r="M459" s="10">
        <v>8</v>
      </c>
      <c r="N459" s="30">
        <v>46000</v>
      </c>
      <c r="O459" s="31">
        <f t="shared" si="140"/>
        <v>5908</v>
      </c>
      <c r="P459" s="32">
        <f>3130+47.5</f>
        <v>3177.5</v>
      </c>
      <c r="Q459" s="32"/>
      <c r="R459" s="32"/>
      <c r="S459" s="32">
        <f t="shared" si="135"/>
        <v>3177.5</v>
      </c>
      <c r="T459" s="12"/>
      <c r="U459" s="12"/>
      <c r="V459" s="12"/>
      <c r="W459" s="12">
        <f t="shared" si="136"/>
        <v>3177.5</v>
      </c>
      <c r="Y459" s="10">
        <v>8</v>
      </c>
      <c r="Z459" s="30"/>
      <c r="AA459" s="31"/>
      <c r="AB459" s="32"/>
      <c r="AC459" s="32"/>
      <c r="AE459" s="32">
        <f t="shared" si="137"/>
        <v>0</v>
      </c>
      <c r="AF459" s="12"/>
      <c r="AG459" s="12"/>
      <c r="AH459" s="12"/>
      <c r="AI459" s="12">
        <f t="shared" si="13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46000</v>
      </c>
      <c r="C460" s="31">
        <f t="shared" si="139"/>
        <v>5875</v>
      </c>
      <c r="D460" s="32">
        <f>1878+596+38</f>
        <v>2512</v>
      </c>
      <c r="E460" s="32"/>
      <c r="F460" s="32"/>
      <c r="G460" s="32">
        <f t="shared" si="133"/>
        <v>2512</v>
      </c>
      <c r="H460" s="12"/>
      <c r="I460" s="12"/>
      <c r="J460" s="12"/>
      <c r="K460" s="12">
        <f t="shared" si="134"/>
        <v>2512</v>
      </c>
      <c r="M460" s="10">
        <v>9</v>
      </c>
      <c r="N460" s="30">
        <v>46000</v>
      </c>
      <c r="O460" s="31">
        <f t="shared" si="140"/>
        <v>5909</v>
      </c>
      <c r="P460" s="32">
        <f>1252+614+19</f>
        <v>1885</v>
      </c>
      <c r="Q460" s="32"/>
      <c r="R460" s="32"/>
      <c r="S460" s="32">
        <f t="shared" si="135"/>
        <v>1885</v>
      </c>
      <c r="T460" s="12"/>
      <c r="U460" s="12"/>
      <c r="V460" s="12"/>
      <c r="W460" s="12">
        <f t="shared" si="136"/>
        <v>1885</v>
      </c>
      <c r="Y460" s="10">
        <v>9</v>
      </c>
      <c r="Z460" s="30"/>
      <c r="AA460" s="31"/>
      <c r="AC460" s="32"/>
      <c r="AD460" s="32"/>
      <c r="AE460" s="32">
        <f t="shared" si="137"/>
        <v>0</v>
      </c>
      <c r="AF460" s="12"/>
      <c r="AH460" s="12"/>
      <c r="AI460" s="12">
        <f t="shared" si="13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46000</v>
      </c>
      <c r="C461" s="31">
        <f t="shared" si="139"/>
        <v>5876</v>
      </c>
      <c r="D461" s="32">
        <f>3130+596+57</f>
        <v>3783</v>
      </c>
      <c r="E461" s="32"/>
      <c r="F461" s="32"/>
      <c r="G461" s="32">
        <f t="shared" si="133"/>
        <v>3783</v>
      </c>
      <c r="H461" s="12"/>
      <c r="I461" s="12"/>
      <c r="J461" s="12"/>
      <c r="K461" s="12">
        <f t="shared" si="134"/>
        <v>3783</v>
      </c>
      <c r="M461" s="10">
        <v>10</v>
      </c>
      <c r="N461" s="30">
        <v>46000</v>
      </c>
      <c r="O461" s="31">
        <f t="shared" si="140"/>
        <v>5910</v>
      </c>
      <c r="P461" s="32">
        <f>43820+11920+916</f>
        <v>56656</v>
      </c>
      <c r="Q461" s="32">
        <v>-912</v>
      </c>
      <c r="R461" s="32"/>
      <c r="S461" s="32">
        <f t="shared" si="135"/>
        <v>55744</v>
      </c>
      <c r="T461" s="12"/>
      <c r="U461" s="12">
        <v>144</v>
      </c>
      <c r="V461" s="12"/>
      <c r="W461" s="12">
        <f t="shared" si="136"/>
        <v>55888</v>
      </c>
      <c r="Y461" s="10">
        <v>10</v>
      </c>
      <c r="Z461" s="30"/>
      <c r="AA461" s="31"/>
      <c r="AB461" s="32"/>
      <c r="AC461" s="32"/>
      <c r="AD461" s="32"/>
      <c r="AE461" s="32">
        <f t="shared" si="137"/>
        <v>0</v>
      </c>
      <c r="AF461" s="12"/>
      <c r="AG461" s="12"/>
      <c r="AH461" s="12"/>
      <c r="AI461" s="12">
        <f t="shared" si="13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46000</v>
      </c>
      <c r="C462" s="31">
        <f t="shared" si="139"/>
        <v>5877</v>
      </c>
      <c r="D462" s="32">
        <f>626+596+19</f>
        <v>1241</v>
      </c>
      <c r="E462" s="32"/>
      <c r="F462" s="32"/>
      <c r="G462" s="32">
        <f t="shared" si="133"/>
        <v>1241</v>
      </c>
      <c r="H462" s="12"/>
      <c r="I462" s="12"/>
      <c r="J462" s="12"/>
      <c r="K462" s="12">
        <f t="shared" si="134"/>
        <v>1241</v>
      </c>
      <c r="M462" s="10">
        <v>11</v>
      </c>
      <c r="N462" s="30">
        <v>46000</v>
      </c>
      <c r="O462" s="31">
        <f t="shared" si="140"/>
        <v>5911</v>
      </c>
      <c r="P462" s="32">
        <f>1252+1228+19</f>
        <v>2499</v>
      </c>
      <c r="Q462" s="32"/>
      <c r="R462" s="32"/>
      <c r="S462" s="32">
        <f t="shared" si="135"/>
        <v>2499</v>
      </c>
      <c r="T462" s="12"/>
      <c r="U462" s="12">
        <v>2.25</v>
      </c>
      <c r="V462" s="12"/>
      <c r="W462" s="12">
        <f t="shared" si="136"/>
        <v>2501.25</v>
      </c>
      <c r="Y462" s="10">
        <v>11</v>
      </c>
      <c r="Z462" s="30"/>
      <c r="AA462" s="31"/>
      <c r="AB462" s="32"/>
      <c r="AC462" s="32"/>
      <c r="AD462" s="32"/>
      <c r="AE462" s="32">
        <f t="shared" si="137"/>
        <v>0</v>
      </c>
      <c r="AF462" s="12"/>
      <c r="AG462" s="12"/>
      <c r="AH462" s="12"/>
      <c r="AI462" s="12">
        <f t="shared" si="13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46000</v>
      </c>
      <c r="C463" s="31">
        <f t="shared" si="139"/>
        <v>5878</v>
      </c>
      <c r="D463" s="32">
        <f>1878+29</f>
        <v>1907</v>
      </c>
      <c r="E463" s="32"/>
      <c r="F463" s="32"/>
      <c r="G463" s="32">
        <f t="shared" si="133"/>
        <v>1907</v>
      </c>
      <c r="H463" s="12"/>
      <c r="I463" s="12"/>
      <c r="J463" s="10"/>
      <c r="K463" s="12">
        <f t="shared" si="134"/>
        <v>1907</v>
      </c>
      <c r="M463" s="10">
        <v>12</v>
      </c>
      <c r="N463" s="30">
        <v>46000</v>
      </c>
      <c r="O463" s="31">
        <f t="shared" si="140"/>
        <v>5912</v>
      </c>
      <c r="P463" s="32">
        <f>3130+596+57</f>
        <v>3783</v>
      </c>
      <c r="Q463" s="32"/>
      <c r="R463" s="32"/>
      <c r="S463" s="32">
        <f t="shared" si="135"/>
        <v>3783</v>
      </c>
      <c r="T463" s="12"/>
      <c r="U463" s="12">
        <v>27</v>
      </c>
      <c r="V463" s="12"/>
      <c r="W463" s="12">
        <f t="shared" si="136"/>
        <v>3810</v>
      </c>
      <c r="Y463" s="10">
        <v>12</v>
      </c>
      <c r="Z463" s="30"/>
      <c r="AA463" s="31"/>
      <c r="AB463" s="32"/>
      <c r="AC463" s="32"/>
      <c r="AD463" s="32"/>
      <c r="AE463" s="32">
        <f t="shared" si="137"/>
        <v>0</v>
      </c>
      <c r="AF463" s="12"/>
      <c r="AG463" s="12"/>
      <c r="AH463" s="12"/>
      <c r="AI463" s="12">
        <f t="shared" si="13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46000</v>
      </c>
      <c r="C464" s="31">
        <f t="shared" si="139"/>
        <v>5879</v>
      </c>
      <c r="D464" s="32">
        <f>10642+1788+190</f>
        <v>12620</v>
      </c>
      <c r="E464" s="32"/>
      <c r="F464" s="32"/>
      <c r="G464" s="32">
        <f t="shared" si="133"/>
        <v>12620</v>
      </c>
      <c r="H464" s="12"/>
      <c r="I464" s="12"/>
      <c r="J464" s="12"/>
      <c r="K464" s="12">
        <f t="shared" si="134"/>
        <v>12620</v>
      </c>
      <c r="M464" s="10">
        <v>13</v>
      </c>
      <c r="N464" s="30">
        <v>46000</v>
      </c>
      <c r="O464" s="31">
        <f t="shared" si="140"/>
        <v>5913</v>
      </c>
      <c r="P464" s="32">
        <f>35682+1842+72</f>
        <v>37596</v>
      </c>
      <c r="Q464" s="32"/>
      <c r="R464" s="32"/>
      <c r="S464" s="32">
        <f t="shared" si="135"/>
        <v>37596</v>
      </c>
      <c r="T464" s="12"/>
      <c r="U464" s="12"/>
      <c r="V464" s="12"/>
      <c r="W464" s="12">
        <f t="shared" si="136"/>
        <v>37596</v>
      </c>
      <c r="Y464" s="10">
        <v>13</v>
      </c>
      <c r="Z464" s="30"/>
      <c r="AB464" s="32"/>
      <c r="AC464" s="32"/>
      <c r="AD464" s="32"/>
      <c r="AE464" s="32">
        <f t="shared" si="137"/>
        <v>0</v>
      </c>
      <c r="AF464" s="12"/>
      <c r="AG464" s="12"/>
      <c r="AH464" s="12"/>
      <c r="AI464" s="12">
        <f t="shared" si="13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46000</v>
      </c>
      <c r="C465" s="31">
        <f t="shared" si="139"/>
        <v>5880</v>
      </c>
      <c r="D465" s="32">
        <f>1878+29</f>
        <v>1907</v>
      </c>
      <c r="E465" s="32"/>
      <c r="F465" s="32"/>
      <c r="G465" s="32">
        <f t="shared" si="133"/>
        <v>1907</v>
      </c>
      <c r="H465" s="12"/>
      <c r="I465" s="12"/>
      <c r="J465" s="12"/>
      <c r="K465" s="12">
        <f t="shared" si="134"/>
        <v>1907</v>
      </c>
      <c r="M465" s="10">
        <v>14</v>
      </c>
      <c r="N465" s="30">
        <v>46000</v>
      </c>
      <c r="O465" s="31">
        <f t="shared" si="140"/>
        <v>5914</v>
      </c>
      <c r="P465" s="32">
        <f>626+596+19</f>
        <v>1241</v>
      </c>
      <c r="Q465" s="32"/>
      <c r="R465" s="32"/>
      <c r="S465" s="32">
        <f t="shared" si="135"/>
        <v>1241</v>
      </c>
      <c r="T465" s="12"/>
      <c r="U465" s="12"/>
      <c r="V465" s="12"/>
      <c r="W465" s="12">
        <f t="shared" si="136"/>
        <v>1241</v>
      </c>
      <c r="Y465" s="10">
        <v>14</v>
      </c>
      <c r="Z465" s="30"/>
      <c r="AA465" s="31"/>
      <c r="AB465" s="32"/>
      <c r="AC465" s="32"/>
      <c r="AD465" s="32"/>
      <c r="AE465" s="32">
        <f t="shared" si="137"/>
        <v>0</v>
      </c>
      <c r="AF465" s="12"/>
      <c r="AG465" s="12"/>
      <c r="AH465" s="12"/>
      <c r="AI465" s="12">
        <f t="shared" si="13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46000</v>
      </c>
      <c r="C466" s="31">
        <f t="shared" si="139"/>
        <v>5881</v>
      </c>
      <c r="D466" s="32">
        <f>5008+596*4+114+1300</f>
        <v>8806</v>
      </c>
      <c r="E466" s="32"/>
      <c r="F466" s="32"/>
      <c r="G466" s="32">
        <f t="shared" si="133"/>
        <v>8806</v>
      </c>
      <c r="H466" s="12"/>
      <c r="I466" s="12">
        <v>18</v>
      </c>
      <c r="J466" s="12"/>
      <c r="K466" s="12">
        <f t="shared" si="134"/>
        <v>8824</v>
      </c>
      <c r="M466" s="10">
        <v>15</v>
      </c>
      <c r="N466" s="30">
        <v>46000</v>
      </c>
      <c r="O466" s="31">
        <f t="shared" si="140"/>
        <v>5915</v>
      </c>
      <c r="P466" s="32">
        <f>1878+28.5</f>
        <v>1906.5</v>
      </c>
      <c r="Q466" s="32"/>
      <c r="R466" s="32"/>
      <c r="S466" s="32">
        <f t="shared" si="135"/>
        <v>1906.5</v>
      </c>
      <c r="T466" s="12"/>
      <c r="U466" s="12"/>
      <c r="V466" s="12"/>
      <c r="W466" s="12">
        <f t="shared" si="136"/>
        <v>1906.5</v>
      </c>
      <c r="Y466" s="10">
        <v>15</v>
      </c>
      <c r="Z466" s="30"/>
      <c r="AA466" s="31"/>
      <c r="AB466" s="32"/>
      <c r="AC466" s="32"/>
      <c r="AD466" s="32"/>
      <c r="AE466" s="32">
        <f t="shared" si="137"/>
        <v>0</v>
      </c>
      <c r="AF466" s="12"/>
      <c r="AG466" s="12"/>
      <c r="AH466" s="12"/>
      <c r="AI466" s="12">
        <f t="shared" si="13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46000</v>
      </c>
      <c r="C467" s="31">
        <f t="shared" si="139"/>
        <v>5882</v>
      </c>
      <c r="D467" s="32">
        <f>3756+1192</f>
        <v>4948</v>
      </c>
      <c r="E467" s="32"/>
      <c r="F467" s="32"/>
      <c r="G467" s="32">
        <f t="shared" si="133"/>
        <v>4948</v>
      </c>
      <c r="H467" s="12"/>
      <c r="I467" s="12"/>
      <c r="J467" s="12"/>
      <c r="K467" s="12">
        <f t="shared" si="134"/>
        <v>4948</v>
      </c>
      <c r="M467" s="10">
        <v>16</v>
      </c>
      <c r="N467" s="30">
        <v>46000</v>
      </c>
      <c r="O467" s="31">
        <f t="shared" si="140"/>
        <v>5916</v>
      </c>
      <c r="P467" s="32">
        <f>8764+133</f>
        <v>8897</v>
      </c>
      <c r="Q467" s="32"/>
      <c r="R467" s="32"/>
      <c r="S467" s="32">
        <f t="shared" si="135"/>
        <v>8897</v>
      </c>
      <c r="T467" s="12"/>
      <c r="U467" s="12"/>
      <c r="V467" s="12"/>
      <c r="W467" s="12">
        <f t="shared" si="136"/>
        <v>8897</v>
      </c>
      <c r="Y467" s="10">
        <v>16</v>
      </c>
      <c r="Z467" s="30"/>
      <c r="AA467" s="31"/>
      <c r="AB467" s="32"/>
      <c r="AC467" s="32"/>
      <c r="AD467" s="32"/>
      <c r="AE467" s="32">
        <f t="shared" si="137"/>
        <v>0</v>
      </c>
      <c r="AF467" s="12"/>
      <c r="AG467" s="12"/>
      <c r="AH467" s="12"/>
      <c r="AI467" s="12">
        <f t="shared" si="13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46000</v>
      </c>
      <c r="C468" s="31">
        <f t="shared" si="139"/>
        <v>5883</v>
      </c>
      <c r="D468" s="32">
        <f>2504+596+48</f>
        <v>3148</v>
      </c>
      <c r="E468" s="32"/>
      <c r="F468" s="32"/>
      <c r="G468" s="32">
        <f t="shared" si="133"/>
        <v>3148</v>
      </c>
      <c r="H468" s="12"/>
      <c r="I468" s="12"/>
      <c r="J468" s="12"/>
      <c r="K468" s="12">
        <f t="shared" si="134"/>
        <v>3148</v>
      </c>
      <c r="M468" s="10">
        <v>17</v>
      </c>
      <c r="N468" s="30">
        <v>46000</v>
      </c>
      <c r="O468" s="31">
        <f t="shared" si="140"/>
        <v>5917</v>
      </c>
      <c r="P468" s="35">
        <f>1878+1192+47.5</f>
        <v>3117.5</v>
      </c>
      <c r="Q468" s="32"/>
      <c r="R468" s="32"/>
      <c r="S468" s="32">
        <f t="shared" si="135"/>
        <v>3117.5</v>
      </c>
      <c r="T468" s="12"/>
      <c r="U468" s="12"/>
      <c r="V468" s="12"/>
      <c r="W468" s="12">
        <f t="shared" si="136"/>
        <v>3117.5</v>
      </c>
      <c r="Y468" s="10">
        <v>17</v>
      </c>
      <c r="Z468" s="30"/>
      <c r="AA468" s="31"/>
      <c r="AB468" s="35"/>
      <c r="AC468" s="32"/>
      <c r="AD468" s="32"/>
      <c r="AE468" s="32">
        <f t="shared" si="137"/>
        <v>0</v>
      </c>
      <c r="AF468" s="12"/>
      <c r="AG468" s="12"/>
      <c r="AH468" s="12"/>
      <c r="AI468" s="12">
        <f t="shared" si="13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46000</v>
      </c>
      <c r="C469" s="31">
        <f t="shared" si="139"/>
        <v>5884</v>
      </c>
      <c r="D469" s="32">
        <f>8764+3576+190</f>
        <v>12530</v>
      </c>
      <c r="E469" s="32"/>
      <c r="F469" s="32"/>
      <c r="G469" s="32">
        <f t="shared" si="133"/>
        <v>12530</v>
      </c>
      <c r="H469" s="12"/>
      <c r="I469" s="12"/>
      <c r="J469" s="12"/>
      <c r="K469" s="12">
        <f t="shared" si="134"/>
        <v>12530</v>
      </c>
      <c r="M469" s="10">
        <v>18</v>
      </c>
      <c r="N469" s="30">
        <v>46000</v>
      </c>
      <c r="O469" s="31">
        <f t="shared" si="140"/>
        <v>5918</v>
      </c>
      <c r="P469" s="32">
        <f>6886+2696</f>
        <v>9582</v>
      </c>
      <c r="Q469" s="32"/>
      <c r="R469" s="32"/>
      <c r="S469" s="32">
        <f t="shared" si="135"/>
        <v>9582</v>
      </c>
      <c r="T469" s="12"/>
      <c r="U469" s="12"/>
      <c r="V469" s="12"/>
      <c r="W469" s="12">
        <f t="shared" si="136"/>
        <v>9582</v>
      </c>
      <c r="Y469" s="10">
        <v>18</v>
      </c>
      <c r="Z469" s="30"/>
      <c r="AA469" s="31"/>
      <c r="AB469" s="32"/>
      <c r="AC469" s="32"/>
      <c r="AD469" s="32"/>
      <c r="AE469" s="32">
        <f t="shared" si="137"/>
        <v>0</v>
      </c>
      <c r="AF469" s="12"/>
      <c r="AG469" s="12"/>
      <c r="AH469" s="12"/>
      <c r="AI469" s="12">
        <f t="shared" si="13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46000</v>
      </c>
      <c r="C470" s="31">
        <f t="shared" si="139"/>
        <v>5885</v>
      </c>
      <c r="D470" s="32">
        <f>3756+57</f>
        <v>3813</v>
      </c>
      <c r="E470" s="32"/>
      <c r="F470" s="32"/>
      <c r="G470" s="32">
        <f t="shared" si="133"/>
        <v>3813</v>
      </c>
      <c r="H470" s="12"/>
      <c r="I470" s="12"/>
      <c r="J470" s="12"/>
      <c r="K470" s="12">
        <f t="shared" si="134"/>
        <v>3813</v>
      </c>
      <c r="M470" s="10">
        <v>19</v>
      </c>
      <c r="N470" s="30">
        <v>46000</v>
      </c>
      <c r="O470" s="31">
        <f t="shared" si="140"/>
        <v>5919</v>
      </c>
      <c r="P470" s="32">
        <f>7512+596+229</f>
        <v>8337</v>
      </c>
      <c r="Q470" s="32"/>
      <c r="R470" s="32"/>
      <c r="S470" s="32">
        <f t="shared" si="135"/>
        <v>8337</v>
      </c>
      <c r="T470" s="12"/>
      <c r="U470" s="12"/>
      <c r="V470" s="12"/>
      <c r="W470" s="12">
        <f t="shared" si="136"/>
        <v>8337</v>
      </c>
      <c r="Y470" s="10">
        <v>19</v>
      </c>
      <c r="Z470" s="30"/>
      <c r="AA470" s="31"/>
      <c r="AB470" s="32"/>
      <c r="AC470" s="32"/>
      <c r="AD470" s="32"/>
      <c r="AE470" s="32">
        <f t="shared" si="137"/>
        <v>0</v>
      </c>
      <c r="AF470" s="12"/>
      <c r="AG470" s="12"/>
      <c r="AH470" s="12"/>
      <c r="AI470" s="12">
        <f t="shared" si="13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46000</v>
      </c>
      <c r="C471" s="31">
        <f t="shared" si="139"/>
        <v>5886</v>
      </c>
      <c r="D471" s="32">
        <f>1252+19</f>
        <v>1271</v>
      </c>
      <c r="E471" s="32"/>
      <c r="F471" s="32"/>
      <c r="G471" s="32">
        <f t="shared" si="133"/>
        <v>1271</v>
      </c>
      <c r="H471" s="12"/>
      <c r="I471" s="12"/>
      <c r="J471" s="12"/>
      <c r="K471" s="12">
        <f t="shared" si="134"/>
        <v>1271</v>
      </c>
      <c r="M471" s="10">
        <v>20</v>
      </c>
      <c r="N471" s="30"/>
      <c r="O471" s="11" t="s">
        <v>28</v>
      </c>
      <c r="P471" s="32"/>
      <c r="Q471" s="32"/>
      <c r="R471" s="32"/>
      <c r="S471" s="32">
        <f t="shared" si="135"/>
        <v>0</v>
      </c>
      <c r="T471" s="12"/>
      <c r="U471" s="12"/>
      <c r="V471" s="12"/>
      <c r="W471" s="12">
        <f t="shared" si="136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37"/>
        <v>0</v>
      </c>
      <c r="AF471" s="12"/>
      <c r="AG471" s="12"/>
      <c r="AH471" s="12"/>
      <c r="AI471" s="12">
        <f t="shared" si="13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46000</v>
      </c>
      <c r="C472" s="31">
        <f t="shared" si="139"/>
        <v>5887</v>
      </c>
      <c r="D472" s="32">
        <f>9390+1842+852+143</f>
        <v>12227</v>
      </c>
      <c r="E472" s="32"/>
      <c r="F472" s="32"/>
      <c r="G472" s="32">
        <f t="shared" si="133"/>
        <v>12227</v>
      </c>
      <c r="H472" s="10"/>
      <c r="I472" s="10">
        <v>45</v>
      </c>
      <c r="J472" s="10"/>
      <c r="K472" s="12">
        <f t="shared" si="134"/>
        <v>12272</v>
      </c>
      <c r="M472" s="10">
        <v>21</v>
      </c>
      <c r="N472" s="30"/>
      <c r="P472" s="46"/>
      <c r="Q472" s="31"/>
      <c r="R472" s="31"/>
      <c r="S472" s="32">
        <f t="shared" si="135"/>
        <v>0</v>
      </c>
      <c r="T472" s="10"/>
      <c r="U472" s="10"/>
      <c r="V472" s="10"/>
      <c r="W472" s="12">
        <f t="shared" si="136"/>
        <v>0</v>
      </c>
      <c r="Y472" s="10">
        <v>21</v>
      </c>
      <c r="Z472" s="30"/>
      <c r="AB472" s="46"/>
      <c r="AC472" s="31"/>
      <c r="AD472" s="31"/>
      <c r="AE472" s="32">
        <f t="shared" si="137"/>
        <v>0</v>
      </c>
      <c r="AF472" s="10"/>
      <c r="AG472" s="10"/>
      <c r="AH472" s="10"/>
      <c r="AI472" s="12">
        <f t="shared" si="13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46000</v>
      </c>
      <c r="C473" s="31">
        <f t="shared" si="139"/>
        <v>5888</v>
      </c>
      <c r="D473" s="32">
        <f>22536+1842+596+229</f>
        <v>25203</v>
      </c>
      <c r="E473" s="32"/>
      <c r="F473" s="32"/>
      <c r="G473" s="32">
        <f t="shared" si="133"/>
        <v>25203</v>
      </c>
      <c r="H473" s="10"/>
      <c r="I473" s="10">
        <f>446</f>
        <v>446</v>
      </c>
      <c r="J473" s="10"/>
      <c r="K473" s="12">
        <f t="shared" si="134"/>
        <v>25649</v>
      </c>
      <c r="M473" s="10">
        <v>22</v>
      </c>
      <c r="N473" s="30"/>
      <c r="O473" s="31"/>
      <c r="P473" s="45"/>
      <c r="Q473" s="31"/>
      <c r="R473" s="31"/>
      <c r="S473" s="32">
        <f t="shared" si="135"/>
        <v>0</v>
      </c>
      <c r="T473" s="10"/>
      <c r="U473" s="10"/>
      <c r="V473" s="10"/>
      <c r="W473" s="12">
        <f t="shared" si="136"/>
        <v>0</v>
      </c>
      <c r="Y473" s="10">
        <v>22</v>
      </c>
      <c r="Z473" s="30"/>
      <c r="AB473" s="45"/>
      <c r="AC473" s="31"/>
      <c r="AD473" s="31"/>
      <c r="AE473" s="32">
        <f t="shared" si="137"/>
        <v>0</v>
      </c>
      <c r="AF473" s="10"/>
      <c r="AG473" s="10"/>
      <c r="AH473" s="10"/>
      <c r="AI473" s="12">
        <f t="shared" si="13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46000</v>
      </c>
      <c r="C474" s="31">
        <f t="shared" si="139"/>
        <v>5889</v>
      </c>
      <c r="D474" s="32">
        <f>6260+95</f>
        <v>6355</v>
      </c>
      <c r="E474" s="32"/>
      <c r="F474" s="32"/>
      <c r="G474" s="32">
        <f t="shared" si="133"/>
        <v>6355</v>
      </c>
      <c r="H474" s="10"/>
      <c r="I474" s="10"/>
      <c r="J474" s="12"/>
      <c r="K474" s="12">
        <f t="shared" si="134"/>
        <v>6355</v>
      </c>
      <c r="M474" s="10">
        <v>23</v>
      </c>
      <c r="N474" s="30"/>
      <c r="O474" s="31"/>
      <c r="P474" s="47"/>
      <c r="S474" s="32">
        <f t="shared" si="135"/>
        <v>0</v>
      </c>
      <c r="T474" s="10"/>
      <c r="U474" s="10"/>
      <c r="V474" s="10"/>
      <c r="W474" s="12">
        <f t="shared" si="136"/>
        <v>0</v>
      </c>
      <c r="Y474" s="10">
        <v>23</v>
      </c>
      <c r="Z474" s="30"/>
      <c r="AA474" s="31"/>
      <c r="AB474" s="47"/>
      <c r="AC474" s="31"/>
      <c r="AE474" s="32">
        <f t="shared" si="137"/>
        <v>0</v>
      </c>
      <c r="AF474" s="10"/>
      <c r="AG474" s="10"/>
      <c r="AH474" s="10"/>
      <c r="AI474" s="12">
        <f t="shared" si="13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46000</v>
      </c>
      <c r="C475" s="31">
        <f t="shared" si="139"/>
        <v>5890</v>
      </c>
      <c r="D475" s="32">
        <f>626+10</f>
        <v>636</v>
      </c>
      <c r="E475" s="32"/>
      <c r="F475" s="32"/>
      <c r="G475" s="32">
        <f t="shared" si="133"/>
        <v>636</v>
      </c>
      <c r="H475" s="10"/>
      <c r="I475" s="10"/>
      <c r="J475" s="10"/>
      <c r="K475" s="12">
        <f t="shared" si="134"/>
        <v>636</v>
      </c>
      <c r="M475" s="10">
        <v>24</v>
      </c>
      <c r="N475" s="30"/>
      <c r="O475" s="31"/>
      <c r="P475" s="47"/>
      <c r="Q475" s="31"/>
      <c r="R475" s="31"/>
      <c r="S475" s="32">
        <f t="shared" si="135"/>
        <v>0</v>
      </c>
      <c r="T475" s="10"/>
      <c r="U475" s="10"/>
      <c r="V475" s="10"/>
      <c r="W475" s="12">
        <f t="shared" si="136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37"/>
        <v>0</v>
      </c>
      <c r="AF475" s="10"/>
      <c r="AG475" s="10"/>
      <c r="AH475" s="10"/>
      <c r="AI475" s="12">
        <f t="shared" si="13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46000</v>
      </c>
      <c r="C476" s="31">
        <f t="shared" si="139"/>
        <v>5891</v>
      </c>
      <c r="D476" s="32">
        <f>15521</f>
        <v>15521</v>
      </c>
      <c r="E476" s="32"/>
      <c r="F476" s="32"/>
      <c r="G476" s="32">
        <f t="shared" si="133"/>
        <v>15521</v>
      </c>
      <c r="H476" s="10"/>
      <c r="I476" s="10"/>
      <c r="J476" s="10"/>
      <c r="K476" s="12">
        <f t="shared" si="134"/>
        <v>15521</v>
      </c>
      <c r="M476" s="10">
        <v>25</v>
      </c>
      <c r="N476" s="30"/>
      <c r="O476" s="31"/>
      <c r="P476" s="47"/>
      <c r="Q476" s="31"/>
      <c r="R476" s="31"/>
      <c r="S476" s="32">
        <f t="shared" si="135"/>
        <v>0</v>
      </c>
      <c r="T476" s="10"/>
      <c r="U476" s="10"/>
      <c r="V476" s="10"/>
      <c r="W476" s="12">
        <f t="shared" si="136"/>
        <v>0</v>
      </c>
      <c r="Y476" s="10">
        <v>25</v>
      </c>
      <c r="Z476" s="30"/>
      <c r="AA476" s="11"/>
      <c r="AB476" s="47"/>
      <c r="AC476" s="31"/>
      <c r="AD476" s="31"/>
      <c r="AE476" s="32">
        <f t="shared" si="137"/>
        <v>0</v>
      </c>
      <c r="AF476" s="10"/>
      <c r="AG476" s="10"/>
      <c r="AH476" s="10"/>
      <c r="AI476" s="12">
        <f t="shared" si="13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11" t="s">
        <v>28</v>
      </c>
      <c r="D477" s="32"/>
      <c r="E477" s="32"/>
      <c r="F477" s="32"/>
      <c r="G477" s="32">
        <f t="shared" si="133"/>
        <v>0</v>
      </c>
      <c r="H477" s="10"/>
      <c r="I477" s="10"/>
      <c r="J477" s="10"/>
      <c r="K477" s="12">
        <f t="shared" si="134"/>
        <v>0</v>
      </c>
      <c r="M477" s="10">
        <v>26</v>
      </c>
      <c r="N477" s="30"/>
      <c r="O477" s="31"/>
      <c r="P477" s="47"/>
      <c r="Q477" s="31"/>
      <c r="R477" s="31"/>
      <c r="S477" s="32">
        <f t="shared" si="135"/>
        <v>0</v>
      </c>
      <c r="T477" s="10"/>
      <c r="U477" s="10"/>
      <c r="V477" s="10"/>
      <c r="W477" s="12">
        <f t="shared" si="136"/>
        <v>0</v>
      </c>
      <c r="Y477" s="10">
        <v>26</v>
      </c>
      <c r="Z477" s="30"/>
      <c r="AB477" s="47"/>
      <c r="AC477" s="31"/>
      <c r="AD477" s="31"/>
      <c r="AE477" s="32">
        <f t="shared" si="137"/>
        <v>0</v>
      </c>
      <c r="AF477" s="10"/>
      <c r="AG477" s="10"/>
      <c r="AH477" s="10"/>
      <c r="AI477" s="12">
        <f t="shared" si="13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33"/>
        <v>0</v>
      </c>
      <c r="H478" s="10"/>
      <c r="I478" s="10"/>
      <c r="J478" s="10"/>
      <c r="K478" s="12">
        <f t="shared" si="134"/>
        <v>0</v>
      </c>
      <c r="M478" s="10">
        <v>27</v>
      </c>
      <c r="N478" s="30"/>
      <c r="O478" s="31"/>
      <c r="P478" s="47"/>
      <c r="Q478" s="31"/>
      <c r="R478" s="31"/>
      <c r="S478" s="32">
        <f t="shared" si="135"/>
        <v>0</v>
      </c>
      <c r="T478" s="10"/>
      <c r="U478" s="10"/>
      <c r="V478" s="10"/>
      <c r="W478" s="12">
        <f t="shared" si="136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37"/>
        <v>0</v>
      </c>
      <c r="AF478" s="10"/>
      <c r="AG478" s="10"/>
      <c r="AH478" s="10"/>
      <c r="AI478" s="12">
        <f t="shared" si="13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33"/>
        <v>0</v>
      </c>
      <c r="H479" s="10"/>
      <c r="I479" s="10"/>
      <c r="J479" s="10"/>
      <c r="K479" s="12">
        <f t="shared" si="134"/>
        <v>0</v>
      </c>
      <c r="M479" s="10">
        <v>28</v>
      </c>
      <c r="N479" s="30"/>
      <c r="O479" s="31"/>
      <c r="P479" s="47"/>
      <c r="Q479" s="31"/>
      <c r="R479" s="31"/>
      <c r="S479" s="32">
        <f t="shared" si="135"/>
        <v>0</v>
      </c>
      <c r="T479" s="10"/>
      <c r="U479" s="10"/>
      <c r="V479" s="10"/>
      <c r="W479" s="12">
        <f t="shared" si="136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37"/>
        <v>0</v>
      </c>
      <c r="AF479" s="10"/>
      <c r="AG479" s="10"/>
      <c r="AH479" s="10"/>
      <c r="AI479" s="12">
        <f t="shared" si="13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D480" s="32"/>
      <c r="E480" s="32"/>
      <c r="F480" s="32"/>
      <c r="G480" s="32">
        <f t="shared" si="133"/>
        <v>0</v>
      </c>
      <c r="H480" s="10"/>
      <c r="I480" s="10"/>
      <c r="J480" s="10"/>
      <c r="K480" s="12">
        <f t="shared" si="134"/>
        <v>0</v>
      </c>
      <c r="M480" s="10">
        <v>29</v>
      </c>
      <c r="N480" s="30"/>
      <c r="P480" s="47"/>
      <c r="Q480" s="31"/>
      <c r="R480" s="31"/>
      <c r="S480" s="32">
        <f t="shared" si="135"/>
        <v>0</v>
      </c>
      <c r="T480" s="10"/>
      <c r="U480" s="10"/>
      <c r="V480" s="10"/>
      <c r="W480" s="12">
        <f t="shared" si="136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37"/>
        <v>0</v>
      </c>
      <c r="AF480" s="10"/>
      <c r="AG480" s="10"/>
      <c r="AH480" s="10"/>
      <c r="AI480" s="12">
        <f t="shared" si="13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33"/>
        <v>0</v>
      </c>
      <c r="H481" s="10"/>
      <c r="I481" s="10"/>
      <c r="J481" s="10"/>
      <c r="K481" s="12">
        <f t="shared" si="134"/>
        <v>0</v>
      </c>
      <c r="M481" s="10">
        <v>30</v>
      </c>
      <c r="N481" s="30"/>
      <c r="P481" s="47"/>
      <c r="Q481" s="31"/>
      <c r="R481" s="31"/>
      <c r="S481" s="32">
        <f t="shared" si="135"/>
        <v>0</v>
      </c>
      <c r="T481" s="10"/>
      <c r="U481" s="10"/>
      <c r="V481" s="10"/>
      <c r="W481" s="12">
        <f t="shared" si="136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37"/>
        <v>0</v>
      </c>
      <c r="AF481" s="10"/>
      <c r="AG481" s="10"/>
      <c r="AH481" s="10"/>
      <c r="AI481" s="12">
        <f t="shared" si="13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31"/>
      <c r="D482" s="32"/>
      <c r="E482" s="32"/>
      <c r="F482" s="32"/>
      <c r="G482" s="32">
        <f t="shared" si="133"/>
        <v>0</v>
      </c>
      <c r="H482" s="10"/>
      <c r="I482" s="10"/>
      <c r="J482" s="10"/>
      <c r="K482" s="12">
        <f t="shared" si="134"/>
        <v>0</v>
      </c>
      <c r="M482" s="10">
        <v>31</v>
      </c>
      <c r="N482" s="30"/>
      <c r="O482" s="31"/>
      <c r="P482" s="47"/>
      <c r="Q482" s="31"/>
      <c r="R482" s="31"/>
      <c r="S482" s="32">
        <f t="shared" si="135"/>
        <v>0</v>
      </c>
      <c r="T482" s="10"/>
      <c r="U482" s="10"/>
      <c r="V482" s="10"/>
      <c r="W482" s="12">
        <f t="shared" si="136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37"/>
        <v>0</v>
      </c>
      <c r="AF482" s="10"/>
      <c r="AG482" s="10"/>
      <c r="AH482" s="10"/>
      <c r="AI482" s="12">
        <f t="shared" si="13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33"/>
        <v>0</v>
      </c>
      <c r="H483" s="10"/>
      <c r="I483" s="10"/>
      <c r="J483" s="10"/>
      <c r="K483" s="12">
        <f t="shared" si="134"/>
        <v>0</v>
      </c>
      <c r="M483" s="10">
        <v>32</v>
      </c>
      <c r="N483" s="30"/>
      <c r="P483" s="47"/>
      <c r="Q483" s="31"/>
      <c r="R483" s="31"/>
      <c r="S483" s="32">
        <f t="shared" si="135"/>
        <v>0</v>
      </c>
      <c r="T483" s="10"/>
      <c r="U483" s="10"/>
      <c r="V483" s="10"/>
      <c r="W483" s="12">
        <f t="shared" si="136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37"/>
        <v>0</v>
      </c>
      <c r="AF483" s="10"/>
      <c r="AG483" s="10"/>
      <c r="AH483" s="10"/>
      <c r="AI483" s="12">
        <f t="shared" si="13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33"/>
        <v>0</v>
      </c>
      <c r="H484" s="10"/>
      <c r="I484" s="10"/>
      <c r="J484" s="10"/>
      <c r="K484" s="12">
        <f t="shared" si="134"/>
        <v>0</v>
      </c>
      <c r="M484" s="10">
        <v>33</v>
      </c>
      <c r="N484" s="30"/>
      <c r="O484" s="31"/>
      <c r="P484" s="47"/>
      <c r="Q484" s="31"/>
      <c r="R484" s="31"/>
      <c r="S484" s="32">
        <f t="shared" si="135"/>
        <v>0</v>
      </c>
      <c r="T484" s="10"/>
      <c r="U484" s="10"/>
      <c r="V484" s="10"/>
      <c r="W484" s="12">
        <f t="shared" si="136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37"/>
        <v>0</v>
      </c>
      <c r="AF484" s="10"/>
      <c r="AG484" s="10"/>
      <c r="AH484" s="10"/>
      <c r="AI484" s="12">
        <f t="shared" si="13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33"/>
        <v>0</v>
      </c>
      <c r="H485" s="10"/>
      <c r="I485" s="10"/>
      <c r="J485" s="10"/>
      <c r="K485" s="12">
        <f t="shared" si="134"/>
        <v>0</v>
      </c>
      <c r="M485" s="10">
        <v>34</v>
      </c>
      <c r="N485" s="30"/>
      <c r="O485" s="31"/>
      <c r="P485" s="47"/>
      <c r="Q485" s="31"/>
      <c r="R485" s="31"/>
      <c r="S485" s="32">
        <f t="shared" si="135"/>
        <v>0</v>
      </c>
      <c r="T485" s="10"/>
      <c r="U485" s="10"/>
      <c r="V485" s="10"/>
      <c r="W485" s="12">
        <f t="shared" si="136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37"/>
        <v>0</v>
      </c>
      <c r="AF485" s="10"/>
      <c r="AG485" s="10"/>
      <c r="AH485" s="10"/>
      <c r="AI485" s="12">
        <f t="shared" si="13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35"/>
        <v>0</v>
      </c>
      <c r="T486" s="10"/>
      <c r="U486" s="10"/>
      <c r="V486" s="10"/>
      <c r="W486" s="12">
        <f t="shared" si="136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37"/>
        <v>0</v>
      </c>
      <c r="AF486" s="10"/>
      <c r="AG486" s="10"/>
      <c r="AH486" s="10"/>
      <c r="AI486" s="12">
        <f t="shared" si="13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35"/>
        <v>0</v>
      </c>
      <c r="T487" s="10"/>
      <c r="U487" s="10"/>
      <c r="V487" s="10"/>
      <c r="W487" s="12">
        <f t="shared" si="136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37"/>
        <v>0</v>
      </c>
      <c r="AF487" s="10"/>
      <c r="AG487" s="10"/>
      <c r="AH487" s="10"/>
      <c r="AI487" s="12">
        <f t="shared" si="13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35"/>
        <v>0</v>
      </c>
      <c r="T488" s="10"/>
      <c r="U488" s="10"/>
      <c r="V488" s="10"/>
      <c r="W488" s="12">
        <f t="shared" si="136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37"/>
        <v>0</v>
      </c>
      <c r="AF488" s="10"/>
      <c r="AG488" s="10"/>
      <c r="AH488" s="10"/>
      <c r="AI488" s="12">
        <f t="shared" si="13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35"/>
        <v>0</v>
      </c>
      <c r="T489" s="10"/>
      <c r="U489" s="10"/>
      <c r="V489" s="10"/>
      <c r="W489" s="12">
        <f t="shared" si="136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37"/>
        <v>0</v>
      </c>
      <c r="AF489" s="10"/>
      <c r="AG489" s="10"/>
      <c r="AH489" s="10"/>
      <c r="AI489" s="12">
        <f t="shared" si="13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35"/>
        <v>0</v>
      </c>
      <c r="T490" s="10"/>
      <c r="U490" s="10"/>
      <c r="V490" s="10"/>
      <c r="W490" s="12">
        <f t="shared" si="136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37"/>
        <v>0</v>
      </c>
      <c r="AF490" s="10"/>
      <c r="AG490" s="10"/>
      <c r="AH490" s="10"/>
      <c r="AI490" s="12">
        <f t="shared" si="13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36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3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42">SUM(D492:E492)</f>
        <v>0</v>
      </c>
      <c r="H492" s="10"/>
      <c r="I492" s="10"/>
      <c r="J492" s="10"/>
      <c r="K492" s="12">
        <f t="shared" ref="K492" si="143">SUM(G492:J492)</f>
        <v>0</v>
      </c>
      <c r="M492" s="10"/>
      <c r="N492" s="30"/>
      <c r="O492" s="31"/>
      <c r="P492" s="47"/>
      <c r="Q492" s="31"/>
      <c r="R492" s="31"/>
      <c r="S492" s="32">
        <f t="shared" ref="S492" si="144">SUM(P492:Q492)</f>
        <v>0</v>
      </c>
      <c r="T492" s="10"/>
      <c r="U492" s="10"/>
      <c r="V492" s="10"/>
      <c r="W492" s="12">
        <f t="shared" si="136"/>
        <v>0</v>
      </c>
      <c r="Y492" s="10"/>
      <c r="Z492" s="30"/>
      <c r="AA492" s="31"/>
      <c r="AB492" s="47"/>
      <c r="AC492" s="31"/>
      <c r="AD492" s="31"/>
      <c r="AE492" s="32">
        <f t="shared" ref="AE492" si="145">SUM(AB492:AC492)</f>
        <v>0</v>
      </c>
      <c r="AF492" s="10"/>
      <c r="AG492" s="10"/>
      <c r="AH492" s="10"/>
      <c r="AI492" s="12">
        <f t="shared" si="13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36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3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144937</v>
      </c>
      <c r="E495" s="38">
        <f t="shared" ref="E495:F495" si="146">SUM(E452:E492)</f>
        <v>0</v>
      </c>
      <c r="F495" s="38">
        <f t="shared" si="146"/>
        <v>0</v>
      </c>
      <c r="G495" s="38">
        <f>SUM(G452:G494)</f>
        <v>144937</v>
      </c>
      <c r="H495" s="4"/>
      <c r="I495" s="39">
        <f>SUM(I452:I494)</f>
        <v>652</v>
      </c>
      <c r="J495" s="39">
        <f>SUM(J452:J494)</f>
        <v>0</v>
      </c>
      <c r="K495" s="40">
        <f>SUM(K452:K494)</f>
        <v>145589</v>
      </c>
      <c r="N495" s="57"/>
      <c r="O495" s="57"/>
      <c r="P495" s="38">
        <f>SUM(P452:P494)</f>
        <v>165680</v>
      </c>
      <c r="Q495" s="38">
        <f>SUM(Q452:Q476)</f>
        <v>-912</v>
      </c>
      <c r="R495" s="38">
        <f>SUM(R452:R476)</f>
        <v>0</v>
      </c>
      <c r="S495" s="38">
        <f>SUM(S452:S494)</f>
        <v>164768</v>
      </c>
      <c r="T495" s="4"/>
      <c r="U495" s="41">
        <f>SUM(U452:U494)</f>
        <v>203.25</v>
      </c>
      <c r="V495" s="41">
        <f>SUM(V452:V476)</f>
        <v>0</v>
      </c>
      <c r="W495" s="42">
        <f>SUM(W452:W494)</f>
        <v>164971.25</v>
      </c>
      <c r="Z495" s="57"/>
      <c r="AA495" s="57"/>
      <c r="AB495" s="38">
        <f>SUM(AB452:AB494)</f>
        <v>357228</v>
      </c>
      <c r="AC495" s="38">
        <f>SUM(AC452:AC476)</f>
        <v>-918</v>
      </c>
      <c r="AD495" s="38">
        <f>SUM(AD452:AD476)</f>
        <v>0</v>
      </c>
      <c r="AE495" s="38">
        <f>SUM(AE452:AE494)</f>
        <v>356310</v>
      </c>
      <c r="AF495" s="4"/>
      <c r="AG495" s="41">
        <f>SUM(AG452:AG494)</f>
        <v>42348</v>
      </c>
      <c r="AH495" s="41">
        <f>SUM(AH452:AH476)</f>
        <v>-8325</v>
      </c>
      <c r="AI495" s="42">
        <f>SUM(AI452:AI494)</f>
        <v>390333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52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52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52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6" t="s">
        <v>18</v>
      </c>
      <c r="E505" s="116"/>
      <c r="F505" s="96"/>
      <c r="G505" s="27"/>
      <c r="I505" s="114" t="s">
        <v>19</v>
      </c>
      <c r="J505" s="115"/>
      <c r="K505" s="112" t="s">
        <v>20</v>
      </c>
      <c r="N505" s="25"/>
      <c r="O505" s="26"/>
      <c r="P505" s="116" t="s">
        <v>18</v>
      </c>
      <c r="Q505" s="116"/>
      <c r="R505" s="96"/>
      <c r="S505" s="27"/>
      <c r="U505" s="114" t="s">
        <v>19</v>
      </c>
      <c r="V505" s="115"/>
      <c r="W505" s="112" t="s">
        <v>20</v>
      </c>
      <c r="Z505" s="25"/>
      <c r="AA505" s="26"/>
      <c r="AB505" s="116" t="s">
        <v>18</v>
      </c>
      <c r="AC505" s="116"/>
      <c r="AD505" s="98"/>
      <c r="AE505" s="27"/>
      <c r="AG505" s="114" t="s">
        <v>19</v>
      </c>
      <c r="AH505" s="115"/>
      <c r="AI505" s="112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36</v>
      </c>
      <c r="G506" s="80" t="s">
        <v>25</v>
      </c>
      <c r="I506" s="29" t="s">
        <v>26</v>
      </c>
      <c r="J506" s="29" t="s">
        <v>27</v>
      </c>
      <c r="K506" s="113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36</v>
      </c>
      <c r="S506" s="80" t="s">
        <v>25</v>
      </c>
      <c r="U506" s="29" t="s">
        <v>26</v>
      </c>
      <c r="V506" s="29" t="s">
        <v>27</v>
      </c>
      <c r="W506" s="113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36</v>
      </c>
      <c r="AE506" s="80" t="s">
        <v>25</v>
      </c>
      <c r="AG506" s="29" t="s">
        <v>26</v>
      </c>
      <c r="AH506" s="29" t="s">
        <v>27</v>
      </c>
      <c r="AI506" s="113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65</v>
      </c>
      <c r="C507" s="31">
        <v>5892</v>
      </c>
      <c r="D507" s="32">
        <f>6260+95</f>
        <v>6355</v>
      </c>
      <c r="E507" s="32"/>
      <c r="F507" s="32"/>
      <c r="G507" s="32">
        <f t="shared" ref="G507:G540" si="147">SUM(D507:E507)</f>
        <v>6355</v>
      </c>
      <c r="H507" s="12"/>
      <c r="I507" s="12"/>
      <c r="J507" s="12"/>
      <c r="K507" s="12">
        <f t="shared" ref="K507:K540" si="148">SUM(G507:J507)</f>
        <v>6355</v>
      </c>
      <c r="M507" s="10">
        <v>1</v>
      </c>
      <c r="N507" s="30" t="s">
        <v>65</v>
      </c>
      <c r="O507" s="31">
        <v>5920</v>
      </c>
      <c r="P507" s="32">
        <f>100160+23840+4260+1832</f>
        <v>130092</v>
      </c>
      <c r="Q507" s="32">
        <v>-1917</v>
      </c>
      <c r="R507" s="32"/>
      <c r="S507" s="32">
        <f>SUM(P507:Q507)</f>
        <v>128175</v>
      </c>
      <c r="T507" s="12"/>
      <c r="U507" s="12">
        <f>120+6882+546</f>
        <v>7548</v>
      </c>
      <c r="V507" s="12">
        <f>-84+-126</f>
        <v>-210</v>
      </c>
      <c r="W507" s="12">
        <f>SUM(S507:V507)</f>
        <v>135513</v>
      </c>
      <c r="Y507" s="10">
        <v>1</v>
      </c>
      <c r="Z507" s="30" t="s">
        <v>65</v>
      </c>
      <c r="AA507" s="31">
        <v>5801</v>
      </c>
      <c r="AB507" s="32">
        <f>282952+5526+67348+1175+1175+5038+1300</f>
        <v>364514</v>
      </c>
      <c r="AC507" s="32">
        <v>-3600</v>
      </c>
      <c r="AD507" s="32"/>
      <c r="AE507" s="32">
        <f>SUM(AB507:AC507)</f>
        <v>360914</v>
      </c>
      <c r="AF507" s="12"/>
      <c r="AG507" s="12">
        <v>648</v>
      </c>
      <c r="AH507" s="12"/>
      <c r="AI507" s="12">
        <f>SUM(AE507:AH507)</f>
        <v>361562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65</v>
      </c>
      <c r="C508" s="31">
        <f>C507+1</f>
        <v>5893</v>
      </c>
      <c r="D508" s="32">
        <f>81380+11920+458</f>
        <v>93758</v>
      </c>
      <c r="E508" s="32"/>
      <c r="F508" s="32"/>
      <c r="G508" s="32">
        <f t="shared" si="147"/>
        <v>93758</v>
      </c>
      <c r="H508" s="12"/>
      <c r="I508" s="12">
        <v>5106</v>
      </c>
      <c r="J508" s="12"/>
      <c r="K508" s="12">
        <f t="shared" si="148"/>
        <v>98864</v>
      </c>
      <c r="M508" s="10">
        <v>2</v>
      </c>
      <c r="N508" s="30" t="s">
        <v>65</v>
      </c>
      <c r="O508" s="31">
        <f>O507+1</f>
        <v>5921</v>
      </c>
      <c r="P508" s="32">
        <f>53210+6140+8940</f>
        <v>68290</v>
      </c>
      <c r="Q508" s="32">
        <v>-880</v>
      </c>
      <c r="R508" s="32"/>
      <c r="S508" s="32">
        <f t="shared" ref="S508:S545" si="149">SUM(P508:Q508)</f>
        <v>67410</v>
      </c>
      <c r="T508" s="12"/>
      <c r="U508" s="12"/>
      <c r="V508" s="12"/>
      <c r="W508" s="12">
        <f t="shared" ref="W508:W548" si="150">SUM(S508:V508)</f>
        <v>67410</v>
      </c>
      <c r="Y508" s="10">
        <v>2</v>
      </c>
      <c r="Z508" s="30" t="s">
        <v>65</v>
      </c>
      <c r="AA508" s="31">
        <f>AA507+1</f>
        <v>5802</v>
      </c>
      <c r="AB508" s="32">
        <f>15650+1704+1664+687+500</f>
        <v>20205</v>
      </c>
      <c r="AC508" s="32"/>
      <c r="AD508" s="32"/>
      <c r="AE508" s="32">
        <f t="shared" ref="AE508:AE545" si="151">SUM(AB508:AC508)</f>
        <v>20205</v>
      </c>
      <c r="AF508" s="12"/>
      <c r="AG508" s="12">
        <v>54</v>
      </c>
      <c r="AH508" s="12"/>
      <c r="AI508" s="12">
        <f t="shared" ref="AI508:AI548" si="152">SUM(AE508:AH508)</f>
        <v>20259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65</v>
      </c>
      <c r="C509" s="31">
        <f t="shared" ref="C509:C514" si="153">C508+1</f>
        <v>5894</v>
      </c>
      <c r="D509" s="33">
        <f>1252+19</f>
        <v>1271</v>
      </c>
      <c r="E509" s="33"/>
      <c r="F509" s="33"/>
      <c r="G509" s="33">
        <f t="shared" si="147"/>
        <v>1271</v>
      </c>
      <c r="H509" s="34"/>
      <c r="I509" s="34"/>
      <c r="J509" s="34"/>
      <c r="K509" s="34">
        <f t="shared" si="148"/>
        <v>1271</v>
      </c>
      <c r="M509" s="10">
        <v>3</v>
      </c>
      <c r="N509" s="30" t="s">
        <v>65</v>
      </c>
      <c r="O509" s="31">
        <f t="shared" ref="O509:O512" si="154">O508+1</f>
        <v>5922</v>
      </c>
      <c r="P509" s="32">
        <f>3756+57</f>
        <v>3813</v>
      </c>
      <c r="Q509" s="32"/>
      <c r="R509" s="32"/>
      <c r="S509" s="32">
        <f t="shared" si="149"/>
        <v>3813</v>
      </c>
      <c r="T509" s="12"/>
      <c r="U509" s="12"/>
      <c r="V509" s="12"/>
      <c r="W509" s="12">
        <f t="shared" si="150"/>
        <v>3813</v>
      </c>
      <c r="Y509" s="10">
        <v>3</v>
      </c>
      <c r="Z509" s="30" t="s">
        <v>65</v>
      </c>
      <c r="AA509" s="31">
        <f t="shared" ref="AA509:AA511" si="155">AA508+1</f>
        <v>5803</v>
      </c>
      <c r="AB509" s="33">
        <f>137720+6140+1348+11920+1704+2496+2061</f>
        <v>163389</v>
      </c>
      <c r="AC509" s="33"/>
      <c r="AD509" s="32"/>
      <c r="AE509" s="32">
        <f t="shared" si="151"/>
        <v>163389</v>
      </c>
      <c r="AF509" s="12"/>
      <c r="AG509" s="12">
        <f>600+25752+702</f>
        <v>27054</v>
      </c>
      <c r="AH509" s="12"/>
      <c r="AI509" s="12">
        <f t="shared" si="152"/>
        <v>190443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65</v>
      </c>
      <c r="C510" s="31">
        <f t="shared" si="153"/>
        <v>5895</v>
      </c>
      <c r="D510" s="32">
        <f>1252+19</f>
        <v>1271</v>
      </c>
      <c r="E510" s="32"/>
      <c r="F510" s="32"/>
      <c r="G510" s="32">
        <f t="shared" si="147"/>
        <v>1271</v>
      </c>
      <c r="H510" s="12"/>
      <c r="I510" s="12"/>
      <c r="J510" s="12"/>
      <c r="K510" s="12">
        <f t="shared" si="148"/>
        <v>1271</v>
      </c>
      <c r="M510" s="10">
        <v>4</v>
      </c>
      <c r="N510" s="30" t="s">
        <v>65</v>
      </c>
      <c r="O510" s="31">
        <f t="shared" si="154"/>
        <v>5923</v>
      </c>
      <c r="P510" s="32">
        <f>9390+1192</f>
        <v>10582</v>
      </c>
      <c r="Q510" s="32"/>
      <c r="R510" s="32"/>
      <c r="S510" s="32">
        <f t="shared" si="149"/>
        <v>10582</v>
      </c>
      <c r="T510" s="12"/>
      <c r="U510" s="12"/>
      <c r="V510" s="12"/>
      <c r="W510" s="12">
        <f t="shared" si="150"/>
        <v>10582</v>
      </c>
      <c r="Y510" s="10">
        <v>4</v>
      </c>
      <c r="Z510" s="30" t="s">
        <v>65</v>
      </c>
      <c r="AA510" s="31">
        <v>5497</v>
      </c>
      <c r="AB510" s="32">
        <f>456.5+1704+416+500</f>
        <v>3076.5</v>
      </c>
      <c r="AC510" s="32"/>
      <c r="AD510" s="32"/>
      <c r="AE510" s="32">
        <f t="shared" si="151"/>
        <v>3076.5</v>
      </c>
      <c r="AF510" s="12"/>
      <c r="AH510" s="12"/>
      <c r="AI510" s="12">
        <f t="shared" si="152"/>
        <v>3076.5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65</v>
      </c>
      <c r="C511" s="31">
        <f t="shared" si="153"/>
        <v>5896</v>
      </c>
      <c r="D511" s="32">
        <f>2504+38</f>
        <v>2542</v>
      </c>
      <c r="E511" s="32"/>
      <c r="F511" s="32"/>
      <c r="G511" s="32">
        <f t="shared" si="147"/>
        <v>2542</v>
      </c>
      <c r="H511" s="12"/>
      <c r="I511" s="12"/>
      <c r="J511" s="12"/>
      <c r="K511" s="12">
        <f t="shared" si="148"/>
        <v>2542</v>
      </c>
      <c r="M511" s="10">
        <v>5</v>
      </c>
      <c r="N511" s="30" t="s">
        <v>65</v>
      </c>
      <c r="O511" s="31">
        <f t="shared" si="154"/>
        <v>5924</v>
      </c>
      <c r="P511" s="32">
        <f>3756+596+66.5</f>
        <v>4418.5</v>
      </c>
      <c r="Q511" s="32"/>
      <c r="R511" s="32"/>
      <c r="S511" s="32">
        <f t="shared" si="149"/>
        <v>4418.5</v>
      </c>
      <c r="T511" s="12"/>
      <c r="U511" s="12"/>
      <c r="V511" s="12"/>
      <c r="W511" s="12">
        <f t="shared" si="150"/>
        <v>4418.5</v>
      </c>
      <c r="Y511" s="10">
        <v>5</v>
      </c>
      <c r="Z511" s="30" t="s">
        <v>65</v>
      </c>
      <c r="AA511" s="31">
        <f t="shared" si="155"/>
        <v>5498</v>
      </c>
      <c r="AB511" s="32">
        <f>135216+15350+64368+1704+5025+1145</f>
        <v>222808</v>
      </c>
      <c r="AC511" s="32">
        <v>-2166</v>
      </c>
      <c r="AD511" s="32"/>
      <c r="AE511" s="32">
        <f t="shared" si="151"/>
        <v>220642</v>
      </c>
      <c r="AF511" s="12"/>
      <c r="AG511" s="12">
        <v>600</v>
      </c>
      <c r="AH511" s="12">
        <v>-4995</v>
      </c>
      <c r="AI511" s="12">
        <f t="shared" si="152"/>
        <v>216247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65</v>
      </c>
      <c r="C512" s="31">
        <f t="shared" si="153"/>
        <v>5897</v>
      </c>
      <c r="D512" s="32">
        <f>18260</f>
        <v>18260</v>
      </c>
      <c r="E512" s="32"/>
      <c r="F512" s="32"/>
      <c r="G512" s="32">
        <f t="shared" si="147"/>
        <v>18260</v>
      </c>
      <c r="H512" s="12"/>
      <c r="I512" s="12"/>
      <c r="J512" s="12"/>
      <c r="K512" s="12">
        <f t="shared" si="148"/>
        <v>18260</v>
      </c>
      <c r="M512" s="10">
        <v>6</v>
      </c>
      <c r="N512" s="30" t="s">
        <v>65</v>
      </c>
      <c r="O512" s="31">
        <f t="shared" si="154"/>
        <v>5925</v>
      </c>
      <c r="P512" s="32">
        <f>3130</f>
        <v>3130</v>
      </c>
      <c r="Q512" s="32"/>
      <c r="R512" s="32"/>
      <c r="S512" s="32">
        <f t="shared" si="149"/>
        <v>3130</v>
      </c>
      <c r="T512" s="12"/>
      <c r="U512" s="12"/>
      <c r="V512" s="10"/>
      <c r="W512" s="12">
        <f t="shared" si="150"/>
        <v>3130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51"/>
        <v>0</v>
      </c>
      <c r="AF512" s="12"/>
      <c r="AG512" s="12"/>
      <c r="AH512" s="10"/>
      <c r="AI512" s="12">
        <f t="shared" si="152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65</v>
      </c>
      <c r="C513" s="31">
        <f t="shared" si="153"/>
        <v>5898</v>
      </c>
      <c r="D513" s="32">
        <f>84510+14900+458</f>
        <v>99868</v>
      </c>
      <c r="E513" s="32">
        <v>-1296</v>
      </c>
      <c r="F513" s="32"/>
      <c r="G513" s="32">
        <f t="shared" si="147"/>
        <v>98572</v>
      </c>
      <c r="H513" s="12"/>
      <c r="I513" s="12"/>
      <c r="J513" s="12"/>
      <c r="K513" s="12">
        <f t="shared" si="148"/>
        <v>98572</v>
      </c>
      <c r="M513" s="10">
        <v>7</v>
      </c>
      <c r="N513" s="30"/>
      <c r="O513" s="11" t="s">
        <v>28</v>
      </c>
      <c r="P513" s="32"/>
      <c r="Q513" s="32"/>
      <c r="R513" s="32"/>
      <c r="S513" s="32">
        <f t="shared" si="149"/>
        <v>0</v>
      </c>
      <c r="T513" s="12"/>
      <c r="U513" s="12"/>
      <c r="V513" s="12"/>
      <c r="W513" s="12">
        <f t="shared" si="150"/>
        <v>0</v>
      </c>
      <c r="Y513" s="10">
        <v>7</v>
      </c>
      <c r="Z513" s="30"/>
      <c r="AA513" s="31"/>
      <c r="AB513" s="32"/>
      <c r="AC513" s="32"/>
      <c r="AD513" s="32"/>
      <c r="AE513" s="32">
        <f t="shared" si="151"/>
        <v>0</v>
      </c>
      <c r="AF513" s="12"/>
      <c r="AG513" s="58"/>
      <c r="AH513" s="12"/>
      <c r="AI513" s="12">
        <f t="shared" si="152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65</v>
      </c>
      <c r="C514" s="31">
        <f t="shared" si="153"/>
        <v>5899</v>
      </c>
      <c r="D514" s="32">
        <f>2556+3015+2496+1500</f>
        <v>9567</v>
      </c>
      <c r="E514" s="32"/>
      <c r="F514" s="32"/>
      <c r="G514" s="32">
        <f t="shared" si="147"/>
        <v>9567</v>
      </c>
      <c r="H514" s="12"/>
      <c r="I514" s="12"/>
      <c r="J514" s="12"/>
      <c r="K514" s="12">
        <f t="shared" si="148"/>
        <v>9567</v>
      </c>
      <c r="M514" s="10">
        <v>8</v>
      </c>
      <c r="N514" s="30"/>
      <c r="O514" s="31"/>
      <c r="P514" s="32"/>
      <c r="Q514" s="32"/>
      <c r="R514" s="32"/>
      <c r="S514" s="32">
        <f t="shared" si="149"/>
        <v>0</v>
      </c>
      <c r="T514" s="12"/>
      <c r="U514" s="12"/>
      <c r="V514" s="12"/>
      <c r="W514" s="12">
        <f t="shared" si="150"/>
        <v>0</v>
      </c>
      <c r="Y514" s="10">
        <v>8</v>
      </c>
      <c r="Z514" s="30"/>
      <c r="AA514" s="31"/>
      <c r="AB514" s="32"/>
      <c r="AC514" s="32"/>
      <c r="AE514" s="32">
        <f t="shared" si="151"/>
        <v>0</v>
      </c>
      <c r="AF514" s="12"/>
      <c r="AG514" s="12"/>
      <c r="AH514" s="12"/>
      <c r="AI514" s="12">
        <f t="shared" si="152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/>
      <c r="C515" s="11" t="s">
        <v>28</v>
      </c>
      <c r="D515" s="32"/>
      <c r="E515" s="32"/>
      <c r="F515" s="32"/>
      <c r="G515" s="32">
        <f t="shared" si="147"/>
        <v>0</v>
      </c>
      <c r="H515" s="12"/>
      <c r="I515" s="12"/>
      <c r="J515" s="12"/>
      <c r="K515" s="12">
        <f t="shared" si="148"/>
        <v>0</v>
      </c>
      <c r="M515" s="10">
        <v>9</v>
      </c>
      <c r="N515" s="30"/>
      <c r="O515" s="31"/>
      <c r="P515" s="32"/>
      <c r="Q515" s="32"/>
      <c r="R515" s="32"/>
      <c r="S515" s="32">
        <f t="shared" si="149"/>
        <v>0</v>
      </c>
      <c r="T515" s="12"/>
      <c r="U515" s="12"/>
      <c r="V515" s="12"/>
      <c r="W515" s="12">
        <f t="shared" si="150"/>
        <v>0</v>
      </c>
      <c r="Y515" s="10">
        <v>9</v>
      </c>
      <c r="Z515" s="30"/>
      <c r="AA515" s="31"/>
      <c r="AC515" s="32"/>
      <c r="AD515" s="32"/>
      <c r="AE515" s="32">
        <f t="shared" si="151"/>
        <v>0</v>
      </c>
      <c r="AF515" s="12"/>
      <c r="AH515" s="12"/>
      <c r="AI515" s="12">
        <f t="shared" si="152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/>
      <c r="C516" s="31"/>
      <c r="D516" s="32"/>
      <c r="E516" s="32"/>
      <c r="F516" s="32"/>
      <c r="G516" s="32">
        <f t="shared" si="147"/>
        <v>0</v>
      </c>
      <c r="H516" s="12"/>
      <c r="I516" s="12"/>
      <c r="J516" s="12"/>
      <c r="K516" s="12">
        <f t="shared" si="148"/>
        <v>0</v>
      </c>
      <c r="M516" s="10">
        <v>10</v>
      </c>
      <c r="N516" s="30"/>
      <c r="O516" s="31"/>
      <c r="P516" s="32"/>
      <c r="Q516" s="32"/>
      <c r="R516" s="32"/>
      <c r="S516" s="32">
        <f t="shared" si="149"/>
        <v>0</v>
      </c>
      <c r="T516" s="12"/>
      <c r="U516" s="12"/>
      <c r="V516" s="12"/>
      <c r="W516" s="12">
        <f t="shared" si="150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51"/>
        <v>0</v>
      </c>
      <c r="AF516" s="12"/>
      <c r="AG516" s="12"/>
      <c r="AH516" s="12"/>
      <c r="AI516" s="12">
        <f t="shared" si="152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31"/>
      <c r="D517" s="32"/>
      <c r="E517" s="32"/>
      <c r="F517" s="32"/>
      <c r="G517" s="32">
        <f t="shared" si="147"/>
        <v>0</v>
      </c>
      <c r="H517" s="12"/>
      <c r="I517" s="12"/>
      <c r="J517" s="12"/>
      <c r="K517" s="12">
        <f t="shared" si="148"/>
        <v>0</v>
      </c>
      <c r="M517" s="10">
        <v>11</v>
      </c>
      <c r="N517" s="30"/>
      <c r="O517" s="31"/>
      <c r="P517" s="32"/>
      <c r="Q517" s="32"/>
      <c r="R517" s="32"/>
      <c r="S517" s="32">
        <f t="shared" si="149"/>
        <v>0</v>
      </c>
      <c r="T517" s="12"/>
      <c r="U517" s="12"/>
      <c r="V517" s="12"/>
      <c r="W517" s="12">
        <f t="shared" si="150"/>
        <v>0</v>
      </c>
      <c r="Y517" s="10">
        <v>11</v>
      </c>
      <c r="Z517" s="30"/>
      <c r="AA517" s="31"/>
      <c r="AB517" s="32"/>
      <c r="AC517" s="32"/>
      <c r="AD517" s="32"/>
      <c r="AE517" s="32">
        <f t="shared" si="151"/>
        <v>0</v>
      </c>
      <c r="AF517" s="12"/>
      <c r="AG517" s="12"/>
      <c r="AH517" s="12"/>
      <c r="AI517" s="12">
        <f t="shared" si="152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47"/>
        <v>0</v>
      </c>
      <c r="H518" s="12"/>
      <c r="I518" s="12"/>
      <c r="J518" s="10"/>
      <c r="K518" s="12">
        <f t="shared" si="148"/>
        <v>0</v>
      </c>
      <c r="M518" s="10">
        <v>12</v>
      </c>
      <c r="N518" s="30"/>
      <c r="O518" s="31"/>
      <c r="P518" s="32"/>
      <c r="Q518" s="32"/>
      <c r="R518" s="32"/>
      <c r="S518" s="32">
        <f t="shared" si="149"/>
        <v>0</v>
      </c>
      <c r="T518" s="12"/>
      <c r="U518" s="12"/>
      <c r="V518" s="12"/>
      <c r="W518" s="12">
        <f t="shared" si="150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51"/>
        <v>0</v>
      </c>
      <c r="AF518" s="12"/>
      <c r="AG518" s="12"/>
      <c r="AH518" s="12"/>
      <c r="AI518" s="12">
        <f t="shared" si="152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47"/>
        <v>0</v>
      </c>
      <c r="H519" s="12"/>
      <c r="I519" s="12"/>
      <c r="J519" s="12"/>
      <c r="K519" s="12">
        <f t="shared" si="148"/>
        <v>0</v>
      </c>
      <c r="M519" s="10">
        <v>13</v>
      </c>
      <c r="N519" s="30"/>
      <c r="O519" s="31"/>
      <c r="P519" s="32"/>
      <c r="Q519" s="32"/>
      <c r="R519" s="32"/>
      <c r="S519" s="32">
        <f t="shared" si="149"/>
        <v>0</v>
      </c>
      <c r="T519" s="12"/>
      <c r="U519" s="12"/>
      <c r="V519" s="12"/>
      <c r="W519" s="12">
        <f t="shared" si="150"/>
        <v>0</v>
      </c>
      <c r="Y519" s="10">
        <v>13</v>
      </c>
      <c r="Z519" s="30"/>
      <c r="AB519" s="32"/>
      <c r="AC519" s="32"/>
      <c r="AD519" s="32"/>
      <c r="AE519" s="32">
        <f t="shared" si="151"/>
        <v>0</v>
      </c>
      <c r="AF519" s="12"/>
      <c r="AG519" s="12"/>
      <c r="AH519" s="12"/>
      <c r="AI519" s="12">
        <f t="shared" si="152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47"/>
        <v>0</v>
      </c>
      <c r="H520" s="12"/>
      <c r="I520" s="12"/>
      <c r="J520" s="12"/>
      <c r="K520" s="12">
        <f t="shared" si="148"/>
        <v>0</v>
      </c>
      <c r="M520" s="10">
        <v>14</v>
      </c>
      <c r="N520" s="30"/>
      <c r="O520" s="31"/>
      <c r="P520" s="32"/>
      <c r="Q520" s="32"/>
      <c r="R520" s="32"/>
      <c r="S520" s="32">
        <f t="shared" si="149"/>
        <v>0</v>
      </c>
      <c r="T520" s="12"/>
      <c r="U520" s="12"/>
      <c r="V520" s="12"/>
      <c r="W520" s="12">
        <f t="shared" si="150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51"/>
        <v>0</v>
      </c>
      <c r="AF520" s="12"/>
      <c r="AG520" s="12"/>
      <c r="AH520" s="12"/>
      <c r="AI520" s="12">
        <f t="shared" si="152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47"/>
        <v>0</v>
      </c>
      <c r="H521" s="12"/>
      <c r="I521" s="12"/>
      <c r="J521" s="12"/>
      <c r="K521" s="12">
        <f t="shared" si="148"/>
        <v>0</v>
      </c>
      <c r="M521" s="10">
        <v>15</v>
      </c>
      <c r="N521" s="30"/>
      <c r="O521" s="31"/>
      <c r="P521" s="32"/>
      <c r="Q521" s="32"/>
      <c r="R521" s="32"/>
      <c r="S521" s="32">
        <f t="shared" si="149"/>
        <v>0</v>
      </c>
      <c r="T521" s="12"/>
      <c r="U521" s="12"/>
      <c r="V521" s="12"/>
      <c r="W521" s="12">
        <f t="shared" si="150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51"/>
        <v>0</v>
      </c>
      <c r="AF521" s="12"/>
      <c r="AG521" s="12"/>
      <c r="AH521" s="12"/>
      <c r="AI521" s="12">
        <f t="shared" si="152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47"/>
        <v>0</v>
      </c>
      <c r="H522" s="12"/>
      <c r="I522" s="12"/>
      <c r="J522" s="12"/>
      <c r="K522" s="12">
        <f t="shared" si="148"/>
        <v>0</v>
      </c>
      <c r="M522" s="10">
        <v>16</v>
      </c>
      <c r="N522" s="30"/>
      <c r="O522" s="31"/>
      <c r="P522" s="32"/>
      <c r="Q522" s="32"/>
      <c r="R522" s="32"/>
      <c r="S522" s="32">
        <f t="shared" si="149"/>
        <v>0</v>
      </c>
      <c r="T522" s="12"/>
      <c r="U522" s="12"/>
      <c r="V522" s="12"/>
      <c r="W522" s="12">
        <f t="shared" si="150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51"/>
        <v>0</v>
      </c>
      <c r="AF522" s="12"/>
      <c r="AG522" s="12"/>
      <c r="AH522" s="12"/>
      <c r="AI522" s="12">
        <f t="shared" si="152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47"/>
        <v>0</v>
      </c>
      <c r="H523" s="12"/>
      <c r="I523" s="12"/>
      <c r="J523" s="12"/>
      <c r="K523" s="12">
        <f t="shared" si="148"/>
        <v>0</v>
      </c>
      <c r="M523" s="10">
        <v>17</v>
      </c>
      <c r="N523" s="30"/>
      <c r="O523" s="31"/>
      <c r="P523" s="35"/>
      <c r="Q523" s="32"/>
      <c r="R523" s="32"/>
      <c r="S523" s="32">
        <f t="shared" si="149"/>
        <v>0</v>
      </c>
      <c r="T523" s="12"/>
      <c r="U523" s="12"/>
      <c r="V523" s="12"/>
      <c r="W523" s="12">
        <f t="shared" si="150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51"/>
        <v>0</v>
      </c>
      <c r="AF523" s="12"/>
      <c r="AG523" s="12"/>
      <c r="AH523" s="12"/>
      <c r="AI523" s="12">
        <f t="shared" si="152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47"/>
        <v>0</v>
      </c>
      <c r="H524" s="12"/>
      <c r="I524" s="12"/>
      <c r="J524" s="12"/>
      <c r="K524" s="12">
        <f t="shared" si="148"/>
        <v>0</v>
      </c>
      <c r="M524" s="10">
        <v>18</v>
      </c>
      <c r="N524" s="30"/>
      <c r="O524" s="31"/>
      <c r="P524" s="32"/>
      <c r="Q524" s="32"/>
      <c r="R524" s="32"/>
      <c r="S524" s="32">
        <f t="shared" si="149"/>
        <v>0</v>
      </c>
      <c r="T524" s="12"/>
      <c r="U524" s="12"/>
      <c r="V524" s="12"/>
      <c r="W524" s="12">
        <f t="shared" si="150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51"/>
        <v>0</v>
      </c>
      <c r="AF524" s="12"/>
      <c r="AG524" s="12"/>
      <c r="AH524" s="12"/>
      <c r="AI524" s="12">
        <f t="shared" si="152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47"/>
        <v>0</v>
      </c>
      <c r="H525" s="12"/>
      <c r="I525" s="12"/>
      <c r="J525" s="12"/>
      <c r="K525" s="12">
        <f t="shared" si="148"/>
        <v>0</v>
      </c>
      <c r="M525" s="10">
        <v>19</v>
      </c>
      <c r="N525" s="30"/>
      <c r="O525" s="31"/>
      <c r="P525" s="32"/>
      <c r="Q525" s="32"/>
      <c r="R525" s="32"/>
      <c r="S525" s="32">
        <f t="shared" si="149"/>
        <v>0</v>
      </c>
      <c r="T525" s="12"/>
      <c r="U525" s="12"/>
      <c r="V525" s="12"/>
      <c r="W525" s="12">
        <f t="shared" si="150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51"/>
        <v>0</v>
      </c>
      <c r="AF525" s="12"/>
      <c r="AG525" s="12"/>
      <c r="AH525" s="12"/>
      <c r="AI525" s="12">
        <f t="shared" si="152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47"/>
        <v>0</v>
      </c>
      <c r="H526" s="12"/>
      <c r="I526" s="12"/>
      <c r="J526" s="12"/>
      <c r="K526" s="12">
        <f t="shared" si="148"/>
        <v>0</v>
      </c>
      <c r="M526" s="10">
        <v>20</v>
      </c>
      <c r="N526" s="30"/>
      <c r="P526" s="32"/>
      <c r="Q526" s="32"/>
      <c r="R526" s="32"/>
      <c r="S526" s="32">
        <f t="shared" si="149"/>
        <v>0</v>
      </c>
      <c r="T526" s="12"/>
      <c r="U526" s="12"/>
      <c r="V526" s="12"/>
      <c r="W526" s="12">
        <f t="shared" si="150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51"/>
        <v>0</v>
      </c>
      <c r="AF526" s="12"/>
      <c r="AG526" s="12"/>
      <c r="AH526" s="12"/>
      <c r="AI526" s="12">
        <f t="shared" si="152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47"/>
        <v>0</v>
      </c>
      <c r="H527" s="10"/>
      <c r="I527" s="10"/>
      <c r="J527" s="10"/>
      <c r="K527" s="12">
        <f t="shared" si="148"/>
        <v>0</v>
      </c>
      <c r="M527" s="10">
        <v>21</v>
      </c>
      <c r="N527" s="30"/>
      <c r="P527" s="46"/>
      <c r="Q527" s="31"/>
      <c r="R527" s="31"/>
      <c r="S527" s="32">
        <f t="shared" si="149"/>
        <v>0</v>
      </c>
      <c r="T527" s="10"/>
      <c r="U527" s="10"/>
      <c r="V527" s="10"/>
      <c r="W527" s="12">
        <f t="shared" si="150"/>
        <v>0</v>
      </c>
      <c r="Y527" s="10">
        <v>21</v>
      </c>
      <c r="Z527" s="30"/>
      <c r="AB527" s="46"/>
      <c r="AC527" s="31"/>
      <c r="AD527" s="31"/>
      <c r="AE527" s="32">
        <f t="shared" si="151"/>
        <v>0</v>
      </c>
      <c r="AF527" s="10"/>
      <c r="AG527" s="10"/>
      <c r="AH527" s="10"/>
      <c r="AI527" s="12">
        <f t="shared" si="152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47"/>
        <v>0</v>
      </c>
      <c r="H528" s="10"/>
      <c r="I528" s="10"/>
      <c r="J528" s="10"/>
      <c r="K528" s="12">
        <f t="shared" si="148"/>
        <v>0</v>
      </c>
      <c r="M528" s="10">
        <v>22</v>
      </c>
      <c r="N528" s="30"/>
      <c r="O528" s="31"/>
      <c r="P528" s="45"/>
      <c r="Q528" s="31"/>
      <c r="R528" s="31"/>
      <c r="S528" s="32">
        <f t="shared" si="149"/>
        <v>0</v>
      </c>
      <c r="T528" s="10"/>
      <c r="U528" s="10"/>
      <c r="V528" s="10"/>
      <c r="W528" s="12">
        <f t="shared" si="150"/>
        <v>0</v>
      </c>
      <c r="Y528" s="10">
        <v>22</v>
      </c>
      <c r="Z528" s="30"/>
      <c r="AB528" s="45"/>
      <c r="AC528" s="31"/>
      <c r="AD528" s="31"/>
      <c r="AE528" s="32">
        <f t="shared" si="151"/>
        <v>0</v>
      </c>
      <c r="AF528" s="10"/>
      <c r="AG528" s="10"/>
      <c r="AH528" s="10"/>
      <c r="AI528" s="12">
        <f t="shared" si="152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47"/>
        <v>0</v>
      </c>
      <c r="H529" s="10"/>
      <c r="I529" s="10"/>
      <c r="J529" s="12"/>
      <c r="K529" s="12">
        <f t="shared" si="148"/>
        <v>0</v>
      </c>
      <c r="M529" s="10">
        <v>23</v>
      </c>
      <c r="N529" s="30"/>
      <c r="O529" s="31"/>
      <c r="P529" s="47"/>
      <c r="S529" s="32">
        <f t="shared" si="149"/>
        <v>0</v>
      </c>
      <c r="T529" s="10"/>
      <c r="U529" s="10"/>
      <c r="V529" s="10"/>
      <c r="W529" s="12">
        <f t="shared" si="150"/>
        <v>0</v>
      </c>
      <c r="Y529" s="10">
        <v>23</v>
      </c>
      <c r="Z529" s="30"/>
      <c r="AA529" s="31"/>
      <c r="AB529" s="47"/>
      <c r="AC529" s="31"/>
      <c r="AE529" s="32">
        <f t="shared" si="151"/>
        <v>0</v>
      </c>
      <c r="AF529" s="10"/>
      <c r="AG529" s="10"/>
      <c r="AH529" s="10"/>
      <c r="AI529" s="12">
        <f t="shared" si="152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47"/>
        <v>0</v>
      </c>
      <c r="H530" s="10"/>
      <c r="I530" s="10"/>
      <c r="J530" s="10"/>
      <c r="K530" s="12">
        <f t="shared" si="148"/>
        <v>0</v>
      </c>
      <c r="M530" s="10">
        <v>24</v>
      </c>
      <c r="N530" s="30"/>
      <c r="O530" s="31"/>
      <c r="P530" s="47"/>
      <c r="Q530" s="31"/>
      <c r="R530" s="31"/>
      <c r="S530" s="32">
        <f t="shared" si="149"/>
        <v>0</v>
      </c>
      <c r="T530" s="10"/>
      <c r="U530" s="10"/>
      <c r="V530" s="10"/>
      <c r="W530" s="12">
        <f t="shared" si="150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51"/>
        <v>0</v>
      </c>
      <c r="AF530" s="10"/>
      <c r="AG530" s="10"/>
      <c r="AH530" s="10"/>
      <c r="AI530" s="12">
        <f t="shared" si="152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47"/>
        <v>0</v>
      </c>
      <c r="H531" s="10"/>
      <c r="I531" s="10"/>
      <c r="J531" s="10"/>
      <c r="K531" s="12">
        <f t="shared" si="148"/>
        <v>0</v>
      </c>
      <c r="M531" s="10">
        <v>25</v>
      </c>
      <c r="N531" s="30"/>
      <c r="O531" s="31"/>
      <c r="P531" s="47"/>
      <c r="Q531" s="31"/>
      <c r="R531" s="31"/>
      <c r="S531" s="32">
        <f t="shared" si="149"/>
        <v>0</v>
      </c>
      <c r="T531" s="10"/>
      <c r="U531" s="10"/>
      <c r="V531" s="10"/>
      <c r="W531" s="12">
        <f t="shared" si="150"/>
        <v>0</v>
      </c>
      <c r="Y531" s="10">
        <v>25</v>
      </c>
      <c r="Z531" s="30"/>
      <c r="AA531" s="11"/>
      <c r="AB531" s="47"/>
      <c r="AC531" s="31"/>
      <c r="AD531" s="31"/>
      <c r="AE531" s="32">
        <f t="shared" si="151"/>
        <v>0</v>
      </c>
      <c r="AF531" s="10"/>
      <c r="AG531" s="10"/>
      <c r="AH531" s="10"/>
      <c r="AI531" s="12">
        <f t="shared" si="152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D532" s="32"/>
      <c r="E532" s="32"/>
      <c r="F532" s="32"/>
      <c r="G532" s="32">
        <f t="shared" si="147"/>
        <v>0</v>
      </c>
      <c r="H532" s="10"/>
      <c r="I532" s="10"/>
      <c r="J532" s="10"/>
      <c r="K532" s="12">
        <f t="shared" si="148"/>
        <v>0</v>
      </c>
      <c r="M532" s="10">
        <v>26</v>
      </c>
      <c r="N532" s="30"/>
      <c r="O532" s="31"/>
      <c r="P532" s="47"/>
      <c r="Q532" s="31"/>
      <c r="R532" s="31"/>
      <c r="S532" s="32">
        <f t="shared" si="149"/>
        <v>0</v>
      </c>
      <c r="T532" s="10"/>
      <c r="U532" s="10"/>
      <c r="V532" s="10"/>
      <c r="W532" s="12">
        <f t="shared" si="150"/>
        <v>0</v>
      </c>
      <c r="Y532" s="10">
        <v>26</v>
      </c>
      <c r="Z532" s="30"/>
      <c r="AB532" s="47"/>
      <c r="AC532" s="31"/>
      <c r="AD532" s="31"/>
      <c r="AE532" s="32">
        <f t="shared" si="151"/>
        <v>0</v>
      </c>
      <c r="AF532" s="10"/>
      <c r="AG532" s="10"/>
      <c r="AH532" s="10"/>
      <c r="AI532" s="12">
        <f t="shared" si="152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47"/>
        <v>0</v>
      </c>
      <c r="H533" s="10"/>
      <c r="I533" s="10"/>
      <c r="J533" s="10"/>
      <c r="K533" s="12">
        <f t="shared" si="148"/>
        <v>0</v>
      </c>
      <c r="M533" s="10">
        <v>27</v>
      </c>
      <c r="N533" s="30"/>
      <c r="O533" s="31"/>
      <c r="P533" s="47"/>
      <c r="Q533" s="31"/>
      <c r="R533" s="31"/>
      <c r="S533" s="32">
        <f t="shared" si="149"/>
        <v>0</v>
      </c>
      <c r="T533" s="10"/>
      <c r="U533" s="10"/>
      <c r="V533" s="10"/>
      <c r="W533" s="12">
        <f t="shared" si="150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51"/>
        <v>0</v>
      </c>
      <c r="AF533" s="10"/>
      <c r="AG533" s="10"/>
      <c r="AH533" s="10"/>
      <c r="AI533" s="12">
        <f t="shared" si="152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47"/>
        <v>0</v>
      </c>
      <c r="H534" s="10"/>
      <c r="I534" s="10"/>
      <c r="J534" s="10"/>
      <c r="K534" s="12">
        <f t="shared" si="148"/>
        <v>0</v>
      </c>
      <c r="M534" s="10">
        <v>28</v>
      </c>
      <c r="N534" s="30"/>
      <c r="O534" s="31"/>
      <c r="P534" s="47"/>
      <c r="Q534" s="31"/>
      <c r="R534" s="31"/>
      <c r="S534" s="32">
        <f t="shared" si="149"/>
        <v>0</v>
      </c>
      <c r="T534" s="10"/>
      <c r="U534" s="10"/>
      <c r="V534" s="10"/>
      <c r="W534" s="12">
        <f t="shared" si="150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51"/>
        <v>0</v>
      </c>
      <c r="AF534" s="10"/>
      <c r="AG534" s="10"/>
      <c r="AH534" s="10"/>
      <c r="AI534" s="12">
        <f t="shared" si="152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57"/>
      <c r="D535" s="32"/>
      <c r="E535" s="32"/>
      <c r="F535" s="32"/>
      <c r="G535" s="32">
        <f t="shared" si="147"/>
        <v>0</v>
      </c>
      <c r="H535" s="10"/>
      <c r="I535" s="10"/>
      <c r="J535" s="10"/>
      <c r="K535" s="12">
        <f t="shared" si="148"/>
        <v>0</v>
      </c>
      <c r="M535" s="10">
        <v>29</v>
      </c>
      <c r="N535" s="30"/>
      <c r="P535" s="47"/>
      <c r="Q535" s="31"/>
      <c r="R535" s="31"/>
      <c r="S535" s="32">
        <f t="shared" si="149"/>
        <v>0</v>
      </c>
      <c r="T535" s="10"/>
      <c r="U535" s="10"/>
      <c r="V535" s="10"/>
      <c r="W535" s="12">
        <f t="shared" si="150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51"/>
        <v>0</v>
      </c>
      <c r="AF535" s="10"/>
      <c r="AG535" s="10"/>
      <c r="AH535" s="10"/>
      <c r="AI535" s="12">
        <f t="shared" si="152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47"/>
        <v>0</v>
      </c>
      <c r="H536" s="10"/>
      <c r="I536" s="10"/>
      <c r="J536" s="10"/>
      <c r="K536" s="12">
        <f t="shared" si="148"/>
        <v>0</v>
      </c>
      <c r="M536" s="10">
        <v>30</v>
      </c>
      <c r="N536" s="30"/>
      <c r="P536" s="47"/>
      <c r="Q536" s="31"/>
      <c r="R536" s="31"/>
      <c r="S536" s="32">
        <f t="shared" si="149"/>
        <v>0</v>
      </c>
      <c r="T536" s="10"/>
      <c r="U536" s="10"/>
      <c r="V536" s="10"/>
      <c r="W536" s="12">
        <f t="shared" si="150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51"/>
        <v>0</v>
      </c>
      <c r="AF536" s="10"/>
      <c r="AG536" s="10"/>
      <c r="AH536" s="10"/>
      <c r="AI536" s="12">
        <f t="shared" si="152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47"/>
        <v>0</v>
      </c>
      <c r="H537" s="10"/>
      <c r="I537" s="10"/>
      <c r="J537" s="10"/>
      <c r="K537" s="12">
        <f t="shared" si="148"/>
        <v>0</v>
      </c>
      <c r="M537" s="10">
        <v>31</v>
      </c>
      <c r="N537" s="30"/>
      <c r="O537" s="31"/>
      <c r="P537" s="47"/>
      <c r="Q537" s="31"/>
      <c r="R537" s="31"/>
      <c r="S537" s="32">
        <f t="shared" si="149"/>
        <v>0</v>
      </c>
      <c r="T537" s="10"/>
      <c r="U537" s="10"/>
      <c r="V537" s="10"/>
      <c r="W537" s="12">
        <f t="shared" si="150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51"/>
        <v>0</v>
      </c>
      <c r="AF537" s="10"/>
      <c r="AG537" s="10"/>
      <c r="AH537" s="10"/>
      <c r="AI537" s="12">
        <f t="shared" si="152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47"/>
        <v>0</v>
      </c>
      <c r="H538" s="10"/>
      <c r="I538" s="10"/>
      <c r="J538" s="10"/>
      <c r="K538" s="12">
        <f t="shared" si="148"/>
        <v>0</v>
      </c>
      <c r="M538" s="10">
        <v>32</v>
      </c>
      <c r="N538" s="30"/>
      <c r="P538" s="47"/>
      <c r="Q538" s="31"/>
      <c r="R538" s="31"/>
      <c r="S538" s="32">
        <f t="shared" si="149"/>
        <v>0</v>
      </c>
      <c r="T538" s="10"/>
      <c r="U538" s="10"/>
      <c r="V538" s="10"/>
      <c r="W538" s="12">
        <f t="shared" si="150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51"/>
        <v>0</v>
      </c>
      <c r="AF538" s="10"/>
      <c r="AG538" s="10"/>
      <c r="AH538" s="10"/>
      <c r="AI538" s="12">
        <f t="shared" si="152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47"/>
        <v>0</v>
      </c>
      <c r="H539" s="10"/>
      <c r="I539" s="10"/>
      <c r="J539" s="10"/>
      <c r="K539" s="12">
        <f t="shared" si="148"/>
        <v>0</v>
      </c>
      <c r="M539" s="10">
        <v>33</v>
      </c>
      <c r="N539" s="30"/>
      <c r="O539" s="31"/>
      <c r="P539" s="47"/>
      <c r="Q539" s="31"/>
      <c r="R539" s="31"/>
      <c r="S539" s="32">
        <f t="shared" si="149"/>
        <v>0</v>
      </c>
      <c r="T539" s="10"/>
      <c r="U539" s="10"/>
      <c r="V539" s="10"/>
      <c r="W539" s="12">
        <f t="shared" si="150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51"/>
        <v>0</v>
      </c>
      <c r="AF539" s="10"/>
      <c r="AG539" s="10"/>
      <c r="AH539" s="10"/>
      <c r="AI539" s="12">
        <f t="shared" si="152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31"/>
      <c r="D540" s="32"/>
      <c r="E540" s="32"/>
      <c r="F540" s="32"/>
      <c r="G540" s="32">
        <f t="shared" si="147"/>
        <v>0</v>
      </c>
      <c r="H540" s="10"/>
      <c r="I540" s="10"/>
      <c r="J540" s="10"/>
      <c r="K540" s="12">
        <f t="shared" si="148"/>
        <v>0</v>
      </c>
      <c r="M540" s="10">
        <v>34</v>
      </c>
      <c r="N540" s="30"/>
      <c r="O540" s="31"/>
      <c r="P540" s="47"/>
      <c r="Q540" s="31"/>
      <c r="R540" s="31"/>
      <c r="S540" s="32">
        <f t="shared" si="149"/>
        <v>0</v>
      </c>
      <c r="T540" s="10"/>
      <c r="U540" s="10"/>
      <c r="V540" s="10"/>
      <c r="W540" s="12">
        <f t="shared" si="150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51"/>
        <v>0</v>
      </c>
      <c r="AF540" s="10"/>
      <c r="AG540" s="10"/>
      <c r="AH540" s="10"/>
      <c r="AI540" s="12">
        <f t="shared" si="152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49"/>
        <v>0</v>
      </c>
      <c r="T541" s="10"/>
      <c r="U541" s="10"/>
      <c r="V541" s="10"/>
      <c r="W541" s="12">
        <f t="shared" si="150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51"/>
        <v>0</v>
      </c>
      <c r="AF541" s="10"/>
      <c r="AG541" s="10"/>
      <c r="AH541" s="10"/>
      <c r="AI541" s="12">
        <f t="shared" si="152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49"/>
        <v>0</v>
      </c>
      <c r="T542" s="10"/>
      <c r="U542" s="10"/>
      <c r="V542" s="10"/>
      <c r="W542" s="12">
        <f t="shared" si="150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51"/>
        <v>0</v>
      </c>
      <c r="AF542" s="10"/>
      <c r="AG542" s="10"/>
      <c r="AH542" s="10"/>
      <c r="AI542" s="12">
        <f t="shared" si="152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49"/>
        <v>0</v>
      </c>
      <c r="T543" s="10"/>
      <c r="U543" s="10"/>
      <c r="V543" s="10"/>
      <c r="W543" s="12">
        <f t="shared" si="150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51"/>
        <v>0</v>
      </c>
      <c r="AF543" s="10"/>
      <c r="AG543" s="10"/>
      <c r="AH543" s="10"/>
      <c r="AI543" s="12">
        <f t="shared" si="152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49"/>
        <v>0</v>
      </c>
      <c r="T544" s="10"/>
      <c r="U544" s="10"/>
      <c r="V544" s="10"/>
      <c r="W544" s="12">
        <f t="shared" si="150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51"/>
        <v>0</v>
      </c>
      <c r="AF544" s="10"/>
      <c r="AG544" s="10"/>
      <c r="AH544" s="10"/>
      <c r="AI544" s="12">
        <f t="shared" si="152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49"/>
        <v>0</v>
      </c>
      <c r="T545" s="10"/>
      <c r="U545" s="10"/>
      <c r="V545" s="10"/>
      <c r="W545" s="12">
        <f t="shared" si="150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51"/>
        <v>0</v>
      </c>
      <c r="AF545" s="10"/>
      <c r="AG545" s="10"/>
      <c r="AH545" s="10"/>
      <c r="AI545" s="12">
        <f t="shared" si="152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0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52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56">SUM(D547:E547)</f>
        <v>0</v>
      </c>
      <c r="H547" s="10"/>
      <c r="I547" s="10"/>
      <c r="J547" s="10"/>
      <c r="K547" s="12">
        <f t="shared" ref="K547" si="157">SUM(G547:J547)</f>
        <v>0</v>
      </c>
      <c r="M547" s="10"/>
      <c r="N547" s="30"/>
      <c r="O547" s="31"/>
      <c r="P547" s="47"/>
      <c r="Q547" s="31"/>
      <c r="R547" s="31"/>
      <c r="S547" s="32">
        <f t="shared" ref="S547" si="158">SUM(P547:Q547)</f>
        <v>0</v>
      </c>
      <c r="T547" s="10"/>
      <c r="U547" s="10"/>
      <c r="V547" s="10"/>
      <c r="W547" s="12">
        <f t="shared" si="150"/>
        <v>0</v>
      </c>
      <c r="Y547" s="10"/>
      <c r="Z547" s="30"/>
      <c r="AA547" s="31"/>
      <c r="AB547" s="47"/>
      <c r="AC547" s="31"/>
      <c r="AD547" s="31"/>
      <c r="AE547" s="32">
        <f t="shared" ref="AE547" si="159">SUM(AB547:AC547)</f>
        <v>0</v>
      </c>
      <c r="AF547" s="10"/>
      <c r="AG547" s="10"/>
      <c r="AH547" s="10"/>
      <c r="AI547" s="12">
        <f t="shared" si="152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0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52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232892</v>
      </c>
      <c r="E550" s="38">
        <f t="shared" ref="E550:F550" si="160">SUM(E507:E547)</f>
        <v>-1296</v>
      </c>
      <c r="F550" s="38">
        <f t="shared" si="160"/>
        <v>0</v>
      </c>
      <c r="G550" s="38">
        <f>SUM(G507:G549)</f>
        <v>231596</v>
      </c>
      <c r="H550" s="4"/>
      <c r="I550" s="39">
        <f>SUM(I507:I549)</f>
        <v>5106</v>
      </c>
      <c r="J550" s="39">
        <f>SUM(J507:J549)</f>
        <v>0</v>
      </c>
      <c r="K550" s="40">
        <f>SUM(K507:K549)</f>
        <v>236702</v>
      </c>
      <c r="N550" s="57"/>
      <c r="O550" s="57"/>
      <c r="P550" s="38">
        <f>SUM(P507:P549)</f>
        <v>220325.5</v>
      </c>
      <c r="Q550" s="38">
        <f>SUM(Q507:Q531)</f>
        <v>-2797</v>
      </c>
      <c r="R550" s="38">
        <f>SUM(R507:R531)</f>
        <v>0</v>
      </c>
      <c r="S550" s="38">
        <f>SUM(S507:S549)</f>
        <v>217528.5</v>
      </c>
      <c r="T550" s="4"/>
      <c r="U550" s="41">
        <f>SUM(U507:U549)</f>
        <v>7548</v>
      </c>
      <c r="V550" s="41">
        <f>SUM(V507:V531)</f>
        <v>-210</v>
      </c>
      <c r="W550" s="42">
        <f>SUM(W507:W549)</f>
        <v>224866.5</v>
      </c>
      <c r="Z550" s="57"/>
      <c r="AA550" s="57"/>
      <c r="AB550" s="38">
        <f>SUM(AB507:AB549)</f>
        <v>773992.5</v>
      </c>
      <c r="AC550" s="38">
        <f>SUM(AC507:AC531)</f>
        <v>-5766</v>
      </c>
      <c r="AD550" s="38">
        <f>SUM(AD507:AD531)</f>
        <v>0</v>
      </c>
      <c r="AE550" s="38">
        <f>SUM(AE507:AE549)</f>
        <v>768226.5</v>
      </c>
      <c r="AF550" s="4"/>
      <c r="AG550" s="41">
        <f>SUM(AG507:AG549)</f>
        <v>28356</v>
      </c>
      <c r="AH550" s="41">
        <f>SUM(AH507:AH531)</f>
        <v>-4995</v>
      </c>
      <c r="AI550" s="42">
        <f>SUM(AI507:AI549)</f>
        <v>791587.5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s="62"/>
      <c r="N552" s="84"/>
      <c r="O552" s="84"/>
      <c r="P552" s="84"/>
      <c r="Q552" s="84"/>
      <c r="R552" s="84"/>
      <c r="S552" s="84"/>
      <c r="T552" s="62"/>
      <c r="U552" s="62"/>
      <c r="V552" s="62"/>
      <c r="W552" s="62"/>
      <c r="X552" s="62"/>
      <c r="Y552" s="62"/>
      <c r="Z552" s="84"/>
      <c r="AA552" s="84"/>
      <c r="AB552" s="84"/>
      <c r="AC552" s="84"/>
      <c r="AD552" s="84"/>
      <c r="AE552" s="84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s="62"/>
      <c r="N553" s="84"/>
      <c r="O553" s="84"/>
      <c r="P553" s="84"/>
      <c r="Q553" s="84"/>
      <c r="R553" s="84"/>
      <c r="S553" s="84"/>
      <c r="T553" s="62"/>
      <c r="U553" s="62"/>
      <c r="V553" s="62"/>
      <c r="W553" s="62"/>
      <c r="X553" s="62"/>
      <c r="Y553" s="62"/>
      <c r="Z553" s="84"/>
      <c r="AA553" s="84"/>
      <c r="AB553" s="84"/>
      <c r="AC553" s="84"/>
      <c r="AD553" s="84"/>
      <c r="AE553" s="84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M554" s="62"/>
      <c r="N554" s="84"/>
      <c r="O554" s="84"/>
      <c r="P554" s="84"/>
      <c r="Q554" s="84"/>
      <c r="R554" s="84"/>
      <c r="S554" s="84"/>
      <c r="T554" s="62"/>
      <c r="U554" s="62"/>
      <c r="V554" s="62"/>
      <c r="W554" s="62"/>
      <c r="X554" s="62"/>
      <c r="Y554" s="62"/>
      <c r="Z554" s="84"/>
      <c r="AA554" s="84"/>
      <c r="AB554" s="84"/>
      <c r="AC554" s="84"/>
      <c r="AD554" s="84"/>
      <c r="AE554" s="84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63"/>
      <c r="N555" s="84"/>
      <c r="O555" s="84"/>
      <c r="P555" s="84"/>
      <c r="Q555" s="84"/>
      <c r="R555" s="84"/>
      <c r="S555" s="84"/>
      <c r="T555" s="62"/>
      <c r="U555" s="62"/>
      <c r="V555" s="62"/>
      <c r="W555" s="62"/>
      <c r="X555" s="62"/>
      <c r="Y555" s="63"/>
      <c r="Z555" s="84"/>
      <c r="AA555" s="84"/>
      <c r="AB555" s="84"/>
      <c r="AC555" s="84"/>
      <c r="AD555" s="84"/>
      <c r="AE555" s="84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M556" s="62"/>
      <c r="N556" s="84"/>
      <c r="O556" s="84"/>
      <c r="P556" s="84"/>
      <c r="Q556" s="84"/>
      <c r="R556" s="84"/>
      <c r="S556" s="84"/>
      <c r="T556" s="62"/>
      <c r="U556" s="62"/>
      <c r="V556" s="62"/>
      <c r="W556" s="62"/>
      <c r="X556" s="62"/>
      <c r="Y556" s="62"/>
      <c r="Z556" s="84"/>
      <c r="AA556" s="84"/>
      <c r="AB556" s="84"/>
      <c r="AC556" s="84"/>
      <c r="AD556" s="84"/>
      <c r="AE556" s="84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30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s="62"/>
      <c r="N557" s="84"/>
      <c r="O557" s="84"/>
      <c r="P557" s="84"/>
      <c r="Q557" s="84"/>
      <c r="R557" s="84"/>
      <c r="S557" s="84"/>
      <c r="T557" s="62"/>
      <c r="U557" s="84"/>
      <c r="V557" s="74"/>
      <c r="W557" s="62"/>
      <c r="X557" s="62"/>
      <c r="Y557" s="62"/>
      <c r="Z557" s="84"/>
      <c r="AA557" s="84"/>
      <c r="AB557" s="84"/>
      <c r="AC557" s="84"/>
      <c r="AD557" s="84"/>
      <c r="AE557" s="84"/>
      <c r="AF557" s="62"/>
      <c r="AG557" s="84"/>
      <c r="AH557" s="84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33</v>
      </c>
      <c r="K558" s="24"/>
      <c r="M558" s="64"/>
      <c r="N558" s="84"/>
      <c r="O558" s="84"/>
      <c r="P558" s="84"/>
      <c r="Q558" s="84"/>
      <c r="R558" s="84"/>
      <c r="S558" s="84"/>
      <c r="T558" s="62"/>
      <c r="U558" s="65"/>
      <c r="V558" s="65"/>
      <c r="W558" s="62"/>
      <c r="X558" s="62"/>
      <c r="Y558" s="64"/>
      <c r="Z558" s="84"/>
      <c r="AA558" s="84"/>
      <c r="AB558" s="84"/>
      <c r="AC558" s="84"/>
      <c r="AD558" s="84"/>
      <c r="AE558" s="84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M559" s="62"/>
      <c r="N559" s="84"/>
      <c r="O559" s="84"/>
      <c r="P559" s="84"/>
      <c r="Q559" s="84"/>
      <c r="R559" s="84"/>
      <c r="S559" s="84"/>
      <c r="T559" s="62"/>
      <c r="U559" s="62"/>
      <c r="V559" s="62"/>
      <c r="W559" s="62"/>
      <c r="X559" s="62"/>
      <c r="Y559" s="62"/>
      <c r="Z559" s="84"/>
      <c r="AA559" s="84"/>
      <c r="AB559" s="84"/>
      <c r="AC559" s="84"/>
      <c r="AD559" s="84"/>
      <c r="AE559" s="84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6" t="s">
        <v>18</v>
      </c>
      <c r="E560" s="116"/>
      <c r="F560" s="97"/>
      <c r="G560" s="27"/>
      <c r="I560" s="114" t="s">
        <v>19</v>
      </c>
      <c r="J560" s="115"/>
      <c r="K560" s="112" t="s">
        <v>20</v>
      </c>
      <c r="M560" s="62"/>
      <c r="N560" s="65"/>
      <c r="O560" s="84"/>
      <c r="P560" s="118"/>
      <c r="Q560" s="118"/>
      <c r="R560" s="84"/>
      <c r="S560" s="84"/>
      <c r="T560" s="62"/>
      <c r="U560" s="118"/>
      <c r="V560" s="118"/>
      <c r="W560" s="117"/>
      <c r="X560" s="62"/>
      <c r="Y560" s="62"/>
      <c r="Z560" s="65"/>
      <c r="AA560" s="84"/>
      <c r="AB560" s="118"/>
      <c r="AC560" s="118"/>
      <c r="AD560" s="84"/>
      <c r="AE560" s="84"/>
      <c r="AF560" s="62"/>
      <c r="AG560" s="118"/>
      <c r="AH560" s="118"/>
      <c r="AI560" s="117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36</v>
      </c>
      <c r="G561" s="80" t="s">
        <v>25</v>
      </c>
      <c r="I561" s="29" t="s">
        <v>26</v>
      </c>
      <c r="J561" s="29" t="s">
        <v>27</v>
      </c>
      <c r="K561" s="113"/>
      <c r="M561" s="62"/>
      <c r="N561" s="84"/>
      <c r="O561" s="84"/>
      <c r="P561" s="81"/>
      <c r="Q561" s="83"/>
      <c r="R561" s="83"/>
      <c r="S561" s="83"/>
      <c r="T561" s="62"/>
      <c r="U561" s="85"/>
      <c r="V561" s="85"/>
      <c r="W561" s="117"/>
      <c r="X561" s="62"/>
      <c r="Y561" s="62"/>
      <c r="Z561" s="84"/>
      <c r="AA561" s="84"/>
      <c r="AB561" s="81"/>
      <c r="AC561" s="83"/>
      <c r="AD561" s="83"/>
      <c r="AE561" s="83"/>
      <c r="AF561" s="62"/>
      <c r="AG561" s="85"/>
      <c r="AH561" s="85"/>
      <c r="AI561" s="117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5804</v>
      </c>
      <c r="D562" s="32">
        <f>344300+29800+3435</f>
        <v>377535</v>
      </c>
      <c r="E562" s="32">
        <v>-5535</v>
      </c>
      <c r="F562" s="32"/>
      <c r="G562" s="32">
        <f t="shared" ref="G562:G595" si="161">SUM(D562:E562)</f>
        <v>372000</v>
      </c>
      <c r="H562" s="12"/>
      <c r="I562" s="12">
        <f>936</f>
        <v>936</v>
      </c>
      <c r="J562" s="12">
        <f>-16650+-1176</f>
        <v>-17826</v>
      </c>
      <c r="K562" s="12">
        <f t="shared" ref="K562:K595" si="162">SUM(G562:J562)</f>
        <v>355110</v>
      </c>
      <c r="M562" s="62"/>
      <c r="N562" s="66"/>
      <c r="O562" s="84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4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5805</v>
      </c>
      <c r="D563" s="32">
        <f>5008+76</f>
        <v>5084</v>
      </c>
      <c r="E563" s="32"/>
      <c r="F563" s="32"/>
      <c r="G563" s="32">
        <f t="shared" si="161"/>
        <v>5084</v>
      </c>
      <c r="H563" s="12"/>
      <c r="I563" s="12"/>
      <c r="J563" s="12"/>
      <c r="K563" s="12">
        <f t="shared" si="162"/>
        <v>5084</v>
      </c>
      <c r="M563" s="62"/>
      <c r="N563" s="66"/>
      <c r="O563" s="84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4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/>
      <c r="C564" s="11" t="s">
        <v>28</v>
      </c>
      <c r="D564" s="33"/>
      <c r="E564" s="33"/>
      <c r="F564" s="33"/>
      <c r="G564" s="33">
        <f t="shared" si="161"/>
        <v>0</v>
      </c>
      <c r="H564" s="34"/>
      <c r="I564" s="34"/>
      <c r="J564" s="34"/>
      <c r="K564" s="34">
        <f t="shared" si="162"/>
        <v>0</v>
      </c>
      <c r="M564" s="62"/>
      <c r="N564" s="66"/>
      <c r="O564" s="84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4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/>
      <c r="C565" s="31"/>
      <c r="D565" s="32"/>
      <c r="E565" s="32"/>
      <c r="F565" s="32"/>
      <c r="G565" s="32">
        <f t="shared" si="161"/>
        <v>0</v>
      </c>
      <c r="H565" s="12"/>
      <c r="I565" s="12"/>
      <c r="J565" s="12"/>
      <c r="K565" s="12">
        <f t="shared" si="162"/>
        <v>0</v>
      </c>
      <c r="M565" s="62"/>
      <c r="N565" s="66"/>
      <c r="O565" s="84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4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/>
      <c r="C566" s="31"/>
      <c r="D566" s="32"/>
      <c r="E566" s="32"/>
      <c r="F566" s="32"/>
      <c r="G566" s="32">
        <f t="shared" si="161"/>
        <v>0</v>
      </c>
      <c r="H566" s="12"/>
      <c r="I566" s="12"/>
      <c r="J566" s="12"/>
      <c r="K566" s="12">
        <f t="shared" si="162"/>
        <v>0</v>
      </c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4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/>
      <c r="C567" s="31"/>
      <c r="D567" s="32"/>
      <c r="E567" s="32"/>
      <c r="F567" s="32"/>
      <c r="G567" s="32">
        <f t="shared" si="161"/>
        <v>0</v>
      </c>
      <c r="H567" s="12"/>
      <c r="I567" s="12"/>
      <c r="J567" s="12"/>
      <c r="K567" s="12">
        <f t="shared" si="162"/>
        <v>0</v>
      </c>
      <c r="M567" s="62"/>
      <c r="N567" s="66"/>
      <c r="O567" s="84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4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31"/>
      <c r="D568" s="32"/>
      <c r="E568" s="32"/>
      <c r="F568" s="32"/>
      <c r="G568" s="32">
        <f t="shared" si="161"/>
        <v>0</v>
      </c>
      <c r="H568" s="12"/>
      <c r="I568" s="12"/>
      <c r="J568" s="12"/>
      <c r="K568" s="12">
        <f t="shared" si="162"/>
        <v>0</v>
      </c>
      <c r="M568" s="62"/>
      <c r="N568" s="66"/>
      <c r="O568" s="84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4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61"/>
        <v>0</v>
      </c>
      <c r="H569" s="12"/>
      <c r="I569" s="12"/>
      <c r="J569" s="12"/>
      <c r="K569" s="12">
        <f t="shared" si="162"/>
        <v>0</v>
      </c>
      <c r="M569" s="62"/>
      <c r="N569" s="66"/>
      <c r="O569" s="84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4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D570" s="32"/>
      <c r="E570" s="32"/>
      <c r="F570" s="32"/>
      <c r="G570" s="32">
        <f t="shared" si="161"/>
        <v>0</v>
      </c>
      <c r="H570" s="12"/>
      <c r="I570" s="12"/>
      <c r="J570" s="12"/>
      <c r="K570" s="12">
        <f t="shared" si="162"/>
        <v>0</v>
      </c>
      <c r="M570" s="62"/>
      <c r="N570" s="66"/>
      <c r="O570" s="84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4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61"/>
        <v>0</v>
      </c>
      <c r="H571" s="12"/>
      <c r="I571" s="12"/>
      <c r="J571" s="12"/>
      <c r="K571" s="12">
        <f t="shared" si="162"/>
        <v>0</v>
      </c>
      <c r="M571" s="62"/>
      <c r="N571" s="66"/>
      <c r="O571" s="84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4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C572" s="31"/>
      <c r="D572" s="32"/>
      <c r="E572" s="32"/>
      <c r="F572" s="32"/>
      <c r="G572" s="32">
        <f t="shared" si="161"/>
        <v>0</v>
      </c>
      <c r="H572" s="12"/>
      <c r="I572" s="12"/>
      <c r="J572" s="12"/>
      <c r="K572" s="12">
        <f t="shared" si="162"/>
        <v>0</v>
      </c>
      <c r="M572" s="62"/>
      <c r="N572" s="66"/>
      <c r="O572" s="84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4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61"/>
        <v>0</v>
      </c>
      <c r="H573" s="12"/>
      <c r="I573" s="12"/>
      <c r="J573" s="10"/>
      <c r="K573" s="12">
        <f t="shared" si="162"/>
        <v>0</v>
      </c>
      <c r="M573" s="62"/>
      <c r="N573" s="66"/>
      <c r="O573" s="84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4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61"/>
        <v>0</v>
      </c>
      <c r="H574" s="12"/>
      <c r="I574" s="12"/>
      <c r="J574" s="12"/>
      <c r="K574" s="12">
        <f t="shared" si="162"/>
        <v>0</v>
      </c>
      <c r="M574" s="62"/>
      <c r="N574" s="66"/>
      <c r="O574" s="84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4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61"/>
        <v>0</v>
      </c>
      <c r="H575" s="12"/>
      <c r="I575" s="12"/>
      <c r="J575" s="12"/>
      <c r="K575" s="12">
        <f t="shared" si="162"/>
        <v>0</v>
      </c>
      <c r="M575" s="62"/>
      <c r="N575" s="66"/>
      <c r="O575" s="84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61"/>
        <v>0</v>
      </c>
      <c r="H576" s="12"/>
      <c r="I576" s="12"/>
      <c r="J576" s="12"/>
      <c r="K576" s="12">
        <f t="shared" si="162"/>
        <v>0</v>
      </c>
      <c r="M576" s="62"/>
      <c r="N576" s="66"/>
      <c r="O576" s="84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4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61"/>
        <v>0</v>
      </c>
      <c r="H577" s="12"/>
      <c r="I577" s="12"/>
      <c r="J577" s="12"/>
      <c r="K577" s="12">
        <f t="shared" si="162"/>
        <v>0</v>
      </c>
      <c r="M577" s="62"/>
      <c r="N577" s="66"/>
      <c r="O577" s="84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61"/>
        <v>0</v>
      </c>
      <c r="H578" s="12"/>
      <c r="I578" s="12"/>
      <c r="J578" s="12"/>
      <c r="K578" s="12">
        <f t="shared" si="162"/>
        <v>0</v>
      </c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4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61"/>
        <v>0</v>
      </c>
      <c r="H579" s="12"/>
      <c r="I579" s="12"/>
      <c r="J579" s="12"/>
      <c r="K579" s="12">
        <f t="shared" si="162"/>
        <v>0</v>
      </c>
      <c r="M579" s="62"/>
      <c r="N579" s="66"/>
      <c r="O579" s="84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4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61"/>
        <v>0</v>
      </c>
      <c r="H580" s="12"/>
      <c r="I580" s="12"/>
      <c r="J580" s="12"/>
      <c r="K580" s="12">
        <f t="shared" si="162"/>
        <v>0</v>
      </c>
      <c r="M580" s="62"/>
      <c r="N580" s="66"/>
      <c r="O580" s="84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4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61"/>
        <v>0</v>
      </c>
      <c r="H581" s="12"/>
      <c r="I581" s="12"/>
      <c r="J581" s="12"/>
      <c r="K581" s="12">
        <f t="shared" si="162"/>
        <v>0</v>
      </c>
      <c r="M581" s="62"/>
      <c r="N581" s="66"/>
      <c r="O581" s="84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4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61"/>
        <v>0</v>
      </c>
      <c r="H582" s="10"/>
      <c r="I582" s="10"/>
      <c r="J582" s="10"/>
      <c r="K582" s="12">
        <f t="shared" si="162"/>
        <v>0</v>
      </c>
      <c r="M582" s="62"/>
      <c r="N582" s="66"/>
      <c r="O582" s="84"/>
      <c r="P582" s="67"/>
      <c r="Q582" s="84"/>
      <c r="R582" s="84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4"/>
      <c r="AD582" s="84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61"/>
        <v>0</v>
      </c>
      <c r="H583" s="10"/>
      <c r="I583" s="10"/>
      <c r="J583" s="10"/>
      <c r="K583" s="12">
        <f t="shared" si="162"/>
        <v>0</v>
      </c>
      <c r="M583" s="62"/>
      <c r="N583" s="66"/>
      <c r="O583" s="84"/>
      <c r="P583" s="68"/>
      <c r="Q583" s="84"/>
      <c r="R583" s="84"/>
      <c r="S583" s="60"/>
      <c r="T583" s="62"/>
      <c r="U583" s="62"/>
      <c r="V583" s="62"/>
      <c r="W583" s="61"/>
      <c r="X583" s="62"/>
      <c r="Y583" s="62"/>
      <c r="Z583" s="66"/>
      <c r="AA583" s="84"/>
      <c r="AB583" s="68"/>
      <c r="AC583" s="84"/>
      <c r="AD583" s="84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61"/>
        <v>0</v>
      </c>
      <c r="H584" s="10"/>
      <c r="I584" s="10"/>
      <c r="J584" s="12"/>
      <c r="K584" s="12">
        <f t="shared" si="162"/>
        <v>0</v>
      </c>
      <c r="M584" s="62"/>
      <c r="N584" s="66"/>
      <c r="O584" s="84"/>
      <c r="P584" s="69"/>
      <c r="Q584" s="84"/>
      <c r="R584" s="84"/>
      <c r="S584" s="60"/>
      <c r="T584" s="62"/>
      <c r="U584" s="62"/>
      <c r="V584" s="62"/>
      <c r="W584" s="61"/>
      <c r="X584" s="62"/>
      <c r="Y584" s="62"/>
      <c r="Z584" s="66"/>
      <c r="AA584" s="84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61"/>
        <v>0</v>
      </c>
      <c r="H585" s="10"/>
      <c r="I585" s="10"/>
      <c r="J585" s="10"/>
      <c r="K585" s="12">
        <f t="shared" si="162"/>
        <v>0</v>
      </c>
      <c r="M585" s="62"/>
      <c r="N585" s="66"/>
      <c r="O585" s="84"/>
      <c r="P585" s="69"/>
      <c r="Q585" s="84"/>
      <c r="R585" s="84"/>
      <c r="S585" s="60"/>
      <c r="T585" s="62"/>
      <c r="U585" s="62"/>
      <c r="V585" s="62"/>
      <c r="W585" s="61"/>
      <c r="X585" s="62"/>
      <c r="Y585" s="62"/>
      <c r="Z585" s="66"/>
      <c r="AA585" s="84"/>
      <c r="AB585" s="69"/>
      <c r="AC585" s="84"/>
      <c r="AD585" s="84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61"/>
        <v>0</v>
      </c>
      <c r="H586" s="10"/>
      <c r="I586" s="10"/>
      <c r="J586" s="10"/>
      <c r="K586" s="12">
        <f t="shared" si="162"/>
        <v>0</v>
      </c>
      <c r="M586" s="62"/>
      <c r="N586" s="66"/>
      <c r="O586" s="84"/>
      <c r="P586" s="69"/>
      <c r="Q586" s="84"/>
      <c r="R586" s="84"/>
      <c r="S586" s="60"/>
      <c r="T586" s="62"/>
      <c r="U586" s="62"/>
      <c r="V586" s="62"/>
      <c r="W586" s="61"/>
      <c r="X586" s="62"/>
      <c r="Y586" s="62"/>
      <c r="Z586" s="66"/>
      <c r="AA586" s="84"/>
      <c r="AB586" s="69"/>
      <c r="AC586" s="84"/>
      <c r="AD586" s="84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57"/>
      <c r="D587" s="32"/>
      <c r="E587" s="32"/>
      <c r="F587" s="32"/>
      <c r="G587" s="32">
        <f t="shared" si="161"/>
        <v>0</v>
      </c>
      <c r="H587" s="10"/>
      <c r="I587" s="10"/>
      <c r="J587" s="10"/>
      <c r="K587" s="12">
        <f t="shared" si="162"/>
        <v>0</v>
      </c>
      <c r="M587" s="62"/>
      <c r="N587" s="66"/>
      <c r="O587" s="84"/>
      <c r="P587" s="69"/>
      <c r="Q587" s="84"/>
      <c r="R587" s="84"/>
      <c r="S587" s="60"/>
      <c r="T587" s="62"/>
      <c r="U587" s="62"/>
      <c r="V587" s="62"/>
      <c r="W587" s="61"/>
      <c r="X587" s="62"/>
      <c r="Y587" s="62"/>
      <c r="Z587" s="66"/>
      <c r="AA587" s="84"/>
      <c r="AB587" s="69"/>
      <c r="AC587" s="84"/>
      <c r="AD587" s="84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61"/>
        <v>0</v>
      </c>
      <c r="H588" s="10"/>
      <c r="I588" s="10"/>
      <c r="J588" s="10"/>
      <c r="K588" s="12">
        <f t="shared" si="162"/>
        <v>0</v>
      </c>
      <c r="M588" s="62"/>
      <c r="N588" s="66"/>
      <c r="O588" s="84"/>
      <c r="P588" s="69"/>
      <c r="Q588" s="84"/>
      <c r="R588" s="84"/>
      <c r="S588" s="60"/>
      <c r="T588" s="62"/>
      <c r="U588" s="62"/>
      <c r="V588" s="62"/>
      <c r="W588" s="61"/>
      <c r="X588" s="62"/>
      <c r="Y588" s="62"/>
      <c r="Z588" s="66"/>
      <c r="AA588" s="84"/>
      <c r="AB588" s="69"/>
      <c r="AC588" s="84"/>
      <c r="AD588" s="84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61"/>
        <v>0</v>
      </c>
      <c r="H589" s="10"/>
      <c r="I589" s="10"/>
      <c r="J589" s="10"/>
      <c r="K589" s="12">
        <f t="shared" si="162"/>
        <v>0</v>
      </c>
      <c r="M589" s="62"/>
      <c r="N589" s="66"/>
      <c r="O589" s="84"/>
      <c r="P589" s="69"/>
      <c r="Q589" s="84"/>
      <c r="R589" s="84"/>
      <c r="S589" s="60"/>
      <c r="T589" s="62"/>
      <c r="U589" s="62"/>
      <c r="V589" s="62"/>
      <c r="W589" s="61"/>
      <c r="X589" s="62"/>
      <c r="Y589" s="62"/>
      <c r="Z589" s="66"/>
      <c r="AA589" s="84"/>
      <c r="AB589" s="69"/>
      <c r="AC589" s="84"/>
      <c r="AD589" s="84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57"/>
      <c r="D590" s="32"/>
      <c r="E590" s="32"/>
      <c r="F590" s="32"/>
      <c r="G590" s="32">
        <f t="shared" si="161"/>
        <v>0</v>
      </c>
      <c r="H590" s="10"/>
      <c r="I590" s="10"/>
      <c r="J590" s="10"/>
      <c r="K590" s="12">
        <f t="shared" si="162"/>
        <v>0</v>
      </c>
      <c r="M590" s="62"/>
      <c r="N590" s="66"/>
      <c r="O590" s="84"/>
      <c r="P590" s="69"/>
      <c r="Q590" s="84"/>
      <c r="R590" s="84"/>
      <c r="S590" s="60"/>
      <c r="T590" s="62"/>
      <c r="U590" s="62"/>
      <c r="V590" s="62"/>
      <c r="W590" s="61"/>
      <c r="X590" s="62"/>
      <c r="Y590" s="62"/>
      <c r="Z590" s="66"/>
      <c r="AA590" s="84"/>
      <c r="AB590" s="69"/>
      <c r="AC590" s="84"/>
      <c r="AD590" s="84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61"/>
        <v>0</v>
      </c>
      <c r="H591" s="10"/>
      <c r="I591" s="10"/>
      <c r="J591" s="10"/>
      <c r="K591" s="12">
        <f t="shared" si="162"/>
        <v>0</v>
      </c>
      <c r="M591" s="62"/>
      <c r="N591" s="66"/>
      <c r="O591" s="84"/>
      <c r="P591" s="69"/>
      <c r="Q591" s="84"/>
      <c r="R591" s="84"/>
      <c r="S591" s="60"/>
      <c r="T591" s="62"/>
      <c r="U591" s="62"/>
      <c r="V591" s="62"/>
      <c r="W591" s="61"/>
      <c r="X591" s="62"/>
      <c r="Y591" s="62"/>
      <c r="Z591" s="66"/>
      <c r="AA591" s="84"/>
      <c r="AB591" s="69"/>
      <c r="AC591" s="84"/>
      <c r="AD591" s="84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61"/>
        <v>0</v>
      </c>
      <c r="H592" s="10"/>
      <c r="I592" s="10"/>
      <c r="J592" s="10"/>
      <c r="K592" s="12">
        <f t="shared" si="162"/>
        <v>0</v>
      </c>
      <c r="M592" s="62"/>
      <c r="N592" s="66"/>
      <c r="O592" s="62"/>
      <c r="P592" s="69"/>
      <c r="Q592" s="84"/>
      <c r="R592" s="84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4"/>
      <c r="AD592" s="84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61"/>
        <v>0</v>
      </c>
      <c r="H593" s="10"/>
      <c r="I593" s="10"/>
      <c r="J593" s="10"/>
      <c r="K593" s="12">
        <f t="shared" si="162"/>
        <v>0</v>
      </c>
      <c r="M593" s="62"/>
      <c r="N593" s="66"/>
      <c r="O593" s="84"/>
      <c r="P593" s="69"/>
      <c r="Q593" s="84"/>
      <c r="R593" s="84"/>
      <c r="S593" s="60"/>
      <c r="T593" s="62"/>
      <c r="U593" s="62"/>
      <c r="V593" s="62"/>
      <c r="W593" s="61"/>
      <c r="X593" s="62"/>
      <c r="Y593" s="62"/>
      <c r="Z593" s="66"/>
      <c r="AA593" s="84"/>
      <c r="AB593" s="69"/>
      <c r="AC593" s="84"/>
      <c r="AD593" s="84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61"/>
        <v>0</v>
      </c>
      <c r="H594" s="10"/>
      <c r="I594" s="10"/>
      <c r="J594" s="10"/>
      <c r="K594" s="12">
        <f t="shared" si="162"/>
        <v>0</v>
      </c>
      <c r="M594" s="62"/>
      <c r="N594" s="66"/>
      <c r="O594" s="84"/>
      <c r="P594" s="69"/>
      <c r="Q594" s="84"/>
      <c r="R594" s="84"/>
      <c r="S594" s="60"/>
      <c r="T594" s="62"/>
      <c r="U594" s="62"/>
      <c r="V594" s="62"/>
      <c r="W594" s="61"/>
      <c r="X594" s="62"/>
      <c r="Y594" s="62"/>
      <c r="Z594" s="66"/>
      <c r="AA594" s="84"/>
      <c r="AB594" s="69"/>
      <c r="AC594" s="84"/>
      <c r="AD594" s="84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31"/>
      <c r="D595" s="32"/>
      <c r="E595" s="32"/>
      <c r="F595" s="32"/>
      <c r="G595" s="32">
        <f t="shared" si="161"/>
        <v>0</v>
      </c>
      <c r="H595" s="10"/>
      <c r="I595" s="10"/>
      <c r="J595" s="10"/>
      <c r="K595" s="12">
        <f t="shared" si="162"/>
        <v>0</v>
      </c>
      <c r="M595" s="62"/>
      <c r="N595" s="66"/>
      <c r="O595" s="84"/>
      <c r="P595" s="69"/>
      <c r="Q595" s="84"/>
      <c r="R595" s="84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4"/>
      <c r="AD595" s="84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31"/>
      <c r="D596" s="32"/>
      <c r="E596" s="32"/>
      <c r="F596" s="32"/>
      <c r="G596" s="32"/>
      <c r="H596" s="10"/>
      <c r="I596" s="10"/>
      <c r="J596" s="10"/>
      <c r="K596" s="12"/>
      <c r="M596" s="62"/>
      <c r="N596" s="66"/>
      <c r="O596" s="84"/>
      <c r="P596" s="69"/>
      <c r="Q596" s="84"/>
      <c r="R596" s="84"/>
      <c r="S596" s="60"/>
      <c r="T596" s="62"/>
      <c r="U596" s="62"/>
      <c r="V596" s="62"/>
      <c r="W596" s="61"/>
      <c r="X596" s="62"/>
      <c r="Y596" s="62"/>
      <c r="Z596" s="66"/>
      <c r="AA596" s="84"/>
      <c r="AB596" s="69"/>
      <c r="AC596" s="84"/>
      <c r="AD596" s="84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31"/>
      <c r="D597" s="32"/>
      <c r="E597" s="32"/>
      <c r="F597" s="32"/>
      <c r="G597" s="32"/>
      <c r="H597" s="10"/>
      <c r="I597" s="10"/>
      <c r="J597" s="10"/>
      <c r="K597" s="12"/>
      <c r="M597" s="62"/>
      <c r="N597" s="66"/>
      <c r="O597" s="84"/>
      <c r="P597" s="69"/>
      <c r="Q597" s="84"/>
      <c r="R597" s="84"/>
      <c r="S597" s="60"/>
      <c r="T597" s="62"/>
      <c r="U597" s="62"/>
      <c r="V597" s="62"/>
      <c r="W597" s="61"/>
      <c r="X597" s="62"/>
      <c r="Y597" s="62"/>
      <c r="Z597" s="66"/>
      <c r="AA597" s="84"/>
      <c r="AB597" s="69"/>
      <c r="AC597" s="84"/>
      <c r="AD597" s="84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31"/>
      <c r="D598" s="32"/>
      <c r="E598" s="32"/>
      <c r="F598" s="32"/>
      <c r="G598" s="32"/>
      <c r="H598" s="10"/>
      <c r="I598" s="10"/>
      <c r="J598" s="10"/>
      <c r="K598" s="12"/>
      <c r="M598" s="62"/>
      <c r="N598" s="66"/>
      <c r="O598" s="62"/>
      <c r="P598" s="69"/>
      <c r="Q598" s="84"/>
      <c r="R598" s="84"/>
      <c r="S598" s="60"/>
      <c r="T598" s="62"/>
      <c r="U598" s="62"/>
      <c r="V598" s="62"/>
      <c r="W598" s="61"/>
      <c r="X598" s="62"/>
      <c r="Y598" s="62"/>
      <c r="Z598" s="66"/>
      <c r="AA598" s="84"/>
      <c r="AB598" s="69"/>
      <c r="AC598" s="84"/>
      <c r="AD598" s="84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62"/>
      <c r="N599" s="66"/>
      <c r="O599" s="84"/>
      <c r="P599" s="69"/>
      <c r="Q599" s="84"/>
      <c r="R599" s="84"/>
      <c r="S599" s="60"/>
      <c r="T599" s="62"/>
      <c r="U599" s="62"/>
      <c r="V599" s="62"/>
      <c r="W599" s="61"/>
      <c r="X599" s="62"/>
      <c r="Y599" s="62"/>
      <c r="Z599" s="66"/>
      <c r="AA599" s="84"/>
      <c r="AB599" s="69"/>
      <c r="AC599" s="84"/>
      <c r="AD599" s="84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62"/>
      <c r="N600" s="66"/>
      <c r="O600" s="84"/>
      <c r="P600" s="69"/>
      <c r="Q600" s="84"/>
      <c r="R600" s="84"/>
      <c r="S600" s="60"/>
      <c r="T600" s="62"/>
      <c r="U600" s="62"/>
      <c r="V600" s="62"/>
      <c r="W600" s="61"/>
      <c r="X600" s="62"/>
      <c r="Y600" s="62"/>
      <c r="Z600" s="66"/>
      <c r="AA600" s="84"/>
      <c r="AB600" s="69"/>
      <c r="AC600" s="84"/>
      <c r="AD600" s="84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62"/>
      <c r="N601" s="66"/>
      <c r="O601" s="62"/>
      <c r="P601" s="69"/>
      <c r="Q601" s="84"/>
      <c r="R601" s="84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4"/>
      <c r="AD601" s="84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63">SUM(D602:E602)</f>
        <v>0</v>
      </c>
      <c r="H602" s="10"/>
      <c r="I602" s="10"/>
      <c r="J602" s="10"/>
      <c r="K602" s="12">
        <f t="shared" ref="K602" si="164">SUM(G602:J602)</f>
        <v>0</v>
      </c>
      <c r="M602" s="62"/>
      <c r="N602" s="66"/>
      <c r="O602" s="84"/>
      <c r="P602" s="69"/>
      <c r="Q602" s="84"/>
      <c r="R602" s="84"/>
      <c r="S602" s="60"/>
      <c r="T602" s="62"/>
      <c r="U602" s="62"/>
      <c r="V602" s="62"/>
      <c r="W602" s="61"/>
      <c r="X602" s="62"/>
      <c r="Y602" s="62"/>
      <c r="Z602" s="66"/>
      <c r="AA602" s="84"/>
      <c r="AB602" s="69"/>
      <c r="AC602" s="84"/>
      <c r="AD602" s="84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62"/>
      <c r="N603" s="84"/>
      <c r="O603" s="84"/>
      <c r="P603" s="84"/>
      <c r="Q603" s="84"/>
      <c r="R603" s="84"/>
      <c r="S603" s="84"/>
      <c r="T603" s="62"/>
      <c r="U603" s="62"/>
      <c r="V603" s="62"/>
      <c r="W603" s="61"/>
      <c r="X603" s="62"/>
      <c r="Y603" s="62"/>
      <c r="Z603" s="84"/>
      <c r="AA603" s="84"/>
      <c r="AB603" s="84"/>
      <c r="AC603" s="84"/>
      <c r="AD603" s="84"/>
      <c r="AE603" s="84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M604" s="62"/>
      <c r="N604" s="84"/>
      <c r="O604" s="84"/>
      <c r="P604" s="84"/>
      <c r="Q604" s="84"/>
      <c r="R604" s="84"/>
      <c r="S604" s="84"/>
      <c r="T604" s="62"/>
      <c r="U604" s="62"/>
      <c r="V604" s="62"/>
      <c r="W604" s="62"/>
      <c r="X604" s="62"/>
      <c r="Y604" s="62"/>
      <c r="Z604" s="84"/>
      <c r="AA604" s="84"/>
      <c r="AB604" s="84"/>
      <c r="AC604" s="84"/>
      <c r="AD604" s="84"/>
      <c r="AE604" s="84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382619</v>
      </c>
      <c r="E605" s="38">
        <f t="shared" ref="E605:F605" si="165">SUM(E562:E602)</f>
        <v>-5535</v>
      </c>
      <c r="F605" s="38">
        <f t="shared" si="165"/>
        <v>0</v>
      </c>
      <c r="G605" s="38">
        <f>SUM(G562:G604)</f>
        <v>377084</v>
      </c>
      <c r="H605" s="4"/>
      <c r="I605" s="39">
        <f>SUM(I562:I604)</f>
        <v>936</v>
      </c>
      <c r="J605" s="39">
        <f>SUM(J562:J604)</f>
        <v>-17826</v>
      </c>
      <c r="K605" s="40">
        <f>SUM(K562:K604)</f>
        <v>360194</v>
      </c>
      <c r="M605" s="62"/>
      <c r="N605" s="84"/>
      <c r="O605" s="84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4"/>
      <c r="AA605" s="84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37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37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37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70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70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70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6" t="s">
        <v>18</v>
      </c>
      <c r="E615" s="116"/>
      <c r="F615" s="99"/>
      <c r="G615" s="27"/>
      <c r="I615" s="114" t="s">
        <v>19</v>
      </c>
      <c r="J615" s="115"/>
      <c r="K615" s="112" t="s">
        <v>20</v>
      </c>
      <c r="N615" s="25"/>
      <c r="O615" s="26"/>
      <c r="P615" s="116" t="s">
        <v>18</v>
      </c>
      <c r="Q615" s="116"/>
      <c r="R615" s="99"/>
      <c r="S615" s="27"/>
      <c r="U615" s="114" t="s">
        <v>19</v>
      </c>
      <c r="V615" s="115"/>
      <c r="W615" s="112" t="s">
        <v>20</v>
      </c>
      <c r="Z615" s="25"/>
      <c r="AA615" s="26"/>
      <c r="AB615" s="116" t="s">
        <v>18</v>
      </c>
      <c r="AC615" s="116"/>
      <c r="AD615" s="99"/>
      <c r="AE615" s="27"/>
      <c r="AG615" s="114" t="s">
        <v>19</v>
      </c>
      <c r="AH615" s="115"/>
      <c r="AI615" s="112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36</v>
      </c>
      <c r="G616" s="80" t="s">
        <v>25</v>
      </c>
      <c r="I616" s="29" t="s">
        <v>26</v>
      </c>
      <c r="J616" s="29" t="s">
        <v>27</v>
      </c>
      <c r="K616" s="113"/>
      <c r="N616" s="28" t="s">
        <v>21</v>
      </c>
      <c r="O616" s="28" t="s">
        <v>22</v>
      </c>
      <c r="P616" s="79" t="s">
        <v>23</v>
      </c>
      <c r="Q616" s="80" t="s">
        <v>24</v>
      </c>
      <c r="R616" s="80" t="s">
        <v>36</v>
      </c>
      <c r="S616" s="80" t="s">
        <v>25</v>
      </c>
      <c r="U616" s="29" t="s">
        <v>26</v>
      </c>
      <c r="V616" s="29" t="s">
        <v>27</v>
      </c>
      <c r="W616" s="113"/>
      <c r="Z616" s="28" t="s">
        <v>21</v>
      </c>
      <c r="AA616" s="28" t="s">
        <v>22</v>
      </c>
      <c r="AB616" s="79" t="s">
        <v>23</v>
      </c>
      <c r="AC616" s="80" t="s">
        <v>24</v>
      </c>
      <c r="AD616" s="80" t="s">
        <v>36</v>
      </c>
      <c r="AE616" s="80" t="s">
        <v>25</v>
      </c>
      <c r="AG616" s="29" t="s">
        <v>26</v>
      </c>
      <c r="AH616" s="29" t="s">
        <v>27</v>
      </c>
      <c r="AI616" s="113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71</v>
      </c>
      <c r="C617" s="31">
        <v>5951</v>
      </c>
      <c r="D617" s="32">
        <f>28170+1842+4172</f>
        <v>34184</v>
      </c>
      <c r="E617" s="32"/>
      <c r="F617" s="32"/>
      <c r="G617" s="32">
        <f t="shared" ref="G617:G650" si="166">SUM(D617:E617)</f>
        <v>34184</v>
      </c>
      <c r="H617" s="12"/>
      <c r="I617" s="12"/>
      <c r="J617" s="12"/>
      <c r="K617" s="12">
        <f t="shared" ref="K617:K650" si="167">SUM(G617:J617)</f>
        <v>34184</v>
      </c>
      <c r="M617" s="10">
        <v>1</v>
      </c>
      <c r="N617" s="30" t="s">
        <v>71</v>
      </c>
      <c r="O617" s="31">
        <v>5926</v>
      </c>
      <c r="P617" s="32">
        <f>118940+11920+916</f>
        <v>131776</v>
      </c>
      <c r="Q617" s="32">
        <v>-1926</v>
      </c>
      <c r="R617" s="32"/>
      <c r="S617" s="32">
        <f>SUM(P617:Q617)</f>
        <v>129850</v>
      </c>
      <c r="T617" s="12"/>
      <c r="U617" s="12"/>
      <c r="V617" s="12"/>
      <c r="W617" s="12">
        <f>SUM(S617:V617)</f>
        <v>129850</v>
      </c>
      <c r="Y617" s="10">
        <v>1</v>
      </c>
      <c r="Z617" s="30" t="s">
        <v>71</v>
      </c>
      <c r="AA617" s="31">
        <v>5499</v>
      </c>
      <c r="AB617" s="32">
        <f>28170+1228+2980+458</f>
        <v>32836</v>
      </c>
      <c r="AC617" s="32"/>
      <c r="AD617" s="32"/>
      <c r="AE617" s="32">
        <f>SUM(AB617:AC617)</f>
        <v>32836</v>
      </c>
      <c r="AF617" s="12"/>
      <c r="AG617" s="12">
        <v>2109</v>
      </c>
      <c r="AH617" s="12"/>
      <c r="AI617" s="12">
        <f>SUM(AE617:AH617)</f>
        <v>34945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71</v>
      </c>
      <c r="C618" s="31">
        <f>C617+1</f>
        <v>5952</v>
      </c>
      <c r="D618" s="32">
        <f>6500+1000+1300+3250+1447+24560+125200+9130+6740+24960</f>
        <v>204087</v>
      </c>
      <c r="E618" s="32"/>
      <c r="F618" s="32"/>
      <c r="G618" s="32">
        <f t="shared" si="166"/>
        <v>204087</v>
      </c>
      <c r="H618" s="12"/>
      <c r="I618" s="12"/>
      <c r="J618" s="12">
        <f>-3330+-5712+-19152+-2436</f>
        <v>-30630</v>
      </c>
      <c r="K618" s="12">
        <f t="shared" si="167"/>
        <v>173457</v>
      </c>
      <c r="M618" s="10">
        <v>2</v>
      </c>
      <c r="N618" s="30" t="s">
        <v>71</v>
      </c>
      <c r="O618" s="31">
        <f>O617+1</f>
        <v>5927</v>
      </c>
      <c r="P618" s="32">
        <f>31300+2980+458</f>
        <v>34738</v>
      </c>
      <c r="Q618" s="32">
        <v>-448</v>
      </c>
      <c r="R618" s="32"/>
      <c r="S618" s="32">
        <f t="shared" ref="S618:S655" si="168">SUM(P618:Q618)</f>
        <v>34290</v>
      </c>
      <c r="T618" s="12"/>
      <c r="U618" s="12"/>
      <c r="V618" s="12"/>
      <c r="W618" s="12">
        <f t="shared" ref="W618:W658" si="169">SUM(S618:V618)</f>
        <v>34290</v>
      </c>
      <c r="Y618" s="10">
        <v>2</v>
      </c>
      <c r="Z618" s="30" t="s">
        <v>71</v>
      </c>
      <c r="AA618" s="31">
        <f>AA617+1</f>
        <v>5500</v>
      </c>
      <c r="AB618" s="32">
        <f>25040+614+5960+229</f>
        <v>31843</v>
      </c>
      <c r="AC618" s="32"/>
      <c r="AD618" s="32"/>
      <c r="AE618" s="32">
        <f t="shared" ref="AE618:AE655" si="170">SUM(AB618:AC618)</f>
        <v>31843</v>
      </c>
      <c r="AF618" s="12"/>
      <c r="AG618" s="12">
        <f>2886+108</f>
        <v>2994</v>
      </c>
      <c r="AH618" s="12"/>
      <c r="AI618" s="12">
        <f t="shared" ref="AI618:AI658" si="171">SUM(AE618:AH618)</f>
        <v>34837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71</v>
      </c>
      <c r="C619" s="31">
        <f t="shared" ref="C619:C629" si="172">C618+1</f>
        <v>5953</v>
      </c>
      <c r="D619" s="33">
        <f>4160+2350+10050+29800+2350+8520+1020+1582</f>
        <v>59832</v>
      </c>
      <c r="E619" s="33"/>
      <c r="F619" s="33"/>
      <c r="G619" s="33">
        <f t="shared" si="166"/>
        <v>59832</v>
      </c>
      <c r="H619" s="34"/>
      <c r="I619" s="34">
        <f>240+120+4440+22200+1200+1110+3600+600+240+5550+1200+1200+120</f>
        <v>41820</v>
      </c>
      <c r="J619" s="34"/>
      <c r="K619" s="34">
        <f t="shared" si="167"/>
        <v>101652</v>
      </c>
      <c r="M619" s="10">
        <v>3</v>
      </c>
      <c r="N619" s="30" t="s">
        <v>71</v>
      </c>
      <c r="O619" s="31">
        <f t="shared" ref="O619" si="173">O618+1</f>
        <v>5928</v>
      </c>
      <c r="P619" s="32">
        <f>6260</f>
        <v>6260</v>
      </c>
      <c r="Q619" s="32"/>
      <c r="R619" s="32"/>
      <c r="S619" s="32">
        <f t="shared" si="168"/>
        <v>6260</v>
      </c>
      <c r="T619" s="12"/>
      <c r="U619" s="12"/>
      <c r="V619" s="12"/>
      <c r="W619" s="12">
        <f t="shared" si="169"/>
        <v>6260</v>
      </c>
      <c r="Y619" s="10">
        <v>3</v>
      </c>
      <c r="Z619" s="30" t="s">
        <v>71</v>
      </c>
      <c r="AA619" s="31">
        <v>5806</v>
      </c>
      <c r="AB619" s="33">
        <f>626*20+3070+8940</f>
        <v>24530</v>
      </c>
      <c r="AC619" s="33"/>
      <c r="AD619" s="32"/>
      <c r="AE619" s="32">
        <f t="shared" si="170"/>
        <v>24530</v>
      </c>
      <c r="AF619" s="12"/>
      <c r="AG619" s="12"/>
      <c r="AH619" s="12"/>
      <c r="AI619" s="12">
        <f t="shared" si="171"/>
        <v>24530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71</v>
      </c>
      <c r="C620" s="31">
        <f t="shared" si="172"/>
        <v>5954</v>
      </c>
      <c r="D620" s="32">
        <f>2504+38</f>
        <v>2542</v>
      </c>
      <c r="E620" s="32"/>
      <c r="F620" s="32"/>
      <c r="G620" s="32">
        <f t="shared" si="166"/>
        <v>2542</v>
      </c>
      <c r="H620" s="12"/>
      <c r="I620" s="12"/>
      <c r="J620" s="12"/>
      <c r="K620" s="12">
        <f t="shared" si="167"/>
        <v>2542</v>
      </c>
      <c r="M620" s="10">
        <v>4</v>
      </c>
      <c r="N620" s="30"/>
      <c r="O620" s="11" t="s">
        <v>28</v>
      </c>
      <c r="P620" s="32"/>
      <c r="Q620" s="32"/>
      <c r="R620" s="32"/>
      <c r="S620" s="32">
        <f t="shared" si="168"/>
        <v>0</v>
      </c>
      <c r="T620" s="12"/>
      <c r="U620" s="12"/>
      <c r="V620" s="12"/>
      <c r="W620" s="12">
        <f t="shared" si="169"/>
        <v>0</v>
      </c>
      <c r="Y620" s="10">
        <v>4</v>
      </c>
      <c r="Z620" s="30" t="s">
        <v>71</v>
      </c>
      <c r="AA620" s="31">
        <f t="shared" ref="AA620:AA623" si="174">AA619+1</f>
        <v>5807</v>
      </c>
      <c r="AB620" s="32">
        <f>3130+47.5</f>
        <v>3177.5</v>
      </c>
      <c r="AC620" s="32"/>
      <c r="AD620" s="32"/>
      <c r="AE620" s="32">
        <f t="shared" si="170"/>
        <v>3177.5</v>
      </c>
      <c r="AF620" s="12"/>
      <c r="AH620" s="12"/>
      <c r="AI620" s="12">
        <f t="shared" si="171"/>
        <v>3177.5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71</v>
      </c>
      <c r="C621" s="31">
        <f t="shared" si="172"/>
        <v>5955</v>
      </c>
      <c r="D621" s="32">
        <f>626+10</f>
        <v>636</v>
      </c>
      <c r="E621" s="32"/>
      <c r="F621" s="32"/>
      <c r="G621" s="32">
        <f t="shared" si="166"/>
        <v>636</v>
      </c>
      <c r="H621" s="12"/>
      <c r="I621" s="12"/>
      <c r="J621" s="12"/>
      <c r="K621" s="12">
        <f t="shared" si="167"/>
        <v>636</v>
      </c>
      <c r="M621" s="10">
        <v>5</v>
      </c>
      <c r="N621" s="30"/>
      <c r="O621" s="31"/>
      <c r="P621" s="32"/>
      <c r="Q621" s="32"/>
      <c r="R621" s="32"/>
      <c r="S621" s="32">
        <f t="shared" si="168"/>
        <v>0</v>
      </c>
      <c r="T621" s="12"/>
      <c r="U621" s="12"/>
      <c r="V621" s="12"/>
      <c r="W621" s="12">
        <f t="shared" si="169"/>
        <v>0</v>
      </c>
      <c r="Y621" s="10">
        <v>5</v>
      </c>
      <c r="Z621" s="30" t="s">
        <v>71</v>
      </c>
      <c r="AA621" s="31">
        <f t="shared" si="174"/>
        <v>5808</v>
      </c>
      <c r="AB621" s="32">
        <f>67608+1145</f>
        <v>68753</v>
      </c>
      <c r="AC621" s="32"/>
      <c r="AD621" s="32"/>
      <c r="AE621" s="32">
        <f t="shared" si="170"/>
        <v>68753</v>
      </c>
      <c r="AF621" s="12"/>
      <c r="AG621" s="12">
        <v>5994</v>
      </c>
      <c r="AH621" s="12"/>
      <c r="AI621" s="12">
        <f t="shared" si="171"/>
        <v>74747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71</v>
      </c>
      <c r="C622" s="31">
        <f t="shared" si="172"/>
        <v>5956</v>
      </c>
      <c r="D622" s="32">
        <f>1878+29</f>
        <v>1907</v>
      </c>
      <c r="E622" s="32"/>
      <c r="F622" s="32"/>
      <c r="G622" s="32">
        <f t="shared" si="166"/>
        <v>1907</v>
      </c>
      <c r="H622" s="12"/>
      <c r="I622" s="12"/>
      <c r="J622" s="12"/>
      <c r="K622" s="12">
        <f t="shared" si="167"/>
        <v>1907</v>
      </c>
      <c r="M622" s="10">
        <v>6</v>
      </c>
      <c r="N622" s="30"/>
      <c r="O622" s="31"/>
      <c r="P622" s="32"/>
      <c r="Q622" s="32"/>
      <c r="R622" s="32"/>
      <c r="S622" s="32">
        <f t="shared" si="168"/>
        <v>0</v>
      </c>
      <c r="T622" s="12"/>
      <c r="U622" s="12"/>
      <c r="V622" s="10"/>
      <c r="W622" s="12">
        <f t="shared" si="169"/>
        <v>0</v>
      </c>
      <c r="Y622" s="10">
        <v>6</v>
      </c>
      <c r="Z622" s="30" t="s">
        <v>71</v>
      </c>
      <c r="AA622" s="31">
        <f t="shared" si="174"/>
        <v>5809</v>
      </c>
      <c r="AB622" s="32">
        <f>12520+2456+4172+852+832+229</f>
        <v>21061</v>
      </c>
      <c r="AC622" s="32"/>
      <c r="AD622" s="32"/>
      <c r="AE622" s="32">
        <f t="shared" si="170"/>
        <v>21061</v>
      </c>
      <c r="AF622" s="12"/>
      <c r="AG622" s="12"/>
      <c r="AH622" s="10"/>
      <c r="AI622" s="12">
        <f t="shared" si="171"/>
        <v>21061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71</v>
      </c>
      <c r="C623" s="31">
        <f t="shared" si="172"/>
        <v>5957</v>
      </c>
      <c r="D623" s="32">
        <f>626*3+29</f>
        <v>1907</v>
      </c>
      <c r="E623" s="32"/>
      <c r="F623" s="32"/>
      <c r="G623" s="32">
        <f t="shared" si="166"/>
        <v>1907</v>
      </c>
      <c r="H623" s="12"/>
      <c r="I623" s="12"/>
      <c r="J623" s="12"/>
      <c r="K623" s="12">
        <f t="shared" si="167"/>
        <v>1907</v>
      </c>
      <c r="M623" s="10">
        <v>7</v>
      </c>
      <c r="N623" s="30"/>
      <c r="P623" s="32"/>
      <c r="Q623" s="32"/>
      <c r="R623" s="32"/>
      <c r="S623" s="32">
        <f t="shared" si="168"/>
        <v>0</v>
      </c>
      <c r="T623" s="12"/>
      <c r="U623" s="12"/>
      <c r="V623" s="12"/>
      <c r="W623" s="12">
        <f t="shared" si="169"/>
        <v>0</v>
      </c>
      <c r="Y623" s="10">
        <v>7</v>
      </c>
      <c r="Z623" s="30" t="s">
        <v>71</v>
      </c>
      <c r="AA623" s="31">
        <f t="shared" si="174"/>
        <v>5810</v>
      </c>
      <c r="AB623" s="32">
        <f>13772+229</f>
        <v>14001</v>
      </c>
      <c r="AC623" s="32"/>
      <c r="AD623" s="32"/>
      <c r="AE623" s="32">
        <f t="shared" si="170"/>
        <v>14001</v>
      </c>
      <c r="AF623" s="12"/>
      <c r="AG623" s="58">
        <v>54</v>
      </c>
      <c r="AH623" s="12"/>
      <c r="AI623" s="12">
        <f t="shared" si="171"/>
        <v>14055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71</v>
      </c>
      <c r="C624" s="31">
        <f t="shared" si="172"/>
        <v>5958</v>
      </c>
      <c r="D624" s="32">
        <f>6886+614+105</f>
        <v>7605</v>
      </c>
      <c r="E624" s="32"/>
      <c r="F624" s="32"/>
      <c r="G624" s="32">
        <f t="shared" si="166"/>
        <v>7605</v>
      </c>
      <c r="H624" s="12"/>
      <c r="I624" s="12">
        <v>81</v>
      </c>
      <c r="J624" s="12"/>
      <c r="K624" s="12">
        <f t="shared" si="167"/>
        <v>7686</v>
      </c>
      <c r="M624" s="10">
        <v>8</v>
      </c>
      <c r="N624" s="30"/>
      <c r="O624" s="31"/>
      <c r="P624" s="32"/>
      <c r="Q624" s="32"/>
      <c r="R624" s="32"/>
      <c r="S624" s="32">
        <f t="shared" si="168"/>
        <v>0</v>
      </c>
      <c r="T624" s="12"/>
      <c r="U624" s="12"/>
      <c r="V624" s="12"/>
      <c r="W624" s="12">
        <f t="shared" si="169"/>
        <v>0</v>
      </c>
      <c r="Y624" s="10">
        <v>8</v>
      </c>
      <c r="Z624" s="30"/>
      <c r="AA624" s="11" t="s">
        <v>28</v>
      </c>
      <c r="AB624" s="32"/>
      <c r="AC624" s="32"/>
      <c r="AE624" s="32">
        <f t="shared" si="170"/>
        <v>0</v>
      </c>
      <c r="AF624" s="12"/>
      <c r="AG624" s="12"/>
      <c r="AH624" s="12"/>
      <c r="AI624" s="12">
        <f t="shared" si="171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71</v>
      </c>
      <c r="C625" s="31">
        <f t="shared" si="172"/>
        <v>5959</v>
      </c>
      <c r="D625" s="32">
        <f>8138+1192+143</f>
        <v>9473</v>
      </c>
      <c r="E625" s="32"/>
      <c r="F625" s="32"/>
      <c r="G625" s="32">
        <f t="shared" si="166"/>
        <v>9473</v>
      </c>
      <c r="H625" s="12"/>
      <c r="I625" s="12"/>
      <c r="J625" s="12"/>
      <c r="K625" s="12">
        <f t="shared" si="167"/>
        <v>9473</v>
      </c>
      <c r="M625" s="10">
        <v>9</v>
      </c>
      <c r="N625" s="30"/>
      <c r="O625" s="31"/>
      <c r="P625" s="32"/>
      <c r="Q625" s="32"/>
      <c r="R625" s="32"/>
      <c r="S625" s="32">
        <f t="shared" si="168"/>
        <v>0</v>
      </c>
      <c r="T625" s="12"/>
      <c r="U625" s="12"/>
      <c r="V625" s="12"/>
      <c r="W625" s="12">
        <f t="shared" si="169"/>
        <v>0</v>
      </c>
      <c r="Y625" s="10">
        <v>9</v>
      </c>
      <c r="Z625" s="30"/>
      <c r="AA625" s="31"/>
      <c r="AC625" s="32"/>
      <c r="AD625" s="32"/>
      <c r="AE625" s="32">
        <f t="shared" si="170"/>
        <v>0</v>
      </c>
      <c r="AF625" s="12"/>
      <c r="AH625" s="12"/>
      <c r="AI625" s="12">
        <f t="shared" si="171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71</v>
      </c>
      <c r="C626" s="31">
        <f t="shared" si="172"/>
        <v>5960</v>
      </c>
      <c r="D626" s="32">
        <f>1878+614+29</f>
        <v>2521</v>
      </c>
      <c r="E626" s="32"/>
      <c r="F626" s="32"/>
      <c r="G626" s="32">
        <f t="shared" si="166"/>
        <v>2521</v>
      </c>
      <c r="H626" s="12"/>
      <c r="I626" s="12">
        <v>18</v>
      </c>
      <c r="J626" s="12"/>
      <c r="K626" s="12">
        <f t="shared" si="167"/>
        <v>2539</v>
      </c>
      <c r="M626" s="10">
        <v>10</v>
      </c>
      <c r="N626" s="30"/>
      <c r="O626" s="31"/>
      <c r="P626" s="32"/>
      <c r="Q626" s="32"/>
      <c r="R626" s="32"/>
      <c r="S626" s="32">
        <f t="shared" si="168"/>
        <v>0</v>
      </c>
      <c r="T626" s="12"/>
      <c r="U626" s="12"/>
      <c r="V626" s="12"/>
      <c r="W626" s="12">
        <f t="shared" si="169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70"/>
        <v>0</v>
      </c>
      <c r="AF626" s="12"/>
      <c r="AG626" s="12"/>
      <c r="AH626" s="12"/>
      <c r="AI626" s="12">
        <f t="shared" si="171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71</v>
      </c>
      <c r="C627" s="31">
        <f t="shared" si="172"/>
        <v>5961</v>
      </c>
      <c r="D627" s="32">
        <f>626+614+10</f>
        <v>1250</v>
      </c>
      <c r="E627" s="32"/>
      <c r="F627" s="32"/>
      <c r="G627" s="32">
        <f t="shared" si="166"/>
        <v>1250</v>
      </c>
      <c r="H627" s="12"/>
      <c r="I627" s="12"/>
      <c r="J627" s="12"/>
      <c r="K627" s="12">
        <f t="shared" si="167"/>
        <v>1250</v>
      </c>
      <c r="M627" s="10">
        <v>11</v>
      </c>
      <c r="N627" s="30"/>
      <c r="P627" s="32"/>
      <c r="Q627" s="32"/>
      <c r="R627" s="32"/>
      <c r="S627" s="32">
        <f t="shared" si="168"/>
        <v>0</v>
      </c>
      <c r="T627" s="12"/>
      <c r="U627" s="12"/>
      <c r="V627" s="12"/>
      <c r="W627" s="12">
        <f t="shared" si="169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70"/>
        <v>0</v>
      </c>
      <c r="AF627" s="12"/>
      <c r="AG627" s="12"/>
      <c r="AH627" s="12"/>
      <c r="AI627" s="12">
        <f t="shared" si="171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71</v>
      </c>
      <c r="C628" s="31">
        <f t="shared" si="172"/>
        <v>5962</v>
      </c>
      <c r="D628" s="32">
        <f>1252+19</f>
        <v>1271</v>
      </c>
      <c r="E628" s="32"/>
      <c r="F628" s="32"/>
      <c r="G628" s="32">
        <f t="shared" si="166"/>
        <v>1271</v>
      </c>
      <c r="H628" s="12"/>
      <c r="I628" s="12">
        <v>5</v>
      </c>
      <c r="J628" s="10"/>
      <c r="K628" s="12">
        <f t="shared" si="167"/>
        <v>1276</v>
      </c>
      <c r="M628" s="10">
        <v>12</v>
      </c>
      <c r="N628" s="30"/>
      <c r="O628" s="31"/>
      <c r="P628" s="32"/>
      <c r="Q628" s="32"/>
      <c r="R628" s="32"/>
      <c r="S628" s="32">
        <f t="shared" si="168"/>
        <v>0</v>
      </c>
      <c r="T628" s="12"/>
      <c r="U628" s="12"/>
      <c r="V628" s="12"/>
      <c r="W628" s="12">
        <f t="shared" si="169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70"/>
        <v>0</v>
      </c>
      <c r="AF628" s="12"/>
      <c r="AG628" s="12"/>
      <c r="AH628" s="12"/>
      <c r="AI628" s="12">
        <f t="shared" si="171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71</v>
      </c>
      <c r="C629" s="31">
        <f t="shared" si="172"/>
        <v>5963</v>
      </c>
      <c r="D629" s="32">
        <f>913+852+503</f>
        <v>2268</v>
      </c>
      <c r="E629" s="32"/>
      <c r="F629" s="32"/>
      <c r="G629" s="32">
        <f t="shared" si="166"/>
        <v>2268</v>
      </c>
      <c r="H629" s="12"/>
      <c r="I629" s="12"/>
      <c r="J629" s="12"/>
      <c r="K629" s="12">
        <f t="shared" si="167"/>
        <v>2268</v>
      </c>
      <c r="M629" s="10">
        <v>13</v>
      </c>
      <c r="N629" s="30"/>
      <c r="O629" s="31"/>
      <c r="P629" s="32"/>
      <c r="Q629" s="32"/>
      <c r="R629" s="32"/>
      <c r="S629" s="32">
        <f t="shared" si="168"/>
        <v>0</v>
      </c>
      <c r="T629" s="12"/>
      <c r="U629" s="12"/>
      <c r="V629" s="12"/>
      <c r="W629" s="12">
        <f t="shared" si="169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70"/>
        <v>0</v>
      </c>
      <c r="AF629" s="12"/>
      <c r="AG629" s="12"/>
      <c r="AH629" s="12"/>
      <c r="AI629" s="12">
        <f t="shared" si="171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11" t="s">
        <v>28</v>
      </c>
      <c r="D630" s="32"/>
      <c r="E630" s="32"/>
      <c r="F630" s="32"/>
      <c r="G630" s="32">
        <f t="shared" si="166"/>
        <v>0</v>
      </c>
      <c r="H630" s="12"/>
      <c r="I630" s="12"/>
      <c r="J630" s="12"/>
      <c r="K630" s="12">
        <f t="shared" si="167"/>
        <v>0</v>
      </c>
      <c r="M630" s="10">
        <v>14</v>
      </c>
      <c r="N630" s="30"/>
      <c r="O630" s="31"/>
      <c r="P630" s="32"/>
      <c r="Q630" s="32"/>
      <c r="R630" s="32"/>
      <c r="S630" s="32">
        <f t="shared" si="168"/>
        <v>0</v>
      </c>
      <c r="T630" s="12"/>
      <c r="U630" s="12"/>
      <c r="V630" s="12"/>
      <c r="W630" s="12">
        <f t="shared" si="169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70"/>
        <v>0</v>
      </c>
      <c r="AF630" s="12"/>
      <c r="AG630" s="12"/>
      <c r="AH630" s="12"/>
      <c r="AI630" s="12">
        <f t="shared" si="171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66"/>
        <v>0</v>
      </c>
      <c r="H631" s="12"/>
      <c r="I631" s="12"/>
      <c r="J631" s="12"/>
      <c r="K631" s="12">
        <f t="shared" si="167"/>
        <v>0</v>
      </c>
      <c r="M631" s="10">
        <v>15</v>
      </c>
      <c r="N631" s="30"/>
      <c r="O631" s="31"/>
      <c r="P631" s="32"/>
      <c r="Q631" s="32"/>
      <c r="R631" s="32"/>
      <c r="S631" s="32">
        <f t="shared" si="168"/>
        <v>0</v>
      </c>
      <c r="T631" s="12"/>
      <c r="U631" s="12"/>
      <c r="V631" s="12"/>
      <c r="W631" s="12">
        <f t="shared" si="169"/>
        <v>0</v>
      </c>
      <c r="Y631" s="10">
        <v>15</v>
      </c>
      <c r="Z631" s="30"/>
      <c r="AB631" s="32"/>
      <c r="AC631" s="32"/>
      <c r="AD631" s="32"/>
      <c r="AE631" s="32">
        <f t="shared" si="170"/>
        <v>0</v>
      </c>
      <c r="AF631" s="12"/>
      <c r="AG631" s="12"/>
      <c r="AH631" s="12"/>
      <c r="AI631" s="12">
        <f t="shared" si="171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66"/>
        <v>0</v>
      </c>
      <c r="H632" s="12"/>
      <c r="I632" s="12"/>
      <c r="J632" s="12"/>
      <c r="K632" s="12">
        <f t="shared" si="167"/>
        <v>0</v>
      </c>
      <c r="M632" s="10">
        <v>16</v>
      </c>
      <c r="N632" s="30"/>
      <c r="O632" s="31"/>
      <c r="P632" s="32"/>
      <c r="Q632" s="32"/>
      <c r="R632" s="32"/>
      <c r="S632" s="32">
        <f t="shared" si="168"/>
        <v>0</v>
      </c>
      <c r="T632" s="12"/>
      <c r="U632" s="12"/>
      <c r="V632" s="12"/>
      <c r="W632" s="12">
        <f t="shared" si="169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70"/>
        <v>0</v>
      </c>
      <c r="AF632" s="12"/>
      <c r="AG632" s="12"/>
      <c r="AH632" s="12"/>
      <c r="AI632" s="12">
        <f t="shared" si="171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66"/>
        <v>0</v>
      </c>
      <c r="H633" s="12"/>
      <c r="I633" s="12"/>
      <c r="J633" s="12"/>
      <c r="K633" s="12">
        <f t="shared" si="167"/>
        <v>0</v>
      </c>
      <c r="M633" s="10">
        <v>17</v>
      </c>
      <c r="N633" s="30"/>
      <c r="O633" s="31"/>
      <c r="P633" s="35"/>
      <c r="Q633" s="32"/>
      <c r="R633" s="32"/>
      <c r="S633" s="32">
        <f t="shared" si="168"/>
        <v>0</v>
      </c>
      <c r="T633" s="12"/>
      <c r="U633" s="12"/>
      <c r="V633" s="12"/>
      <c r="W633" s="12">
        <f t="shared" si="169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70"/>
        <v>0</v>
      </c>
      <c r="AF633" s="12"/>
      <c r="AG633" s="12"/>
      <c r="AH633" s="12"/>
      <c r="AI633" s="12">
        <f t="shared" si="171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66"/>
        <v>0</v>
      </c>
      <c r="H634" s="12"/>
      <c r="I634" s="12"/>
      <c r="J634" s="12"/>
      <c r="K634" s="12">
        <f t="shared" si="167"/>
        <v>0</v>
      </c>
      <c r="M634" s="10">
        <v>18</v>
      </c>
      <c r="N634" s="30"/>
      <c r="O634" s="31"/>
      <c r="P634" s="32"/>
      <c r="Q634" s="32"/>
      <c r="R634" s="32"/>
      <c r="S634" s="32">
        <f t="shared" si="168"/>
        <v>0</v>
      </c>
      <c r="T634" s="12"/>
      <c r="U634" s="12"/>
      <c r="V634" s="12"/>
      <c r="W634" s="12">
        <f t="shared" si="169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70"/>
        <v>0</v>
      </c>
      <c r="AF634" s="12"/>
      <c r="AG634" s="12"/>
      <c r="AH634" s="12"/>
      <c r="AI634" s="12">
        <f t="shared" si="171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66"/>
        <v>0</v>
      </c>
      <c r="H635" s="12"/>
      <c r="I635" s="12"/>
      <c r="J635" s="12"/>
      <c r="K635" s="12">
        <f t="shared" si="167"/>
        <v>0</v>
      </c>
      <c r="M635" s="10">
        <v>19</v>
      </c>
      <c r="N635" s="30"/>
      <c r="O635" s="31"/>
      <c r="P635" s="32"/>
      <c r="Q635" s="32"/>
      <c r="R635" s="32"/>
      <c r="S635" s="32">
        <f t="shared" si="168"/>
        <v>0</v>
      </c>
      <c r="T635" s="12"/>
      <c r="U635" s="12"/>
      <c r="V635" s="12"/>
      <c r="W635" s="12">
        <f t="shared" si="169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70"/>
        <v>0</v>
      </c>
      <c r="AF635" s="12"/>
      <c r="AG635" s="12"/>
      <c r="AH635" s="12"/>
      <c r="AI635" s="12">
        <f t="shared" si="171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66"/>
        <v>0</v>
      </c>
      <c r="H636" s="12"/>
      <c r="I636" s="12"/>
      <c r="J636" s="12"/>
      <c r="K636" s="12">
        <f t="shared" si="167"/>
        <v>0</v>
      </c>
      <c r="M636" s="10">
        <v>20</v>
      </c>
      <c r="N636" s="30"/>
      <c r="O636" s="31"/>
      <c r="P636" s="32"/>
      <c r="Q636" s="32"/>
      <c r="R636" s="32"/>
      <c r="S636" s="32">
        <f t="shared" si="168"/>
        <v>0</v>
      </c>
      <c r="T636" s="12"/>
      <c r="U636" s="12"/>
      <c r="V636" s="12"/>
      <c r="W636" s="12">
        <f t="shared" si="169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70"/>
        <v>0</v>
      </c>
      <c r="AF636" s="12"/>
      <c r="AG636" s="12"/>
      <c r="AH636" s="12"/>
      <c r="AI636" s="12">
        <f t="shared" si="171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66"/>
        <v>0</v>
      </c>
      <c r="H637" s="10"/>
      <c r="I637" s="10"/>
      <c r="J637" s="10"/>
      <c r="K637" s="12">
        <f t="shared" si="167"/>
        <v>0</v>
      </c>
      <c r="M637" s="10">
        <v>21</v>
      </c>
      <c r="N637" s="30"/>
      <c r="O637" s="31"/>
      <c r="P637" s="46"/>
      <c r="Q637" s="31"/>
      <c r="R637" s="31"/>
      <c r="S637" s="32">
        <f t="shared" si="168"/>
        <v>0</v>
      </c>
      <c r="T637" s="10"/>
      <c r="U637" s="10"/>
      <c r="V637" s="10"/>
      <c r="W637" s="12">
        <f t="shared" si="169"/>
        <v>0</v>
      </c>
      <c r="Y637" s="10">
        <v>21</v>
      </c>
      <c r="Z637" s="30"/>
      <c r="AB637" s="46"/>
      <c r="AC637" s="31"/>
      <c r="AD637" s="31"/>
      <c r="AE637" s="32">
        <f t="shared" si="170"/>
        <v>0</v>
      </c>
      <c r="AF637" s="10"/>
      <c r="AG637" s="10"/>
      <c r="AH637" s="10"/>
      <c r="AI637" s="12">
        <f t="shared" si="171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66"/>
        <v>0</v>
      </c>
      <c r="H638" s="10"/>
      <c r="I638" s="10"/>
      <c r="J638" s="10"/>
      <c r="K638" s="12">
        <f t="shared" si="167"/>
        <v>0</v>
      </c>
      <c r="M638" s="10">
        <v>22</v>
      </c>
      <c r="N638" s="30"/>
      <c r="O638" s="31"/>
      <c r="P638" s="45"/>
      <c r="Q638" s="31"/>
      <c r="R638" s="31"/>
      <c r="S638" s="32">
        <f t="shared" si="168"/>
        <v>0</v>
      </c>
      <c r="T638" s="10"/>
      <c r="U638" s="10"/>
      <c r="V638" s="10"/>
      <c r="W638" s="12">
        <f t="shared" si="169"/>
        <v>0</v>
      </c>
      <c r="Y638" s="10">
        <v>22</v>
      </c>
      <c r="Z638" s="30"/>
      <c r="AB638" s="45"/>
      <c r="AC638" s="31"/>
      <c r="AD638" s="31"/>
      <c r="AE638" s="32">
        <f t="shared" si="170"/>
        <v>0</v>
      </c>
      <c r="AF638" s="10"/>
      <c r="AG638" s="10"/>
      <c r="AH638" s="10"/>
      <c r="AI638" s="12">
        <f t="shared" si="171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66"/>
        <v>0</v>
      </c>
      <c r="H639" s="10"/>
      <c r="I639" s="10"/>
      <c r="J639" s="12"/>
      <c r="K639" s="12">
        <f t="shared" si="167"/>
        <v>0</v>
      </c>
      <c r="M639" s="10">
        <v>23</v>
      </c>
      <c r="N639" s="30"/>
      <c r="O639" s="31"/>
      <c r="P639" s="47"/>
      <c r="S639" s="32">
        <f t="shared" si="168"/>
        <v>0</v>
      </c>
      <c r="T639" s="10"/>
      <c r="U639" s="10"/>
      <c r="V639" s="10"/>
      <c r="W639" s="12">
        <f t="shared" si="169"/>
        <v>0</v>
      </c>
      <c r="Y639" s="10">
        <v>23</v>
      </c>
      <c r="Z639" s="30"/>
      <c r="AA639" s="31"/>
      <c r="AB639" s="47"/>
      <c r="AC639" s="31"/>
      <c r="AE639" s="32">
        <f t="shared" si="170"/>
        <v>0</v>
      </c>
      <c r="AF639" s="10"/>
      <c r="AG639" s="10"/>
      <c r="AH639" s="10"/>
      <c r="AI639" s="12">
        <f t="shared" si="171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66"/>
        <v>0</v>
      </c>
      <c r="H640" s="10"/>
      <c r="I640" s="10"/>
      <c r="J640" s="10"/>
      <c r="K640" s="12">
        <f t="shared" si="167"/>
        <v>0</v>
      </c>
      <c r="M640" s="10">
        <v>24</v>
      </c>
      <c r="N640" s="30"/>
      <c r="O640" s="31"/>
      <c r="P640" s="47"/>
      <c r="Q640" s="31"/>
      <c r="R640" s="31"/>
      <c r="S640" s="32">
        <f t="shared" si="168"/>
        <v>0</v>
      </c>
      <c r="T640" s="10"/>
      <c r="U640" s="10"/>
      <c r="V640" s="10"/>
      <c r="W640" s="12">
        <f t="shared" si="169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70"/>
        <v>0</v>
      </c>
      <c r="AF640" s="10"/>
      <c r="AG640" s="10"/>
      <c r="AH640" s="10"/>
      <c r="AI640" s="12">
        <f t="shared" si="171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66"/>
        <v>0</v>
      </c>
      <c r="H641" s="10"/>
      <c r="I641" s="10"/>
      <c r="J641" s="10"/>
      <c r="K641" s="12">
        <f t="shared" si="167"/>
        <v>0</v>
      </c>
      <c r="M641" s="10">
        <v>25</v>
      </c>
      <c r="N641" s="30"/>
      <c r="O641" s="31"/>
      <c r="P641" s="47"/>
      <c r="Q641" s="31"/>
      <c r="R641" s="31"/>
      <c r="S641" s="32">
        <f t="shared" si="168"/>
        <v>0</v>
      </c>
      <c r="T641" s="10"/>
      <c r="U641" s="10"/>
      <c r="V641" s="10"/>
      <c r="W641" s="12">
        <f t="shared" si="169"/>
        <v>0</v>
      </c>
      <c r="Y641" s="10">
        <v>25</v>
      </c>
      <c r="Z641" s="30"/>
      <c r="AA641" s="11"/>
      <c r="AB641" s="47"/>
      <c r="AC641" s="31"/>
      <c r="AD641" s="31"/>
      <c r="AE641" s="32">
        <f t="shared" si="170"/>
        <v>0</v>
      </c>
      <c r="AF641" s="10"/>
      <c r="AG641" s="10"/>
      <c r="AH641" s="10"/>
      <c r="AI641" s="12">
        <f t="shared" si="171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57"/>
      <c r="D642" s="32"/>
      <c r="E642" s="32"/>
      <c r="F642" s="32"/>
      <c r="G642" s="32">
        <f t="shared" si="166"/>
        <v>0</v>
      </c>
      <c r="H642" s="10"/>
      <c r="I642" s="10"/>
      <c r="J642" s="10"/>
      <c r="K642" s="12">
        <f t="shared" si="167"/>
        <v>0</v>
      </c>
      <c r="M642" s="10">
        <v>26</v>
      </c>
      <c r="N642" s="30"/>
      <c r="O642" s="31"/>
      <c r="P642" s="47"/>
      <c r="Q642" s="31"/>
      <c r="R642" s="31"/>
      <c r="S642" s="32">
        <f t="shared" si="168"/>
        <v>0</v>
      </c>
      <c r="T642" s="10"/>
      <c r="U642" s="10"/>
      <c r="V642" s="10"/>
      <c r="W642" s="12">
        <f t="shared" si="169"/>
        <v>0</v>
      </c>
      <c r="Y642" s="10">
        <v>26</v>
      </c>
      <c r="Z642" s="30"/>
      <c r="AB642" s="47"/>
      <c r="AC642" s="31"/>
      <c r="AD642" s="31"/>
      <c r="AE642" s="32">
        <f t="shared" si="170"/>
        <v>0</v>
      </c>
      <c r="AF642" s="10"/>
      <c r="AG642" s="10"/>
      <c r="AH642" s="10"/>
      <c r="AI642" s="12">
        <f t="shared" si="171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66"/>
        <v>0</v>
      </c>
      <c r="H643" s="10"/>
      <c r="I643" s="10"/>
      <c r="J643" s="10"/>
      <c r="K643" s="12">
        <f t="shared" si="167"/>
        <v>0</v>
      </c>
      <c r="M643" s="10">
        <v>27</v>
      </c>
      <c r="N643" s="30"/>
      <c r="O643" s="31"/>
      <c r="P643" s="47"/>
      <c r="Q643" s="31"/>
      <c r="R643" s="31"/>
      <c r="S643" s="32">
        <f t="shared" si="168"/>
        <v>0</v>
      </c>
      <c r="T643" s="10"/>
      <c r="U643" s="10"/>
      <c r="V643" s="10"/>
      <c r="W643" s="12">
        <f t="shared" si="169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70"/>
        <v>0</v>
      </c>
      <c r="AF643" s="10"/>
      <c r="AG643" s="10"/>
      <c r="AH643" s="10"/>
      <c r="AI643" s="12">
        <f t="shared" si="171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66"/>
        <v>0</v>
      </c>
      <c r="H644" s="10"/>
      <c r="I644" s="10"/>
      <c r="J644" s="10"/>
      <c r="K644" s="12">
        <f t="shared" si="167"/>
        <v>0</v>
      </c>
      <c r="M644" s="10">
        <v>28</v>
      </c>
      <c r="N644" s="30"/>
      <c r="O644" s="31"/>
      <c r="P644" s="47"/>
      <c r="Q644" s="31"/>
      <c r="R644" s="31"/>
      <c r="S644" s="32">
        <f t="shared" si="168"/>
        <v>0</v>
      </c>
      <c r="T644" s="10"/>
      <c r="U644" s="10"/>
      <c r="V644" s="10"/>
      <c r="W644" s="12">
        <f t="shared" si="169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70"/>
        <v>0</v>
      </c>
      <c r="AF644" s="10"/>
      <c r="AG644" s="10"/>
      <c r="AH644" s="10"/>
      <c r="AI644" s="12">
        <f t="shared" si="171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57"/>
      <c r="D645" s="32"/>
      <c r="E645" s="32"/>
      <c r="F645" s="32"/>
      <c r="G645" s="32">
        <f t="shared" si="166"/>
        <v>0</v>
      </c>
      <c r="H645" s="10"/>
      <c r="I645" s="10"/>
      <c r="J645" s="10"/>
      <c r="K645" s="12">
        <f t="shared" si="167"/>
        <v>0</v>
      </c>
      <c r="M645" s="10">
        <v>29</v>
      </c>
      <c r="N645" s="30"/>
      <c r="P645" s="47"/>
      <c r="Q645" s="31"/>
      <c r="R645" s="31"/>
      <c r="S645" s="32">
        <f t="shared" si="168"/>
        <v>0</v>
      </c>
      <c r="T645" s="10"/>
      <c r="U645" s="10"/>
      <c r="V645" s="10"/>
      <c r="W645" s="12">
        <f t="shared" si="169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70"/>
        <v>0</v>
      </c>
      <c r="AF645" s="10"/>
      <c r="AG645" s="10"/>
      <c r="AH645" s="10"/>
      <c r="AI645" s="12">
        <f t="shared" si="171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66"/>
        <v>0</v>
      </c>
      <c r="H646" s="10"/>
      <c r="I646" s="10"/>
      <c r="J646" s="10"/>
      <c r="K646" s="12">
        <f t="shared" si="167"/>
        <v>0</v>
      </c>
      <c r="M646" s="10">
        <v>30</v>
      </c>
      <c r="N646" s="30"/>
      <c r="P646" s="47"/>
      <c r="Q646" s="31"/>
      <c r="R646" s="31"/>
      <c r="S646" s="32">
        <f t="shared" si="168"/>
        <v>0</v>
      </c>
      <c r="T646" s="10"/>
      <c r="U646" s="10"/>
      <c r="V646" s="10"/>
      <c r="W646" s="12">
        <f t="shared" si="169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70"/>
        <v>0</v>
      </c>
      <c r="AF646" s="10"/>
      <c r="AG646" s="10"/>
      <c r="AH646" s="10"/>
      <c r="AI646" s="12">
        <f t="shared" si="171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66"/>
        <v>0</v>
      </c>
      <c r="H647" s="10"/>
      <c r="I647" s="10"/>
      <c r="J647" s="10"/>
      <c r="K647" s="12">
        <f t="shared" si="167"/>
        <v>0</v>
      </c>
      <c r="M647" s="10">
        <v>31</v>
      </c>
      <c r="N647" s="30"/>
      <c r="O647" s="31"/>
      <c r="P647" s="47"/>
      <c r="Q647" s="31"/>
      <c r="R647" s="31"/>
      <c r="S647" s="32">
        <f t="shared" si="168"/>
        <v>0</v>
      </c>
      <c r="T647" s="10"/>
      <c r="U647" s="10"/>
      <c r="V647" s="10"/>
      <c r="W647" s="12">
        <f t="shared" si="169"/>
        <v>0</v>
      </c>
      <c r="Y647" s="10">
        <v>31</v>
      </c>
      <c r="Z647" s="30"/>
      <c r="AA647" s="31"/>
      <c r="AB647" s="47"/>
      <c r="AC647" s="31"/>
      <c r="AD647" s="31"/>
      <c r="AE647" s="32">
        <f t="shared" si="170"/>
        <v>0</v>
      </c>
      <c r="AF647" s="10"/>
      <c r="AG647" s="10"/>
      <c r="AH647" s="10"/>
      <c r="AI647" s="12">
        <f t="shared" si="171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66"/>
        <v>0</v>
      </c>
      <c r="H648" s="10"/>
      <c r="I648" s="10"/>
      <c r="J648" s="10"/>
      <c r="K648" s="12">
        <f t="shared" si="167"/>
        <v>0</v>
      </c>
      <c r="M648" s="10">
        <v>32</v>
      </c>
      <c r="N648" s="30"/>
      <c r="P648" s="47"/>
      <c r="Q648" s="31"/>
      <c r="R648" s="31"/>
      <c r="S648" s="32">
        <f t="shared" si="168"/>
        <v>0</v>
      </c>
      <c r="T648" s="10"/>
      <c r="U648" s="10"/>
      <c r="V648" s="10"/>
      <c r="W648" s="12">
        <f t="shared" si="169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70"/>
        <v>0</v>
      </c>
      <c r="AF648" s="10"/>
      <c r="AG648" s="10"/>
      <c r="AH648" s="10"/>
      <c r="AI648" s="12">
        <f t="shared" si="171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66"/>
        <v>0</v>
      </c>
      <c r="H649" s="10"/>
      <c r="I649" s="10"/>
      <c r="J649" s="10"/>
      <c r="K649" s="12">
        <f t="shared" si="167"/>
        <v>0</v>
      </c>
      <c r="M649" s="10">
        <v>33</v>
      </c>
      <c r="N649" s="30"/>
      <c r="O649" s="31"/>
      <c r="P649" s="47"/>
      <c r="Q649" s="31"/>
      <c r="R649" s="31"/>
      <c r="S649" s="32">
        <f t="shared" si="168"/>
        <v>0</v>
      </c>
      <c r="T649" s="10"/>
      <c r="U649" s="10"/>
      <c r="V649" s="10"/>
      <c r="W649" s="12">
        <f t="shared" si="169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70"/>
        <v>0</v>
      </c>
      <c r="AF649" s="10"/>
      <c r="AG649" s="10"/>
      <c r="AH649" s="10"/>
      <c r="AI649" s="12">
        <f t="shared" si="171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31"/>
      <c r="D650" s="32"/>
      <c r="E650" s="32"/>
      <c r="F650" s="32"/>
      <c r="G650" s="32">
        <f t="shared" si="166"/>
        <v>0</v>
      </c>
      <c r="H650" s="10"/>
      <c r="I650" s="10"/>
      <c r="J650" s="10"/>
      <c r="K650" s="12">
        <f t="shared" si="167"/>
        <v>0</v>
      </c>
      <c r="M650" s="10">
        <v>34</v>
      </c>
      <c r="N650" s="30"/>
      <c r="O650" s="31"/>
      <c r="P650" s="47"/>
      <c r="Q650" s="31"/>
      <c r="R650" s="31"/>
      <c r="S650" s="32">
        <f t="shared" si="168"/>
        <v>0</v>
      </c>
      <c r="T650" s="10"/>
      <c r="U650" s="10"/>
      <c r="V650" s="10"/>
      <c r="W650" s="12">
        <f t="shared" si="169"/>
        <v>0</v>
      </c>
      <c r="Y650" s="10">
        <v>34</v>
      </c>
      <c r="Z650" s="30"/>
      <c r="AA650" s="31"/>
      <c r="AB650" s="47"/>
      <c r="AC650" s="31"/>
      <c r="AD650" s="31"/>
      <c r="AE650" s="32">
        <f t="shared" si="170"/>
        <v>0</v>
      </c>
      <c r="AF650" s="10"/>
      <c r="AG650" s="10"/>
      <c r="AH650" s="10"/>
      <c r="AI650" s="12">
        <f t="shared" si="171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68"/>
        <v>0</v>
      </c>
      <c r="T651" s="10"/>
      <c r="U651" s="10"/>
      <c r="V651" s="10"/>
      <c r="W651" s="12">
        <f t="shared" si="169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70"/>
        <v>0</v>
      </c>
      <c r="AF651" s="10"/>
      <c r="AG651" s="10"/>
      <c r="AH651" s="10"/>
      <c r="AI651" s="12">
        <f t="shared" si="171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68"/>
        <v>0</v>
      </c>
      <c r="T652" s="10"/>
      <c r="U652" s="10"/>
      <c r="V652" s="10"/>
      <c r="W652" s="12">
        <f t="shared" si="169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70"/>
        <v>0</v>
      </c>
      <c r="AF652" s="10"/>
      <c r="AG652" s="10"/>
      <c r="AH652" s="10"/>
      <c r="AI652" s="12">
        <f t="shared" si="171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68"/>
        <v>0</v>
      </c>
      <c r="T653" s="10"/>
      <c r="U653" s="10"/>
      <c r="V653" s="10"/>
      <c r="W653" s="12">
        <f t="shared" si="169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70"/>
        <v>0</v>
      </c>
      <c r="AF653" s="10"/>
      <c r="AG653" s="10"/>
      <c r="AH653" s="10"/>
      <c r="AI653" s="12">
        <f t="shared" si="171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68"/>
        <v>0</v>
      </c>
      <c r="T654" s="10"/>
      <c r="U654" s="10"/>
      <c r="V654" s="10"/>
      <c r="W654" s="12">
        <f t="shared" si="169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70"/>
        <v>0</v>
      </c>
      <c r="AF654" s="10"/>
      <c r="AG654" s="10"/>
      <c r="AH654" s="10"/>
      <c r="AI654" s="12">
        <f t="shared" si="171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68"/>
        <v>0</v>
      </c>
      <c r="T655" s="10"/>
      <c r="U655" s="10"/>
      <c r="V655" s="10"/>
      <c r="W655" s="12">
        <f t="shared" si="169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70"/>
        <v>0</v>
      </c>
      <c r="AF655" s="10"/>
      <c r="AG655" s="10"/>
      <c r="AH655" s="10"/>
      <c r="AI655" s="12">
        <f t="shared" si="171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69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71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75">SUM(D657:E657)</f>
        <v>0</v>
      </c>
      <c r="H657" s="10"/>
      <c r="I657" s="10"/>
      <c r="J657" s="10"/>
      <c r="K657" s="12">
        <f t="shared" ref="K657" si="176">SUM(G657:J657)</f>
        <v>0</v>
      </c>
      <c r="M657" s="10"/>
      <c r="N657" s="30"/>
      <c r="O657" s="31"/>
      <c r="P657" s="47"/>
      <c r="Q657" s="31"/>
      <c r="R657" s="31"/>
      <c r="S657" s="32">
        <f t="shared" ref="S657" si="177">SUM(P657:Q657)</f>
        <v>0</v>
      </c>
      <c r="T657" s="10"/>
      <c r="U657" s="10"/>
      <c r="V657" s="10"/>
      <c r="W657" s="12">
        <f t="shared" si="169"/>
        <v>0</v>
      </c>
      <c r="Y657" s="10"/>
      <c r="Z657" s="30"/>
      <c r="AA657" s="31"/>
      <c r="AB657" s="47"/>
      <c r="AC657" s="31"/>
      <c r="AD657" s="31"/>
      <c r="AE657" s="32">
        <f t="shared" ref="AE657" si="178">SUM(AB657:AC657)</f>
        <v>0</v>
      </c>
      <c r="AF657" s="10"/>
      <c r="AG657" s="10"/>
      <c r="AH657" s="10"/>
      <c r="AI657" s="12">
        <f t="shared" si="171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69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71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329483</v>
      </c>
      <c r="E660" s="38">
        <f t="shared" ref="E660:F660" si="179">SUM(E617:E657)</f>
        <v>0</v>
      </c>
      <c r="F660" s="38">
        <f t="shared" si="179"/>
        <v>0</v>
      </c>
      <c r="G660" s="38">
        <f>SUM(G617:G659)</f>
        <v>329483</v>
      </c>
      <c r="H660" s="4"/>
      <c r="I660" s="39">
        <f>SUM(I617:I659)</f>
        <v>41924</v>
      </c>
      <c r="J660" s="39">
        <f>SUM(J617:J659)</f>
        <v>-30630</v>
      </c>
      <c r="K660" s="40">
        <f>SUM(K617:K659)</f>
        <v>340777</v>
      </c>
      <c r="N660" s="57"/>
      <c r="O660" s="57"/>
      <c r="P660" s="38">
        <f>SUM(P617:P659)</f>
        <v>172774</v>
      </c>
      <c r="Q660" s="38">
        <f>SUM(Q617:Q641)</f>
        <v>-2374</v>
      </c>
      <c r="R660" s="38">
        <f>SUM(R617:R641)</f>
        <v>0</v>
      </c>
      <c r="S660" s="38">
        <f>SUM(S617:S659)</f>
        <v>170400</v>
      </c>
      <c r="T660" s="4"/>
      <c r="U660" s="41">
        <f>SUM(U617:U659)</f>
        <v>0</v>
      </c>
      <c r="V660" s="41">
        <f>SUM(V617:V641)</f>
        <v>0</v>
      </c>
      <c r="W660" s="42">
        <f>SUM(W617:W659)</f>
        <v>170400</v>
      </c>
      <c r="Z660" s="57"/>
      <c r="AA660" s="57"/>
      <c r="AB660" s="38">
        <f>SUM(AB617:AB659)</f>
        <v>196201.5</v>
      </c>
      <c r="AC660" s="38">
        <f>SUM(AC617:AC641)</f>
        <v>0</v>
      </c>
      <c r="AD660" s="38">
        <f>SUM(AD617:AD641)</f>
        <v>0</v>
      </c>
      <c r="AE660" s="38">
        <f>SUM(AE617:AE659)</f>
        <v>196201.5</v>
      </c>
      <c r="AF660" s="4"/>
      <c r="AG660" s="41">
        <f>SUM(AG617:AG659)</f>
        <v>11151</v>
      </c>
      <c r="AH660" s="41">
        <f>SUM(AH617:AH641)</f>
        <v>0</v>
      </c>
      <c r="AI660" s="42">
        <f>SUM(AI617:AI659)</f>
        <v>207352.5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42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42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42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73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73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73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16" t="s">
        <v>18</v>
      </c>
      <c r="E670" s="116"/>
      <c r="F670" s="100"/>
      <c r="G670" s="27"/>
      <c r="I670" s="114" t="s">
        <v>19</v>
      </c>
      <c r="J670" s="115"/>
      <c r="K670" s="112" t="s">
        <v>20</v>
      </c>
      <c r="N670" s="25"/>
      <c r="O670" s="26"/>
      <c r="P670" s="116" t="s">
        <v>18</v>
      </c>
      <c r="Q670" s="116"/>
      <c r="R670" s="100"/>
      <c r="S670" s="27"/>
      <c r="U670" s="114" t="s">
        <v>19</v>
      </c>
      <c r="V670" s="115"/>
      <c r="W670" s="112" t="s">
        <v>20</v>
      </c>
      <c r="Z670" s="25"/>
      <c r="AA670" s="26"/>
      <c r="AB670" s="116" t="s">
        <v>18</v>
      </c>
      <c r="AC670" s="116"/>
      <c r="AD670" s="100"/>
      <c r="AE670" s="27"/>
      <c r="AG670" s="114" t="s">
        <v>19</v>
      </c>
      <c r="AH670" s="115"/>
      <c r="AI670" s="112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79" t="s">
        <v>23</v>
      </c>
      <c r="E671" s="78" t="s">
        <v>24</v>
      </c>
      <c r="F671" s="80" t="s">
        <v>36</v>
      </c>
      <c r="G671" s="80" t="s">
        <v>25</v>
      </c>
      <c r="I671" s="29" t="s">
        <v>26</v>
      </c>
      <c r="J671" s="29" t="s">
        <v>27</v>
      </c>
      <c r="K671" s="113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36</v>
      </c>
      <c r="S671" s="80" t="s">
        <v>25</v>
      </c>
      <c r="U671" s="29" t="s">
        <v>26</v>
      </c>
      <c r="V671" s="29" t="s">
        <v>27</v>
      </c>
      <c r="W671" s="113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36</v>
      </c>
      <c r="AE671" s="80" t="s">
        <v>25</v>
      </c>
      <c r="AG671" s="29" t="s">
        <v>26</v>
      </c>
      <c r="AH671" s="29" t="s">
        <v>27</v>
      </c>
      <c r="AI671" s="113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74</v>
      </c>
      <c r="C672" s="31">
        <v>5900</v>
      </c>
      <c r="D672" s="32">
        <f>6260+614</f>
        <v>6874</v>
      </c>
      <c r="E672" s="32"/>
      <c r="F672" s="32"/>
      <c r="G672" s="32">
        <f t="shared" ref="G672:G705" si="180">SUM(D672:E672)</f>
        <v>6874</v>
      </c>
      <c r="H672" s="12"/>
      <c r="I672" s="12"/>
      <c r="J672" s="12"/>
      <c r="K672" s="12">
        <f t="shared" ref="K672:K705" si="181">SUM(G672:J672)</f>
        <v>6874</v>
      </c>
      <c r="M672" s="10">
        <v>1</v>
      </c>
      <c r="N672" s="30" t="s">
        <v>74</v>
      </c>
      <c r="O672" s="31">
        <v>5929</v>
      </c>
      <c r="P672" s="32">
        <f>3130+614+674</f>
        <v>4418</v>
      </c>
      <c r="Q672" s="32"/>
      <c r="R672" s="32"/>
      <c r="S672" s="32">
        <f>SUM(P672:Q672)</f>
        <v>4418</v>
      </c>
      <c r="T672" s="12"/>
      <c r="U672" s="12">
        <v>4.5</v>
      </c>
      <c r="V672" s="12"/>
      <c r="W672" s="12">
        <f>SUM(S672:V672)</f>
        <v>4422.5</v>
      </c>
      <c r="Y672" s="10">
        <v>1</v>
      </c>
      <c r="Z672" s="30" t="s">
        <v>74</v>
      </c>
      <c r="AA672" s="31">
        <v>5811</v>
      </c>
      <c r="AB672" s="32">
        <f>40064+3576+1664+687</f>
        <v>45991</v>
      </c>
      <c r="AC672" s="32">
        <v>-450</v>
      </c>
      <c r="AD672" s="32"/>
      <c r="AE672" s="32">
        <f>SUM(AB672:AC672)</f>
        <v>45541</v>
      </c>
      <c r="AF672" s="12"/>
      <c r="AG672" s="12">
        <f>72+27</f>
        <v>99</v>
      </c>
      <c r="AH672" s="12"/>
      <c r="AI672" s="12">
        <f>SUM(AE672:AH672)</f>
        <v>45640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74</v>
      </c>
      <c r="C673" s="31">
        <v>5964</v>
      </c>
      <c r="D673" s="32">
        <f>6260+614+1192+114</f>
        <v>8180</v>
      </c>
      <c r="E673" s="32"/>
      <c r="F673" s="32"/>
      <c r="G673" s="32">
        <f t="shared" si="180"/>
        <v>8180</v>
      </c>
      <c r="H673" s="12"/>
      <c r="I673" s="12"/>
      <c r="J673" s="12"/>
      <c r="K673" s="12">
        <f t="shared" si="181"/>
        <v>8180</v>
      </c>
      <c r="M673" s="10">
        <v>2</v>
      </c>
      <c r="N673" s="30" t="s">
        <v>74</v>
      </c>
      <c r="O673" s="31">
        <f>O672+1</f>
        <v>5930</v>
      </c>
      <c r="P673" s="32">
        <f>614</f>
        <v>614</v>
      </c>
      <c r="Q673" s="32"/>
      <c r="R673" s="32"/>
      <c r="S673" s="32">
        <f t="shared" ref="S673:S710" si="182">SUM(P673:Q673)</f>
        <v>614</v>
      </c>
      <c r="T673" s="12"/>
      <c r="U673" s="12">
        <v>4.5</v>
      </c>
      <c r="V673" s="12">
        <f>-1110</f>
        <v>-1110</v>
      </c>
      <c r="W673" s="12">
        <f t="shared" ref="W673:W713" si="183">SUM(S673:V673)</f>
        <v>-491.5</v>
      </c>
      <c r="Y673" s="10">
        <v>2</v>
      </c>
      <c r="Z673" s="30" t="s">
        <v>74</v>
      </c>
      <c r="AA673" s="31">
        <f>AA672+1</f>
        <v>5812</v>
      </c>
      <c r="AB673" s="32">
        <f>43820+8596+2022</f>
        <v>54438</v>
      </c>
      <c r="AC673" s="32"/>
      <c r="AD673" s="32"/>
      <c r="AE673" s="32">
        <f t="shared" ref="AE673:AE710" si="184">SUM(AB673:AC673)</f>
        <v>54438</v>
      </c>
      <c r="AF673" s="12"/>
      <c r="AG673" s="12"/>
      <c r="AH673" s="12"/>
      <c r="AI673" s="12">
        <f t="shared" ref="AI673:AI713" si="185">SUM(AE673:AH673)</f>
        <v>54438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74</v>
      </c>
      <c r="C674" s="31">
        <f t="shared" ref="C674:C693" si="186">C673+1</f>
        <v>5965</v>
      </c>
      <c r="D674" s="33">
        <f>5008+674+1192</f>
        <v>6874</v>
      </c>
      <c r="E674" s="33"/>
      <c r="F674" s="33"/>
      <c r="G674" s="33">
        <f t="shared" si="180"/>
        <v>6874</v>
      </c>
      <c r="H674" s="34"/>
      <c r="I674" s="34"/>
      <c r="J674" s="34"/>
      <c r="K674" s="34">
        <f t="shared" si="181"/>
        <v>6874</v>
      </c>
      <c r="M674" s="10">
        <v>3</v>
      </c>
      <c r="N674" s="30" t="s">
        <v>74</v>
      </c>
      <c r="O674" s="31">
        <f t="shared" ref="O674:O682" si="187">O673+1</f>
        <v>5931</v>
      </c>
      <c r="P674" s="32">
        <f>626+2980+57</f>
        <v>3663</v>
      </c>
      <c r="Q674" s="32"/>
      <c r="R674" s="32"/>
      <c r="S674" s="32">
        <f t="shared" si="182"/>
        <v>3663</v>
      </c>
      <c r="T674" s="12"/>
      <c r="U674" s="12"/>
      <c r="V674" s="12"/>
      <c r="W674" s="12">
        <f t="shared" si="183"/>
        <v>3663</v>
      </c>
      <c r="Y674" s="10">
        <v>3</v>
      </c>
      <c r="Z674" s="30" t="s">
        <v>74</v>
      </c>
      <c r="AA674" s="31">
        <f t="shared" ref="AA674:AA682" si="188">AA673+1</f>
        <v>5813</v>
      </c>
      <c r="AB674" s="33">
        <f>11894+1192+229</f>
        <v>13315</v>
      </c>
      <c r="AC674" s="33"/>
      <c r="AD674" s="32"/>
      <c r="AE674" s="32">
        <f t="shared" si="184"/>
        <v>13315</v>
      </c>
      <c r="AF674" s="12"/>
      <c r="AG674" s="12">
        <v>84</v>
      </c>
      <c r="AH674" s="12"/>
      <c r="AI674" s="12">
        <f t="shared" si="185"/>
        <v>13399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74</v>
      </c>
      <c r="C675" s="31">
        <f t="shared" si="186"/>
        <v>5966</v>
      </c>
      <c r="D675" s="32">
        <f>626+596*3+138</f>
        <v>2552</v>
      </c>
      <c r="E675" s="32"/>
      <c r="F675" s="32"/>
      <c r="G675" s="32">
        <f t="shared" si="180"/>
        <v>2552</v>
      </c>
      <c r="H675" s="12"/>
      <c r="I675" s="12"/>
      <c r="J675" s="12"/>
      <c r="K675" s="12">
        <f t="shared" si="181"/>
        <v>2552</v>
      </c>
      <c r="M675" s="10">
        <v>4</v>
      </c>
      <c r="N675" s="30" t="s">
        <v>74</v>
      </c>
      <c r="O675" s="31">
        <f t="shared" si="187"/>
        <v>5932</v>
      </c>
      <c r="P675" s="32">
        <f>3756+596+57</f>
        <v>4409</v>
      </c>
      <c r="Q675" s="32"/>
      <c r="R675" s="32"/>
      <c r="S675" s="32">
        <f t="shared" si="182"/>
        <v>4409</v>
      </c>
      <c r="T675" s="12"/>
      <c r="U675" s="12"/>
      <c r="V675" s="12"/>
      <c r="W675" s="12">
        <f t="shared" si="183"/>
        <v>4409</v>
      </c>
      <c r="Y675" s="10">
        <v>4</v>
      </c>
      <c r="Z675" s="30" t="s">
        <v>74</v>
      </c>
      <c r="AA675" s="31">
        <f t="shared" si="188"/>
        <v>5814</v>
      </c>
      <c r="AB675" s="32">
        <f>500</f>
        <v>500</v>
      </c>
      <c r="AC675" s="32"/>
      <c r="AD675" s="32"/>
      <c r="AE675" s="32">
        <f t="shared" si="184"/>
        <v>500</v>
      </c>
      <c r="AF675" s="12"/>
      <c r="AH675" s="12"/>
      <c r="AI675" s="12">
        <f t="shared" si="185"/>
        <v>500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74</v>
      </c>
      <c r="C676" s="31">
        <f t="shared" si="186"/>
        <v>5967</v>
      </c>
      <c r="D676" s="32">
        <f>6260+95</f>
        <v>6355</v>
      </c>
      <c r="E676" s="32"/>
      <c r="F676" s="32"/>
      <c r="G676" s="32">
        <f t="shared" si="180"/>
        <v>6355</v>
      </c>
      <c r="H676" s="12"/>
      <c r="I676" s="12"/>
      <c r="J676" s="12"/>
      <c r="K676" s="12">
        <f t="shared" si="181"/>
        <v>6355</v>
      </c>
      <c r="M676" s="10">
        <v>5</v>
      </c>
      <c r="N676" s="30" t="s">
        <v>74</v>
      </c>
      <c r="O676" s="31">
        <f t="shared" si="187"/>
        <v>5933</v>
      </c>
      <c r="P676" s="32">
        <f>2504+38</f>
        <v>2542</v>
      </c>
      <c r="Q676" s="32"/>
      <c r="R676" s="32"/>
      <c r="S676" s="32">
        <f t="shared" si="182"/>
        <v>2542</v>
      </c>
      <c r="T676" s="12"/>
      <c r="U676" s="12">
        <v>444</v>
      </c>
      <c r="V676" s="12"/>
      <c r="W676" s="12">
        <f t="shared" si="183"/>
        <v>2986</v>
      </c>
      <c r="Y676" s="10">
        <v>5</v>
      </c>
      <c r="Z676" s="30" t="s">
        <v>74</v>
      </c>
      <c r="AA676" s="31">
        <f t="shared" si="188"/>
        <v>5815</v>
      </c>
      <c r="AB676" s="32">
        <f>12520+1005</f>
        <v>13525</v>
      </c>
      <c r="AC676" s="32"/>
      <c r="AD676" s="32"/>
      <c r="AE676" s="32">
        <f t="shared" si="184"/>
        <v>13525</v>
      </c>
      <c r="AF676" s="12"/>
      <c r="AG676" s="12"/>
      <c r="AH676" s="12"/>
      <c r="AI676" s="12">
        <f t="shared" si="185"/>
        <v>13525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74</v>
      </c>
      <c r="C677" s="31">
        <f t="shared" si="186"/>
        <v>5968</v>
      </c>
      <c r="D677" s="32">
        <f>3130+47</f>
        <v>3177</v>
      </c>
      <c r="E677" s="32"/>
      <c r="F677" s="32"/>
      <c r="G677" s="32">
        <f t="shared" si="180"/>
        <v>3177</v>
      </c>
      <c r="H677" s="12"/>
      <c r="I677" s="12"/>
      <c r="J677" s="12"/>
      <c r="K677" s="12">
        <f t="shared" si="181"/>
        <v>3177</v>
      </c>
      <c r="M677" s="10">
        <v>6</v>
      </c>
      <c r="N677" s="30" t="s">
        <v>74</v>
      </c>
      <c r="O677" s="31">
        <f t="shared" si="187"/>
        <v>5934</v>
      </c>
      <c r="P677" s="32">
        <f>1878+28.5</f>
        <v>1906.5</v>
      </c>
      <c r="Q677" s="32"/>
      <c r="R677" s="32"/>
      <c r="S677" s="32">
        <f t="shared" si="182"/>
        <v>1906.5</v>
      </c>
      <c r="T677" s="12"/>
      <c r="U677" s="12"/>
      <c r="V677" s="10"/>
      <c r="W677" s="12">
        <f t="shared" si="183"/>
        <v>1906.5</v>
      </c>
      <c r="Y677" s="10">
        <v>6</v>
      </c>
      <c r="Z677" s="30" t="s">
        <v>74</v>
      </c>
      <c r="AA677" s="31">
        <f t="shared" si="188"/>
        <v>5816</v>
      </c>
      <c r="AB677" s="32">
        <f>852+1005</f>
        <v>1857</v>
      </c>
      <c r="AC677" s="32"/>
      <c r="AD677" s="32"/>
      <c r="AE677" s="32">
        <f t="shared" si="184"/>
        <v>1857</v>
      </c>
      <c r="AF677" s="12"/>
      <c r="AG677" s="12"/>
      <c r="AH677" s="10"/>
      <c r="AI677" s="12">
        <f t="shared" si="185"/>
        <v>1857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74</v>
      </c>
      <c r="C678" s="31">
        <f t="shared" si="186"/>
        <v>5969</v>
      </c>
      <c r="D678" s="32">
        <f>5008+76</f>
        <v>5084</v>
      </c>
      <c r="E678" s="32"/>
      <c r="F678" s="32"/>
      <c r="G678" s="32">
        <f t="shared" si="180"/>
        <v>5084</v>
      </c>
      <c r="H678" s="12"/>
      <c r="I678" s="12"/>
      <c r="J678" s="12"/>
      <c r="K678" s="12">
        <f t="shared" si="181"/>
        <v>5084</v>
      </c>
      <c r="M678" s="10">
        <v>7</v>
      </c>
      <c r="N678" s="30" t="s">
        <v>74</v>
      </c>
      <c r="O678" s="31">
        <f t="shared" si="187"/>
        <v>5935</v>
      </c>
      <c r="P678" s="32">
        <f>2504+596</f>
        <v>3100</v>
      </c>
      <c r="Q678" s="32"/>
      <c r="R678" s="32"/>
      <c r="S678" s="32">
        <f t="shared" si="182"/>
        <v>3100</v>
      </c>
      <c r="T678" s="12"/>
      <c r="U678" s="12"/>
      <c r="V678" s="12"/>
      <c r="W678" s="12">
        <f t="shared" si="183"/>
        <v>3100</v>
      </c>
      <c r="Y678" s="10">
        <v>7</v>
      </c>
      <c r="Z678" s="30" t="s">
        <v>74</v>
      </c>
      <c r="AA678" s="31">
        <f t="shared" si="188"/>
        <v>5817</v>
      </c>
      <c r="AB678" s="32">
        <f>852+1005</f>
        <v>1857</v>
      </c>
      <c r="AC678" s="32"/>
      <c r="AD678" s="32"/>
      <c r="AE678" s="32">
        <f t="shared" si="184"/>
        <v>1857</v>
      </c>
      <c r="AF678" s="12"/>
      <c r="AG678" s="58"/>
      <c r="AH678" s="12"/>
      <c r="AI678" s="12">
        <f t="shared" si="185"/>
        <v>1857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74</v>
      </c>
      <c r="C679" s="31">
        <f t="shared" si="186"/>
        <v>5970</v>
      </c>
      <c r="D679" s="32">
        <f>3130+596+57</f>
        <v>3783</v>
      </c>
      <c r="E679" s="32"/>
      <c r="F679" s="32"/>
      <c r="G679" s="32">
        <f t="shared" si="180"/>
        <v>3783</v>
      </c>
      <c r="H679" s="12"/>
      <c r="I679" s="12"/>
      <c r="J679" s="12"/>
      <c r="K679" s="12">
        <f t="shared" si="181"/>
        <v>3783</v>
      </c>
      <c r="M679" s="10">
        <v>8</v>
      </c>
      <c r="N679" s="30" t="s">
        <v>74</v>
      </c>
      <c r="O679" s="31">
        <f t="shared" si="187"/>
        <v>5936</v>
      </c>
      <c r="P679" s="32">
        <f>7512+114</f>
        <v>7626</v>
      </c>
      <c r="Q679" s="32"/>
      <c r="R679" s="32"/>
      <c r="S679" s="32">
        <f t="shared" si="182"/>
        <v>7626</v>
      </c>
      <c r="T679" s="12"/>
      <c r="U679" s="12">
        <v>54</v>
      </c>
      <c r="V679" s="12"/>
      <c r="W679" s="12">
        <f t="shared" si="183"/>
        <v>7680</v>
      </c>
      <c r="Y679" s="10">
        <v>8</v>
      </c>
      <c r="Z679" s="30" t="s">
        <v>74</v>
      </c>
      <c r="AA679" s="31">
        <f t="shared" si="188"/>
        <v>5818</v>
      </c>
      <c r="AB679" s="32">
        <f>852+1005</f>
        <v>1857</v>
      </c>
      <c r="AC679" s="32"/>
      <c r="AE679" s="32">
        <f t="shared" si="184"/>
        <v>1857</v>
      </c>
      <c r="AF679" s="12"/>
      <c r="AG679" s="12"/>
      <c r="AH679" s="12"/>
      <c r="AI679" s="12">
        <f t="shared" si="185"/>
        <v>1857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74</v>
      </c>
      <c r="C680" s="31">
        <f t="shared" si="186"/>
        <v>5971</v>
      </c>
      <c r="D680" s="32">
        <f>1878+28</f>
        <v>1906</v>
      </c>
      <c r="E680" s="32"/>
      <c r="F680" s="32"/>
      <c r="G680" s="32">
        <f t="shared" si="180"/>
        <v>1906</v>
      </c>
      <c r="H680" s="12"/>
      <c r="I680" s="12"/>
      <c r="J680" s="12"/>
      <c r="K680" s="12">
        <f t="shared" si="181"/>
        <v>1906</v>
      </c>
      <c r="M680" s="10">
        <v>9</v>
      </c>
      <c r="N680" s="30" t="s">
        <v>74</v>
      </c>
      <c r="O680" s="31">
        <f t="shared" si="187"/>
        <v>5937</v>
      </c>
      <c r="P680" s="32">
        <f>1252+596+28.5</f>
        <v>1876.5</v>
      </c>
      <c r="Q680" s="32"/>
      <c r="R680" s="32"/>
      <c r="S680" s="32">
        <f t="shared" si="182"/>
        <v>1876.5</v>
      </c>
      <c r="T680" s="12"/>
      <c r="U680" s="12"/>
      <c r="V680" s="12"/>
      <c r="W680" s="12">
        <f t="shared" si="183"/>
        <v>1876.5</v>
      </c>
      <c r="Y680" s="10">
        <v>9</v>
      </c>
      <c r="Z680" s="30" t="s">
        <v>74</v>
      </c>
      <c r="AA680" s="31">
        <f t="shared" si="188"/>
        <v>5819</v>
      </c>
      <c r="AB680">
        <f>5008+229</f>
        <v>5237</v>
      </c>
      <c r="AC680" s="32"/>
      <c r="AD680" s="32"/>
      <c r="AE680" s="32">
        <f t="shared" si="184"/>
        <v>5237</v>
      </c>
      <c r="AF680" s="12"/>
      <c r="AH680" s="12"/>
      <c r="AI680" s="12">
        <f t="shared" si="185"/>
        <v>5237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74</v>
      </c>
      <c r="C681" s="31">
        <f t="shared" si="186"/>
        <v>5972</v>
      </c>
      <c r="D681" s="32">
        <f>3756+57</f>
        <v>3813</v>
      </c>
      <c r="E681" s="32"/>
      <c r="F681" s="32"/>
      <c r="G681" s="32">
        <f t="shared" si="180"/>
        <v>3813</v>
      </c>
      <c r="H681" s="12"/>
      <c r="I681" s="12"/>
      <c r="J681" s="12"/>
      <c r="K681" s="12">
        <f t="shared" si="181"/>
        <v>3813</v>
      </c>
      <c r="M681" s="10">
        <v>10</v>
      </c>
      <c r="N681" s="30" t="s">
        <v>74</v>
      </c>
      <c r="O681" s="31">
        <f t="shared" si="187"/>
        <v>5938</v>
      </c>
      <c r="P681" s="32">
        <f>5634+1192</f>
        <v>6826</v>
      </c>
      <c r="Q681" s="32"/>
      <c r="R681" s="32"/>
      <c r="S681" s="32">
        <f t="shared" si="182"/>
        <v>6826</v>
      </c>
      <c r="T681" s="12"/>
      <c r="U681" s="12"/>
      <c r="V681" s="12"/>
      <c r="W681" s="12">
        <f t="shared" si="183"/>
        <v>6826</v>
      </c>
      <c r="Y681" s="10">
        <v>10</v>
      </c>
      <c r="Z681" s="30" t="s">
        <v>74</v>
      </c>
      <c r="AA681" s="31">
        <v>6052</v>
      </c>
      <c r="AB681" s="32">
        <f>5000+3250+3250+1447+1175+24560+187800+27390+6740+24960</f>
        <v>285572</v>
      </c>
      <c r="AC681" s="32"/>
      <c r="AD681" s="32"/>
      <c r="AE681" s="32">
        <f t="shared" si="184"/>
        <v>285572</v>
      </c>
      <c r="AF681" s="12"/>
      <c r="AG681" s="12"/>
      <c r="AH681" s="12">
        <f>-1887+-34692</f>
        <v>-36579</v>
      </c>
      <c r="AI681" s="12">
        <f t="shared" si="185"/>
        <v>248993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74</v>
      </c>
      <c r="C682" s="31">
        <f t="shared" si="186"/>
        <v>5973</v>
      </c>
      <c r="D682" s="32">
        <f>22536+2384+832+229</f>
        <v>25981</v>
      </c>
      <c r="E682" s="32"/>
      <c r="F682" s="32"/>
      <c r="G682" s="32">
        <f t="shared" si="180"/>
        <v>25981</v>
      </c>
      <c r="H682" s="12"/>
      <c r="I682" s="12"/>
      <c r="J682" s="12"/>
      <c r="K682" s="12">
        <f t="shared" si="181"/>
        <v>25981</v>
      </c>
      <c r="M682" s="10">
        <v>11</v>
      </c>
      <c r="N682" s="30" t="s">
        <v>74</v>
      </c>
      <c r="O682" s="31">
        <f t="shared" si="187"/>
        <v>5939</v>
      </c>
      <c r="P682" s="32">
        <f>106420+17880+1832</f>
        <v>126132</v>
      </c>
      <c r="Q682" s="32">
        <v>-1872</v>
      </c>
      <c r="R682" s="32"/>
      <c r="S682" s="32">
        <f t="shared" si="182"/>
        <v>124260</v>
      </c>
      <c r="T682" s="12"/>
      <c r="U682" s="12">
        <f>312+252+210</f>
        <v>774</v>
      </c>
      <c r="V682" s="12">
        <f>-5883</f>
        <v>-5883</v>
      </c>
      <c r="W682" s="12">
        <f t="shared" si="183"/>
        <v>119151</v>
      </c>
      <c r="Y682" s="10">
        <v>11</v>
      </c>
      <c r="Z682" s="30" t="s">
        <v>74</v>
      </c>
      <c r="AA682" s="31">
        <f t="shared" si="188"/>
        <v>6053</v>
      </c>
      <c r="AB682" s="32">
        <f>16640+2350+15075+1447+29800+4700+8520+1020+1582</f>
        <v>81134</v>
      </c>
      <c r="AC682" s="32"/>
      <c r="AD682" s="32"/>
      <c r="AE682" s="32">
        <f t="shared" si="184"/>
        <v>81134</v>
      </c>
      <c r="AF682" s="12"/>
      <c r="AG682" s="12">
        <f>1200+120+4440+33300+3600+1110+3600+2400+1800+120+5550+1200+120</f>
        <v>58560</v>
      </c>
      <c r="AH682" s="12"/>
      <c r="AI682" s="12">
        <f t="shared" si="185"/>
        <v>139694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74</v>
      </c>
      <c r="C683" s="31">
        <f t="shared" si="186"/>
        <v>5974</v>
      </c>
      <c r="D683" s="32">
        <f>18780+3576+229</f>
        <v>22585</v>
      </c>
      <c r="E683" s="32"/>
      <c r="F683" s="32"/>
      <c r="G683" s="32">
        <f t="shared" si="180"/>
        <v>22585</v>
      </c>
      <c r="H683" s="12"/>
      <c r="I683" s="12"/>
      <c r="J683" s="10"/>
      <c r="K683" s="12">
        <f t="shared" si="181"/>
        <v>22585</v>
      </c>
      <c r="M683" s="10">
        <v>12</v>
      </c>
      <c r="N683" s="30"/>
      <c r="O683" s="11" t="s">
        <v>28</v>
      </c>
      <c r="P683" s="32"/>
      <c r="Q683" s="32"/>
      <c r="R683" s="32"/>
      <c r="S683" s="32">
        <f t="shared" si="182"/>
        <v>0</v>
      </c>
      <c r="T683" s="12"/>
      <c r="U683" s="12"/>
      <c r="V683" s="12"/>
      <c r="W683" s="12">
        <f t="shared" si="183"/>
        <v>0</v>
      </c>
      <c r="Y683" s="10">
        <v>12</v>
      </c>
      <c r="Z683" s="30"/>
      <c r="AA683" s="11" t="s">
        <v>28</v>
      </c>
      <c r="AB683" s="32"/>
      <c r="AC683" s="32"/>
      <c r="AD683" s="32"/>
      <c r="AE683" s="32">
        <f t="shared" si="184"/>
        <v>0</v>
      </c>
      <c r="AF683" s="12"/>
      <c r="AG683" s="12"/>
      <c r="AH683" s="12"/>
      <c r="AI683" s="12">
        <f t="shared" si="185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74</v>
      </c>
      <c r="C684" s="31">
        <f t="shared" si="186"/>
        <v>5975</v>
      </c>
      <c r="D684" s="32">
        <f>3130+614+47</f>
        <v>3791</v>
      </c>
      <c r="E684" s="32"/>
      <c r="F684" s="32"/>
      <c r="G684" s="32">
        <f t="shared" si="180"/>
        <v>3791</v>
      </c>
      <c r="H684" s="12"/>
      <c r="I684" s="12"/>
      <c r="J684" s="12"/>
      <c r="K684" s="12">
        <f t="shared" si="181"/>
        <v>3791</v>
      </c>
      <c r="M684" s="10">
        <v>13</v>
      </c>
      <c r="N684" s="30"/>
      <c r="O684" s="31"/>
      <c r="P684" s="32"/>
      <c r="Q684" s="32"/>
      <c r="R684" s="32"/>
      <c r="S684" s="32">
        <f t="shared" si="182"/>
        <v>0</v>
      </c>
      <c r="T684" s="12"/>
      <c r="U684" s="12"/>
      <c r="V684" s="12"/>
      <c r="W684" s="12">
        <f t="shared" si="183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84"/>
        <v>0</v>
      </c>
      <c r="AF684" s="12"/>
      <c r="AG684" s="12"/>
      <c r="AH684" s="12"/>
      <c r="AI684" s="12">
        <f t="shared" si="185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74</v>
      </c>
      <c r="C685" s="31">
        <f t="shared" si="186"/>
        <v>5976</v>
      </c>
      <c r="D685" s="32">
        <f>30674+229</f>
        <v>30903</v>
      </c>
      <c r="E685" s="32"/>
      <c r="F685" s="32"/>
      <c r="G685" s="32">
        <f t="shared" si="180"/>
        <v>30903</v>
      </c>
      <c r="H685" s="12"/>
      <c r="I685" s="12"/>
      <c r="J685" s="12"/>
      <c r="K685" s="12">
        <f t="shared" si="181"/>
        <v>30903</v>
      </c>
      <c r="M685" s="10">
        <v>14</v>
      </c>
      <c r="N685" s="30"/>
      <c r="O685" s="31"/>
      <c r="P685" s="32"/>
      <c r="Q685" s="32"/>
      <c r="R685" s="32"/>
      <c r="S685" s="32">
        <f t="shared" si="182"/>
        <v>0</v>
      </c>
      <c r="T685" s="12"/>
      <c r="U685" s="12"/>
      <c r="V685" s="12"/>
      <c r="W685" s="12">
        <f t="shared" si="183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84"/>
        <v>0</v>
      </c>
      <c r="AF685" s="12"/>
      <c r="AG685" s="12"/>
      <c r="AH685" s="12"/>
      <c r="AI685" s="12">
        <f t="shared" si="185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74</v>
      </c>
      <c r="C686" s="31">
        <f t="shared" si="186"/>
        <v>5977</v>
      </c>
      <c r="D686" s="32">
        <f>1228</f>
        <v>1228</v>
      </c>
      <c r="E686" s="32"/>
      <c r="F686" s="32"/>
      <c r="G686" s="32">
        <f t="shared" si="180"/>
        <v>1228</v>
      </c>
      <c r="H686" s="12"/>
      <c r="I686" s="12"/>
      <c r="J686" s="12"/>
      <c r="K686" s="12">
        <f t="shared" si="181"/>
        <v>1228</v>
      </c>
      <c r="M686" s="10">
        <v>15</v>
      </c>
      <c r="N686" s="30"/>
      <c r="O686" s="31"/>
      <c r="P686" s="32"/>
      <c r="Q686" s="32"/>
      <c r="R686" s="32"/>
      <c r="S686" s="32">
        <f t="shared" si="182"/>
        <v>0</v>
      </c>
      <c r="T686" s="12"/>
      <c r="U686" s="12"/>
      <c r="V686" s="12"/>
      <c r="W686" s="12">
        <f t="shared" si="183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84"/>
        <v>0</v>
      </c>
      <c r="AF686" s="12"/>
      <c r="AG686" s="12"/>
      <c r="AH686" s="12"/>
      <c r="AI686" s="12">
        <f t="shared" si="185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74</v>
      </c>
      <c r="C687" s="31">
        <f t="shared" si="186"/>
        <v>5978</v>
      </c>
      <c r="D687" s="32">
        <f>4382+66</f>
        <v>4448</v>
      </c>
      <c r="E687" s="32"/>
      <c r="F687" s="32"/>
      <c r="G687" s="32">
        <f t="shared" si="180"/>
        <v>4448</v>
      </c>
      <c r="H687" s="12"/>
      <c r="I687" s="12"/>
      <c r="J687" s="12"/>
      <c r="K687" s="12">
        <f t="shared" si="181"/>
        <v>4448</v>
      </c>
      <c r="M687" s="10">
        <v>16</v>
      </c>
      <c r="N687" s="30"/>
      <c r="O687" s="31"/>
      <c r="P687" s="32"/>
      <c r="Q687" s="32"/>
      <c r="R687" s="32"/>
      <c r="S687" s="32">
        <f t="shared" si="182"/>
        <v>0</v>
      </c>
      <c r="T687" s="12"/>
      <c r="U687" s="12"/>
      <c r="V687" s="12"/>
      <c r="W687" s="12">
        <f t="shared" si="183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84"/>
        <v>0</v>
      </c>
      <c r="AF687" s="12"/>
      <c r="AG687" s="12"/>
      <c r="AH687" s="12"/>
      <c r="AI687" s="12">
        <f t="shared" si="185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74</v>
      </c>
      <c r="C688" s="31">
        <f t="shared" si="186"/>
        <v>5979</v>
      </c>
      <c r="D688" s="32">
        <f>31926+13112+458</f>
        <v>45496</v>
      </c>
      <c r="E688" s="32"/>
      <c r="F688" s="32"/>
      <c r="G688" s="32">
        <f t="shared" si="180"/>
        <v>45496</v>
      </c>
      <c r="H688" s="12"/>
      <c r="I688" s="12"/>
      <c r="J688" s="12"/>
      <c r="K688" s="12">
        <f t="shared" si="181"/>
        <v>45496</v>
      </c>
      <c r="M688" s="10">
        <v>17</v>
      </c>
      <c r="N688" s="30"/>
      <c r="O688" s="31"/>
      <c r="P688" s="35"/>
      <c r="Q688" s="32"/>
      <c r="R688" s="32"/>
      <c r="S688" s="32">
        <f t="shared" si="182"/>
        <v>0</v>
      </c>
      <c r="T688" s="12"/>
      <c r="U688" s="12"/>
      <c r="V688" s="12"/>
      <c r="W688" s="12">
        <f t="shared" si="183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84"/>
        <v>0</v>
      </c>
      <c r="AF688" s="12"/>
      <c r="AG688" s="12"/>
      <c r="AH688" s="12"/>
      <c r="AI688" s="12">
        <f t="shared" si="185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74</v>
      </c>
      <c r="C689" s="31">
        <f t="shared" si="186"/>
        <v>5980</v>
      </c>
      <c r="D689" s="32">
        <f>12520+190</f>
        <v>12710</v>
      </c>
      <c r="E689" s="32"/>
      <c r="F689" s="32"/>
      <c r="G689" s="32">
        <f t="shared" si="180"/>
        <v>12710</v>
      </c>
      <c r="H689" s="12"/>
      <c r="I689" s="12"/>
      <c r="J689" s="12"/>
      <c r="K689" s="12">
        <f t="shared" si="181"/>
        <v>12710</v>
      </c>
      <c r="M689" s="10">
        <v>18</v>
      </c>
      <c r="N689" s="30"/>
      <c r="O689" s="31"/>
      <c r="P689" s="32"/>
      <c r="Q689" s="32"/>
      <c r="R689" s="32"/>
      <c r="S689" s="32">
        <f t="shared" si="182"/>
        <v>0</v>
      </c>
      <c r="T689" s="12"/>
      <c r="U689" s="12"/>
      <c r="V689" s="12"/>
      <c r="W689" s="12">
        <f t="shared" si="183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84"/>
        <v>0</v>
      </c>
      <c r="AF689" s="12"/>
      <c r="AG689" s="12"/>
      <c r="AH689" s="12"/>
      <c r="AI689" s="12">
        <f t="shared" si="185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74</v>
      </c>
      <c r="C690" s="31">
        <f t="shared" si="186"/>
        <v>5981</v>
      </c>
      <c r="D690" s="32">
        <f>31300+5960</f>
        <v>37260</v>
      </c>
      <c r="E690" s="32"/>
      <c r="F690" s="32"/>
      <c r="G690" s="32">
        <f t="shared" si="180"/>
        <v>37260</v>
      </c>
      <c r="H690" s="12"/>
      <c r="I690" s="12">
        <v>555</v>
      </c>
      <c r="J690" s="12"/>
      <c r="K690" s="12">
        <f t="shared" si="181"/>
        <v>37815</v>
      </c>
      <c r="M690" s="10">
        <v>19</v>
      </c>
      <c r="N690" s="30"/>
      <c r="O690" s="31"/>
      <c r="P690" s="32"/>
      <c r="Q690" s="32"/>
      <c r="R690" s="32"/>
      <c r="S690" s="32">
        <f t="shared" si="182"/>
        <v>0</v>
      </c>
      <c r="T690" s="12"/>
      <c r="U690" s="12"/>
      <c r="V690" s="12"/>
      <c r="W690" s="12">
        <f t="shared" si="183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84"/>
        <v>0</v>
      </c>
      <c r="AF690" s="12"/>
      <c r="AG690" s="12"/>
      <c r="AH690" s="12"/>
      <c r="AI690" s="12">
        <f t="shared" si="185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74</v>
      </c>
      <c r="C691" s="31">
        <f t="shared" si="186"/>
        <v>5982</v>
      </c>
      <c r="D691" s="32">
        <f>12520</f>
        <v>12520</v>
      </c>
      <c r="E691" s="32"/>
      <c r="F691" s="32"/>
      <c r="G691" s="32">
        <f t="shared" si="180"/>
        <v>12520</v>
      </c>
      <c r="H691" s="12"/>
      <c r="I691" s="12"/>
      <c r="J691" s="12"/>
      <c r="K691" s="12">
        <f t="shared" si="181"/>
        <v>12520</v>
      </c>
      <c r="M691" s="10">
        <v>20</v>
      </c>
      <c r="N691" s="30"/>
      <c r="O691" s="31"/>
      <c r="P691" s="32"/>
      <c r="Q691" s="32"/>
      <c r="R691" s="32"/>
      <c r="S691" s="32">
        <f t="shared" si="182"/>
        <v>0</v>
      </c>
      <c r="T691" s="12"/>
      <c r="U691" s="12"/>
      <c r="V691" s="12"/>
      <c r="W691" s="12">
        <f t="shared" si="183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84"/>
        <v>0</v>
      </c>
      <c r="AF691" s="12"/>
      <c r="AG691" s="12"/>
      <c r="AH691" s="12"/>
      <c r="AI691" s="12">
        <f t="shared" si="185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 t="s">
        <v>74</v>
      </c>
      <c r="C692" s="31">
        <f t="shared" si="186"/>
        <v>5983</v>
      </c>
      <c r="D692" s="32">
        <f>1878+28</f>
        <v>1906</v>
      </c>
      <c r="E692" s="32"/>
      <c r="F692" s="32"/>
      <c r="G692" s="32">
        <f t="shared" si="180"/>
        <v>1906</v>
      </c>
      <c r="H692" s="10"/>
      <c r="I692" s="10"/>
      <c r="J692" s="10"/>
      <c r="K692" s="12">
        <f t="shared" si="181"/>
        <v>1906</v>
      </c>
      <c r="M692" s="10">
        <v>21</v>
      </c>
      <c r="N692" s="30"/>
      <c r="P692" s="46"/>
      <c r="Q692" s="31"/>
      <c r="R692" s="31"/>
      <c r="S692" s="32">
        <f t="shared" si="182"/>
        <v>0</v>
      </c>
      <c r="T692" s="10"/>
      <c r="U692" s="10"/>
      <c r="V692" s="10"/>
      <c r="W692" s="12">
        <f t="shared" si="183"/>
        <v>0</v>
      </c>
      <c r="Y692" s="10">
        <v>21</v>
      </c>
      <c r="Z692" s="30"/>
      <c r="AB692" s="46"/>
      <c r="AC692" s="31"/>
      <c r="AD692" s="31"/>
      <c r="AE692" s="32">
        <f t="shared" si="184"/>
        <v>0</v>
      </c>
      <c r="AF692" s="10"/>
      <c r="AG692" s="10"/>
      <c r="AH692" s="10"/>
      <c r="AI692" s="12">
        <f t="shared" si="185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 t="s">
        <v>74</v>
      </c>
      <c r="C693" s="31">
        <f t="shared" si="186"/>
        <v>5984</v>
      </c>
      <c r="D693" s="32">
        <f>1878+28</f>
        <v>1906</v>
      </c>
      <c r="E693" s="32"/>
      <c r="F693" s="32"/>
      <c r="G693" s="32">
        <f t="shared" si="180"/>
        <v>1906</v>
      </c>
      <c r="H693" s="10"/>
      <c r="I693" s="10"/>
      <c r="J693" s="10"/>
      <c r="K693" s="12">
        <f t="shared" si="181"/>
        <v>1906</v>
      </c>
      <c r="M693" s="10">
        <v>22</v>
      </c>
      <c r="N693" s="30"/>
      <c r="O693" s="31"/>
      <c r="P693" s="45"/>
      <c r="Q693" s="31"/>
      <c r="R693" s="31"/>
      <c r="S693" s="32">
        <f t="shared" si="182"/>
        <v>0</v>
      </c>
      <c r="T693" s="10"/>
      <c r="U693" s="10"/>
      <c r="V693" s="10"/>
      <c r="W693" s="12">
        <f t="shared" si="183"/>
        <v>0</v>
      </c>
      <c r="Y693" s="10">
        <v>22</v>
      </c>
      <c r="Z693" s="30"/>
      <c r="AB693" s="45"/>
      <c r="AC693" s="31"/>
      <c r="AD693" s="31"/>
      <c r="AE693" s="32">
        <f t="shared" si="184"/>
        <v>0</v>
      </c>
      <c r="AF693" s="10"/>
      <c r="AG693" s="10"/>
      <c r="AH693" s="10"/>
      <c r="AI693" s="12">
        <f t="shared" si="185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11" t="s">
        <v>28</v>
      </c>
      <c r="D694" s="32"/>
      <c r="E694" s="32"/>
      <c r="F694" s="32"/>
      <c r="G694" s="32">
        <f t="shared" si="180"/>
        <v>0</v>
      </c>
      <c r="H694" s="10"/>
      <c r="I694" s="10"/>
      <c r="J694" s="12"/>
      <c r="K694" s="12">
        <f t="shared" si="181"/>
        <v>0</v>
      </c>
      <c r="M694" s="10">
        <v>23</v>
      </c>
      <c r="N694" s="30"/>
      <c r="O694" s="31"/>
      <c r="P694" s="47"/>
      <c r="S694" s="32">
        <f t="shared" si="182"/>
        <v>0</v>
      </c>
      <c r="T694" s="10"/>
      <c r="U694" s="10"/>
      <c r="V694" s="10"/>
      <c r="W694" s="12">
        <f t="shared" si="183"/>
        <v>0</v>
      </c>
      <c r="Y694" s="10">
        <v>23</v>
      </c>
      <c r="Z694" s="30"/>
      <c r="AA694" s="31"/>
      <c r="AB694" s="47"/>
      <c r="AC694" s="31"/>
      <c r="AE694" s="32">
        <f t="shared" si="184"/>
        <v>0</v>
      </c>
      <c r="AF694" s="10"/>
      <c r="AG694" s="10"/>
      <c r="AH694" s="10"/>
      <c r="AI694" s="12">
        <f t="shared" si="185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180"/>
        <v>0</v>
      </c>
      <c r="H695" s="10"/>
      <c r="I695" s="10"/>
      <c r="J695" s="10"/>
      <c r="K695" s="12">
        <f t="shared" si="181"/>
        <v>0</v>
      </c>
      <c r="M695" s="10">
        <v>24</v>
      </c>
      <c r="N695" s="30"/>
      <c r="O695" s="31"/>
      <c r="P695" s="47"/>
      <c r="Q695" s="31"/>
      <c r="R695" s="31"/>
      <c r="S695" s="32">
        <f t="shared" si="182"/>
        <v>0</v>
      </c>
      <c r="T695" s="10"/>
      <c r="U695" s="10"/>
      <c r="V695" s="10"/>
      <c r="W695" s="12">
        <f t="shared" si="183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84"/>
        <v>0</v>
      </c>
      <c r="AF695" s="10"/>
      <c r="AG695" s="10"/>
      <c r="AH695" s="10"/>
      <c r="AI695" s="12">
        <f t="shared" si="185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180"/>
        <v>0</v>
      </c>
      <c r="H696" s="10"/>
      <c r="I696" s="10"/>
      <c r="J696" s="10"/>
      <c r="K696" s="12">
        <f t="shared" si="181"/>
        <v>0</v>
      </c>
      <c r="M696" s="10">
        <v>25</v>
      </c>
      <c r="N696" s="30"/>
      <c r="O696" s="31"/>
      <c r="P696" s="47"/>
      <c r="Q696" s="31"/>
      <c r="R696" s="31"/>
      <c r="S696" s="32">
        <f t="shared" si="182"/>
        <v>0</v>
      </c>
      <c r="T696" s="10"/>
      <c r="U696" s="10"/>
      <c r="V696" s="10"/>
      <c r="W696" s="12">
        <f t="shared" si="183"/>
        <v>0</v>
      </c>
      <c r="Y696" s="10">
        <v>25</v>
      </c>
      <c r="Z696" s="30"/>
      <c r="AA696" s="11"/>
      <c r="AB696" s="47"/>
      <c r="AC696" s="31"/>
      <c r="AD696" s="31"/>
      <c r="AE696" s="32">
        <f t="shared" si="184"/>
        <v>0</v>
      </c>
      <c r="AF696" s="10"/>
      <c r="AG696" s="10"/>
      <c r="AH696" s="10"/>
      <c r="AI696" s="12">
        <f t="shared" si="185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180"/>
        <v>0</v>
      </c>
      <c r="H697" s="10"/>
      <c r="I697" s="10"/>
      <c r="J697" s="10"/>
      <c r="K697" s="12">
        <f t="shared" si="181"/>
        <v>0</v>
      </c>
      <c r="M697" s="10">
        <v>26</v>
      </c>
      <c r="N697" s="30"/>
      <c r="O697" s="31"/>
      <c r="P697" s="47"/>
      <c r="Q697" s="31"/>
      <c r="R697" s="31"/>
      <c r="S697" s="32">
        <f t="shared" si="182"/>
        <v>0</v>
      </c>
      <c r="T697" s="10"/>
      <c r="U697" s="10"/>
      <c r="V697" s="10"/>
      <c r="W697" s="12">
        <f t="shared" si="183"/>
        <v>0</v>
      </c>
      <c r="Y697" s="10">
        <v>26</v>
      </c>
      <c r="Z697" s="30"/>
      <c r="AB697" s="47"/>
      <c r="AC697" s="31"/>
      <c r="AD697" s="31"/>
      <c r="AE697" s="32">
        <f t="shared" si="184"/>
        <v>0</v>
      </c>
      <c r="AF697" s="10"/>
      <c r="AG697" s="10"/>
      <c r="AH697" s="10"/>
      <c r="AI697" s="12">
        <f t="shared" si="185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180"/>
        <v>0</v>
      </c>
      <c r="H698" s="10"/>
      <c r="I698" s="10"/>
      <c r="J698" s="10"/>
      <c r="K698" s="12">
        <f t="shared" si="181"/>
        <v>0</v>
      </c>
      <c r="M698" s="10">
        <v>27</v>
      </c>
      <c r="N698" s="30"/>
      <c r="O698" s="31"/>
      <c r="P698" s="47"/>
      <c r="Q698" s="31"/>
      <c r="R698" s="31"/>
      <c r="S698" s="32">
        <f t="shared" si="182"/>
        <v>0</v>
      </c>
      <c r="T698" s="10"/>
      <c r="U698" s="10"/>
      <c r="V698" s="10"/>
      <c r="W698" s="12">
        <f t="shared" si="183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84"/>
        <v>0</v>
      </c>
      <c r="AF698" s="10"/>
      <c r="AG698" s="10"/>
      <c r="AH698" s="10"/>
      <c r="AI698" s="12">
        <f t="shared" si="185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D699" s="32"/>
      <c r="E699" s="32"/>
      <c r="F699" s="32"/>
      <c r="G699" s="32">
        <f t="shared" si="180"/>
        <v>0</v>
      </c>
      <c r="H699" s="10"/>
      <c r="I699" s="10"/>
      <c r="J699" s="10"/>
      <c r="K699" s="12">
        <f t="shared" si="181"/>
        <v>0</v>
      </c>
      <c r="M699" s="10">
        <v>28</v>
      </c>
      <c r="N699" s="30"/>
      <c r="O699" s="31"/>
      <c r="P699" s="47"/>
      <c r="Q699" s="31"/>
      <c r="R699" s="31"/>
      <c r="S699" s="32">
        <f t="shared" si="182"/>
        <v>0</v>
      </c>
      <c r="T699" s="10"/>
      <c r="U699" s="10"/>
      <c r="V699" s="10"/>
      <c r="W699" s="12">
        <f t="shared" si="183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84"/>
        <v>0</v>
      </c>
      <c r="AF699" s="10"/>
      <c r="AG699" s="10"/>
      <c r="AH699" s="10"/>
      <c r="AI699" s="12">
        <f t="shared" si="185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>
        <f t="shared" si="180"/>
        <v>0</v>
      </c>
      <c r="H700" s="10"/>
      <c r="I700" s="10"/>
      <c r="J700" s="10"/>
      <c r="K700" s="12">
        <f t="shared" si="181"/>
        <v>0</v>
      </c>
      <c r="M700" s="10">
        <v>29</v>
      </c>
      <c r="N700" s="30"/>
      <c r="P700" s="47"/>
      <c r="Q700" s="31"/>
      <c r="R700" s="31"/>
      <c r="S700" s="32">
        <f t="shared" si="182"/>
        <v>0</v>
      </c>
      <c r="T700" s="10"/>
      <c r="U700" s="10"/>
      <c r="V700" s="10"/>
      <c r="W700" s="12">
        <f t="shared" si="183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84"/>
        <v>0</v>
      </c>
      <c r="AF700" s="10"/>
      <c r="AG700" s="10"/>
      <c r="AH700" s="10"/>
      <c r="AI700" s="12">
        <f t="shared" si="185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180"/>
        <v>0</v>
      </c>
      <c r="H701" s="10"/>
      <c r="I701" s="10"/>
      <c r="J701" s="10"/>
      <c r="K701" s="12">
        <f t="shared" si="181"/>
        <v>0</v>
      </c>
      <c r="M701" s="10">
        <v>30</v>
      </c>
      <c r="N701" s="30"/>
      <c r="P701" s="47"/>
      <c r="Q701" s="31"/>
      <c r="R701" s="31"/>
      <c r="S701" s="32">
        <f t="shared" si="182"/>
        <v>0</v>
      </c>
      <c r="T701" s="10"/>
      <c r="U701" s="10"/>
      <c r="V701" s="10"/>
      <c r="W701" s="12">
        <f t="shared" si="183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84"/>
        <v>0</v>
      </c>
      <c r="AF701" s="10"/>
      <c r="AG701" s="10"/>
      <c r="AH701" s="10"/>
      <c r="AI701" s="12">
        <f t="shared" si="185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180"/>
        <v>0</v>
      </c>
      <c r="H702" s="10"/>
      <c r="I702" s="10"/>
      <c r="J702" s="10"/>
      <c r="K702" s="12">
        <f t="shared" si="181"/>
        <v>0</v>
      </c>
      <c r="M702" s="10">
        <v>31</v>
      </c>
      <c r="N702" s="30"/>
      <c r="O702" s="31"/>
      <c r="P702" s="47"/>
      <c r="Q702" s="31"/>
      <c r="R702" s="31"/>
      <c r="S702" s="32">
        <f t="shared" si="182"/>
        <v>0</v>
      </c>
      <c r="T702" s="10"/>
      <c r="U702" s="10"/>
      <c r="V702" s="10"/>
      <c r="W702" s="12">
        <f t="shared" si="183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84"/>
        <v>0</v>
      </c>
      <c r="AF702" s="10"/>
      <c r="AG702" s="10"/>
      <c r="AH702" s="10"/>
      <c r="AI702" s="12">
        <f t="shared" si="185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180"/>
        <v>0</v>
      </c>
      <c r="H703" s="10"/>
      <c r="I703" s="10"/>
      <c r="J703" s="10"/>
      <c r="K703" s="12">
        <f t="shared" si="181"/>
        <v>0</v>
      </c>
      <c r="M703" s="10">
        <v>32</v>
      </c>
      <c r="N703" s="30"/>
      <c r="P703" s="47"/>
      <c r="Q703" s="31"/>
      <c r="R703" s="31"/>
      <c r="S703" s="32">
        <f t="shared" si="182"/>
        <v>0</v>
      </c>
      <c r="T703" s="10"/>
      <c r="U703" s="10"/>
      <c r="V703" s="10"/>
      <c r="W703" s="12">
        <f t="shared" si="183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84"/>
        <v>0</v>
      </c>
      <c r="AF703" s="10"/>
      <c r="AG703" s="10"/>
      <c r="AH703" s="10"/>
      <c r="AI703" s="12">
        <f t="shared" si="185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180"/>
        <v>0</v>
      </c>
      <c r="H704" s="10"/>
      <c r="I704" s="10"/>
      <c r="J704" s="10"/>
      <c r="K704" s="12">
        <f t="shared" si="181"/>
        <v>0</v>
      </c>
      <c r="M704" s="10">
        <v>33</v>
      </c>
      <c r="N704" s="30"/>
      <c r="O704" s="31"/>
      <c r="P704" s="47"/>
      <c r="Q704" s="31"/>
      <c r="R704" s="31"/>
      <c r="S704" s="32">
        <f t="shared" si="182"/>
        <v>0</v>
      </c>
      <c r="T704" s="10"/>
      <c r="U704" s="10"/>
      <c r="V704" s="10"/>
      <c r="W704" s="12">
        <f t="shared" si="183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84"/>
        <v>0</v>
      </c>
      <c r="AF704" s="10"/>
      <c r="AG704" s="10"/>
      <c r="AH704" s="10"/>
      <c r="AI704" s="12">
        <f t="shared" si="185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31"/>
      <c r="D705" s="32"/>
      <c r="E705" s="32"/>
      <c r="F705" s="32"/>
      <c r="G705" s="32">
        <f t="shared" si="180"/>
        <v>0</v>
      </c>
      <c r="H705" s="10"/>
      <c r="I705" s="10"/>
      <c r="J705" s="10"/>
      <c r="K705" s="12">
        <f t="shared" si="181"/>
        <v>0</v>
      </c>
      <c r="M705" s="10">
        <v>34</v>
      </c>
      <c r="N705" s="30"/>
      <c r="O705" s="31"/>
      <c r="P705" s="47"/>
      <c r="Q705" s="31"/>
      <c r="R705" s="31"/>
      <c r="S705" s="32">
        <f t="shared" si="182"/>
        <v>0</v>
      </c>
      <c r="T705" s="10"/>
      <c r="U705" s="10"/>
      <c r="V705" s="10"/>
      <c r="W705" s="12">
        <f t="shared" si="183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84"/>
        <v>0</v>
      </c>
      <c r="AF705" s="10"/>
      <c r="AG705" s="10"/>
      <c r="AH705" s="10"/>
      <c r="AI705" s="12">
        <f t="shared" si="185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182"/>
        <v>0</v>
      </c>
      <c r="T706" s="10"/>
      <c r="U706" s="10"/>
      <c r="V706" s="10"/>
      <c r="W706" s="12">
        <f t="shared" si="183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84"/>
        <v>0</v>
      </c>
      <c r="AF706" s="10"/>
      <c r="AG706" s="10"/>
      <c r="AH706" s="10"/>
      <c r="AI706" s="12">
        <f t="shared" si="185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182"/>
        <v>0</v>
      </c>
      <c r="T707" s="10"/>
      <c r="U707" s="10"/>
      <c r="V707" s="10"/>
      <c r="W707" s="12">
        <f t="shared" si="183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84"/>
        <v>0</v>
      </c>
      <c r="AF707" s="10"/>
      <c r="AG707" s="10"/>
      <c r="AH707" s="10"/>
      <c r="AI707" s="12">
        <f t="shared" si="185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182"/>
        <v>0</v>
      </c>
      <c r="T708" s="10"/>
      <c r="U708" s="10"/>
      <c r="V708" s="10"/>
      <c r="W708" s="12">
        <f t="shared" si="183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84"/>
        <v>0</v>
      </c>
      <c r="AF708" s="10"/>
      <c r="AG708" s="10"/>
      <c r="AH708" s="10"/>
      <c r="AI708" s="12">
        <f t="shared" si="185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182"/>
        <v>0</v>
      </c>
      <c r="T709" s="10"/>
      <c r="U709" s="10"/>
      <c r="V709" s="10"/>
      <c r="W709" s="12">
        <f t="shared" si="183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84"/>
        <v>0</v>
      </c>
      <c r="AF709" s="10"/>
      <c r="AG709" s="10"/>
      <c r="AH709" s="10"/>
      <c r="AI709" s="12">
        <f t="shared" si="185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31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182"/>
        <v>0</v>
      </c>
      <c r="T710" s="10"/>
      <c r="U710" s="10"/>
      <c r="V710" s="10"/>
      <c r="W710" s="12">
        <f t="shared" si="183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84"/>
        <v>0</v>
      </c>
      <c r="AF710" s="10"/>
      <c r="AG710" s="10"/>
      <c r="AH710" s="10"/>
      <c r="AI710" s="12">
        <f t="shared" si="185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83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85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189">SUM(D712:E712)</f>
        <v>0</v>
      </c>
      <c r="H712" s="10"/>
      <c r="I712" s="10"/>
      <c r="J712" s="10"/>
      <c r="K712" s="12">
        <f t="shared" ref="K712" si="190">SUM(G712:J712)</f>
        <v>0</v>
      </c>
      <c r="M712" s="10"/>
      <c r="N712" s="30"/>
      <c r="O712" s="31"/>
      <c r="P712" s="47"/>
      <c r="Q712" s="31"/>
      <c r="R712" s="31"/>
      <c r="S712" s="32">
        <f t="shared" ref="S712" si="191">SUM(P712:Q712)</f>
        <v>0</v>
      </c>
      <c r="T712" s="10"/>
      <c r="U712" s="10"/>
      <c r="V712" s="10"/>
      <c r="W712" s="12">
        <f t="shared" si="183"/>
        <v>0</v>
      </c>
      <c r="Y712" s="10"/>
      <c r="Z712" s="30"/>
      <c r="AA712" s="31"/>
      <c r="AB712" s="47"/>
      <c r="AC712" s="31"/>
      <c r="AD712" s="31"/>
      <c r="AE712" s="32">
        <f t="shared" ref="AE712" si="192">SUM(AB712:AC712)</f>
        <v>0</v>
      </c>
      <c r="AF712" s="10"/>
      <c r="AG712" s="10"/>
      <c r="AH712" s="10"/>
      <c r="AI712" s="12">
        <f t="shared" si="185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83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85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249332</v>
      </c>
      <c r="E715" s="38">
        <f t="shared" ref="E715:F715" si="193">SUM(E672:E712)</f>
        <v>0</v>
      </c>
      <c r="F715" s="38">
        <f t="shared" si="193"/>
        <v>0</v>
      </c>
      <c r="G715" s="38">
        <f>SUM(G672:G714)</f>
        <v>249332</v>
      </c>
      <c r="H715" s="4"/>
      <c r="I715" s="39">
        <f>SUM(I672:I714)</f>
        <v>555</v>
      </c>
      <c r="J715" s="39">
        <f>SUM(J672:J714)</f>
        <v>0</v>
      </c>
      <c r="K715" s="40">
        <f>SUM(K672:K714)</f>
        <v>249887</v>
      </c>
      <c r="N715" s="57"/>
      <c r="O715" s="57"/>
      <c r="P715" s="38">
        <f>SUM(P672:P714)</f>
        <v>163113</v>
      </c>
      <c r="Q715" s="38">
        <f>SUM(Q672:Q696)</f>
        <v>-1872</v>
      </c>
      <c r="R715" s="38">
        <f>SUM(R672:R696)</f>
        <v>0</v>
      </c>
      <c r="S715" s="38">
        <f>SUM(S672:S714)</f>
        <v>161241</v>
      </c>
      <c r="T715" s="4"/>
      <c r="U715" s="41">
        <f>SUM(U672:U714)</f>
        <v>1281</v>
      </c>
      <c r="V715" s="41">
        <f>SUM(V672:V696)</f>
        <v>-6993</v>
      </c>
      <c r="W715" s="42">
        <f>SUM(W672:W714)</f>
        <v>155529</v>
      </c>
      <c r="Z715" s="57"/>
      <c r="AA715" s="57"/>
      <c r="AB715" s="38">
        <f>SUM(AB672:AB714)</f>
        <v>505283</v>
      </c>
      <c r="AC715" s="38">
        <f>SUM(AC672:AC696)</f>
        <v>-450</v>
      </c>
      <c r="AD715" s="38">
        <f>SUM(AD672:AD696)</f>
        <v>0</v>
      </c>
      <c r="AE715" s="38">
        <f>SUM(AE672:AE714)</f>
        <v>504833</v>
      </c>
      <c r="AF715" s="4"/>
      <c r="AG715" s="41">
        <f>SUM(AG672:AG714)</f>
        <v>58743</v>
      </c>
      <c r="AH715" s="41">
        <f>SUM(AH672:AH696)</f>
        <v>-36579</v>
      </c>
      <c r="AI715" s="42">
        <f>SUM(AI672:AI714)</f>
        <v>526997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45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45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45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16" t="s">
        <v>18</v>
      </c>
      <c r="E725" s="116"/>
      <c r="F725" s="101"/>
      <c r="G725" s="27"/>
      <c r="I725" s="114" t="s">
        <v>19</v>
      </c>
      <c r="J725" s="115"/>
      <c r="K725" s="112" t="s">
        <v>20</v>
      </c>
      <c r="N725" s="25"/>
      <c r="O725" s="26"/>
      <c r="P725" s="116" t="s">
        <v>18</v>
      </c>
      <c r="Q725" s="116"/>
      <c r="R725" s="101"/>
      <c r="S725" s="27"/>
      <c r="U725" s="114" t="s">
        <v>19</v>
      </c>
      <c r="V725" s="115"/>
      <c r="W725" s="112" t="s">
        <v>20</v>
      </c>
      <c r="Z725" s="25"/>
      <c r="AA725" s="26"/>
      <c r="AB725" s="116" t="s">
        <v>18</v>
      </c>
      <c r="AC725" s="116"/>
      <c r="AD725" s="101"/>
      <c r="AE725" s="27"/>
      <c r="AG725" s="114" t="s">
        <v>19</v>
      </c>
      <c r="AH725" s="115"/>
      <c r="AI725" s="112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36</v>
      </c>
      <c r="G726" s="80" t="s">
        <v>25</v>
      </c>
      <c r="I726" s="29" t="s">
        <v>26</v>
      </c>
      <c r="J726" s="29" t="s">
        <v>27</v>
      </c>
      <c r="K726" s="113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36</v>
      </c>
      <c r="S726" s="80" t="s">
        <v>25</v>
      </c>
      <c r="U726" s="29" t="s">
        <v>26</v>
      </c>
      <c r="V726" s="29" t="s">
        <v>27</v>
      </c>
      <c r="W726" s="113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36</v>
      </c>
      <c r="AE726" s="80" t="s">
        <v>25</v>
      </c>
      <c r="AG726" s="29" t="s">
        <v>26</v>
      </c>
      <c r="AH726" s="29" t="s">
        <v>27</v>
      </c>
      <c r="AI726" s="113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5985</v>
      </c>
      <c r="D727" s="32">
        <f>405648+6740+5725</f>
        <v>418113</v>
      </c>
      <c r="E727" s="32">
        <v>-6147</v>
      </c>
      <c r="F727" s="32"/>
      <c r="G727" s="32">
        <f t="shared" ref="G727:G760" si="194">SUM(D727:E727)</f>
        <v>411966</v>
      </c>
      <c r="H727" s="12"/>
      <c r="I727" s="12">
        <v>1560</v>
      </c>
      <c r="J727" s="12"/>
      <c r="K727" s="12">
        <v>412644</v>
      </c>
      <c r="M727" s="10">
        <v>1</v>
      </c>
      <c r="N727" s="30" t="s">
        <v>76</v>
      </c>
      <c r="O727" s="31">
        <v>5940</v>
      </c>
      <c r="P727" s="32">
        <f>202824+29800+3664</f>
        <v>236288</v>
      </c>
      <c r="Q727" s="32">
        <v>-3510</v>
      </c>
      <c r="R727" s="32"/>
      <c r="S727" s="32">
        <f>SUM(P727:Q727)</f>
        <v>232778</v>
      </c>
      <c r="T727" s="12"/>
      <c r="U727" s="12">
        <f>5328+858</f>
        <v>6186</v>
      </c>
      <c r="V727" s="12"/>
      <c r="W727" s="12">
        <f>SUM(S727:V727)</f>
        <v>238964</v>
      </c>
      <c r="Y727" s="10">
        <v>1</v>
      </c>
      <c r="Z727" s="30" t="s">
        <v>76</v>
      </c>
      <c r="AA727" s="31">
        <v>5820</v>
      </c>
      <c r="AB727" s="32">
        <f>53210+9210+916</f>
        <v>63336</v>
      </c>
      <c r="AC727" s="32">
        <v>-624</v>
      </c>
      <c r="AD727" s="32"/>
      <c r="AE727" s="32">
        <f>SUM(AB727:AC727)</f>
        <v>62712</v>
      </c>
      <c r="AF727" s="12"/>
      <c r="AG727" s="12"/>
      <c r="AH727" s="12">
        <f>-6771</f>
        <v>-6771</v>
      </c>
      <c r="AI727" s="12">
        <f>SUM(AE727:AH727)</f>
        <v>55941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5986</v>
      </c>
      <c r="D728" s="32">
        <f>78250+458</f>
        <v>78708</v>
      </c>
      <c r="E728" s="32">
        <v>-1016</v>
      </c>
      <c r="F728" s="32"/>
      <c r="G728" s="32">
        <f t="shared" si="194"/>
        <v>77692</v>
      </c>
      <c r="H728" s="12"/>
      <c r="I728" s="12">
        <v>4995</v>
      </c>
      <c r="J728" s="12"/>
      <c r="K728" s="12">
        <f t="shared" ref="K728:K760" si="195">SUM(G728:J728)</f>
        <v>82687</v>
      </c>
      <c r="M728" s="10">
        <v>2</v>
      </c>
      <c r="N728" s="30" t="s">
        <v>76</v>
      </c>
      <c r="O728" s="31">
        <f>O727+1</f>
        <v>5941</v>
      </c>
      <c r="P728" s="32">
        <f>135216+17880+1145</f>
        <v>154241</v>
      </c>
      <c r="Q728" s="32">
        <v>-2259</v>
      </c>
      <c r="R728" s="32"/>
      <c r="S728" s="32">
        <f t="shared" ref="S728:S765" si="196">SUM(P728:Q728)</f>
        <v>151982</v>
      </c>
      <c r="T728" s="12"/>
      <c r="U728" s="12">
        <f>390</f>
        <v>390</v>
      </c>
      <c r="V728" s="12">
        <v>-210</v>
      </c>
      <c r="W728" s="12">
        <f t="shared" ref="W728:W768" si="197">SUM(S728:V728)</f>
        <v>152162</v>
      </c>
      <c r="Y728" s="10">
        <v>2</v>
      </c>
      <c r="Z728" s="30" t="s">
        <v>76</v>
      </c>
      <c r="AA728" s="31">
        <f>AA727+1</f>
        <v>5821</v>
      </c>
      <c r="AB728" s="32">
        <f>626*6+57</f>
        <v>3813</v>
      </c>
      <c r="AC728" s="32"/>
      <c r="AD728" s="32"/>
      <c r="AE728" s="32">
        <f t="shared" ref="AE728:AE765" si="198">SUM(AB728:AC728)</f>
        <v>3813</v>
      </c>
      <c r="AF728" s="12"/>
      <c r="AG728" s="12"/>
      <c r="AH728" s="12"/>
      <c r="AI728" s="12">
        <f t="shared" ref="AI728:AI768" si="199">SUM(AE728:AH728)</f>
        <v>3813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30" si="200">C728+1</f>
        <v>5987</v>
      </c>
      <c r="D729" s="33">
        <f>458</f>
        <v>458</v>
      </c>
      <c r="E729" s="33"/>
      <c r="F729" s="33"/>
      <c r="G729" s="33">
        <f t="shared" si="194"/>
        <v>458</v>
      </c>
      <c r="H729" s="34"/>
      <c r="I729" s="34"/>
      <c r="J729" s="34"/>
      <c r="K729" s="34">
        <f t="shared" si="195"/>
        <v>458</v>
      </c>
      <c r="M729" s="10">
        <v>3</v>
      </c>
      <c r="N729" s="30"/>
      <c r="O729" s="11" t="s">
        <v>28</v>
      </c>
      <c r="P729" s="32"/>
      <c r="Q729" s="32"/>
      <c r="R729" s="32"/>
      <c r="S729" s="32">
        <f t="shared" si="196"/>
        <v>0</v>
      </c>
      <c r="T729" s="12"/>
      <c r="U729" s="12"/>
      <c r="V729" s="12"/>
      <c r="W729" s="12">
        <f t="shared" si="197"/>
        <v>0</v>
      </c>
      <c r="Y729" s="10">
        <v>3</v>
      </c>
      <c r="Z729" s="30" t="s">
        <v>76</v>
      </c>
      <c r="AA729" s="31">
        <f t="shared" ref="AA729:AA730" si="201">AA728+1</f>
        <v>5822</v>
      </c>
      <c r="AB729" s="33">
        <f>6260+1842+1192+852+114</f>
        <v>10260</v>
      </c>
      <c r="AC729" s="33"/>
      <c r="AD729" s="32"/>
      <c r="AE729" s="32">
        <f t="shared" si="198"/>
        <v>10260</v>
      </c>
      <c r="AF729" s="12"/>
      <c r="AG729" s="12"/>
      <c r="AH729" s="12"/>
      <c r="AI729" s="12">
        <f t="shared" si="199"/>
        <v>10260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00"/>
        <v>5988</v>
      </c>
      <c r="D730" s="32">
        <f>18260+2010+1664</f>
        <v>21934</v>
      </c>
      <c r="E730" s="32"/>
      <c r="F730" s="32"/>
      <c r="G730" s="32">
        <f t="shared" si="194"/>
        <v>21934</v>
      </c>
      <c r="H730" s="12"/>
      <c r="I730" s="12"/>
      <c r="J730" s="12"/>
      <c r="K730" s="12">
        <f t="shared" si="195"/>
        <v>21934</v>
      </c>
      <c r="M730" s="10">
        <v>4</v>
      </c>
      <c r="N730" s="30"/>
      <c r="O730" s="31"/>
      <c r="P730" s="32"/>
      <c r="Q730" s="32"/>
      <c r="R730" s="32"/>
      <c r="S730" s="32">
        <f t="shared" si="196"/>
        <v>0</v>
      </c>
      <c r="T730" s="12"/>
      <c r="U730" s="12"/>
      <c r="V730" s="12"/>
      <c r="W730" s="12">
        <f t="shared" si="197"/>
        <v>0</v>
      </c>
      <c r="Y730" s="10">
        <v>4</v>
      </c>
      <c r="Z730" s="30" t="s">
        <v>76</v>
      </c>
      <c r="AA730" s="31">
        <f t="shared" si="201"/>
        <v>5823</v>
      </c>
      <c r="AB730" s="32">
        <f>31300+458</f>
        <v>31758</v>
      </c>
      <c r="AC730" s="32">
        <v>-312</v>
      </c>
      <c r="AD730" s="32"/>
      <c r="AE730" s="32">
        <f t="shared" si="198"/>
        <v>31446</v>
      </c>
      <c r="AF730" s="12"/>
      <c r="AH730" s="12"/>
      <c r="AI730" s="12">
        <f t="shared" si="199"/>
        <v>31446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/>
      <c r="C731" s="11" t="s">
        <v>28</v>
      </c>
      <c r="D731" s="32"/>
      <c r="E731" s="32"/>
      <c r="F731" s="32"/>
      <c r="G731" s="32">
        <f t="shared" si="194"/>
        <v>0</v>
      </c>
      <c r="H731" s="12"/>
      <c r="I731" s="12"/>
      <c r="J731" s="12"/>
      <c r="K731" s="12">
        <f t="shared" si="195"/>
        <v>0</v>
      </c>
      <c r="M731" s="10">
        <v>5</v>
      </c>
      <c r="N731" s="30"/>
      <c r="O731" s="31"/>
      <c r="P731" s="32"/>
      <c r="Q731" s="32"/>
      <c r="R731" s="32"/>
      <c r="S731" s="32">
        <f t="shared" si="196"/>
        <v>0</v>
      </c>
      <c r="T731" s="12"/>
      <c r="U731" s="12"/>
      <c r="V731" s="12"/>
      <c r="W731" s="12">
        <f t="shared" si="197"/>
        <v>0</v>
      </c>
      <c r="Y731" s="10">
        <v>5</v>
      </c>
      <c r="Z731" s="30"/>
      <c r="AA731" s="11" t="s">
        <v>28</v>
      </c>
      <c r="AB731" s="32"/>
      <c r="AC731" s="32"/>
      <c r="AD731" s="32"/>
      <c r="AE731" s="32">
        <f t="shared" si="198"/>
        <v>0</v>
      </c>
      <c r="AF731" s="12"/>
      <c r="AG731" s="12"/>
      <c r="AH731" s="12"/>
      <c r="AI731" s="12">
        <f t="shared" si="199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/>
      <c r="C732" s="31"/>
      <c r="D732" s="32"/>
      <c r="E732" s="32"/>
      <c r="F732" s="32"/>
      <c r="G732" s="32">
        <f t="shared" si="194"/>
        <v>0</v>
      </c>
      <c r="H732" s="12"/>
      <c r="I732" s="12"/>
      <c r="J732" s="12"/>
      <c r="K732" s="12">
        <f t="shared" si="195"/>
        <v>0</v>
      </c>
      <c r="M732" s="10">
        <v>6</v>
      </c>
      <c r="N732" s="30"/>
      <c r="O732" s="31"/>
      <c r="P732" s="32"/>
      <c r="Q732" s="32"/>
      <c r="R732" s="32"/>
      <c r="S732" s="32">
        <f t="shared" si="196"/>
        <v>0</v>
      </c>
      <c r="T732" s="12"/>
      <c r="U732" s="12"/>
      <c r="V732" s="10"/>
      <c r="W732" s="12">
        <f t="shared" si="197"/>
        <v>0</v>
      </c>
      <c r="Y732" s="10">
        <v>6</v>
      </c>
      <c r="Z732" s="30"/>
      <c r="AA732" s="31"/>
      <c r="AB732" s="32"/>
      <c r="AC732" s="32"/>
      <c r="AD732" s="32"/>
      <c r="AE732" s="32">
        <f t="shared" si="198"/>
        <v>0</v>
      </c>
      <c r="AF732" s="12"/>
      <c r="AG732" s="12"/>
      <c r="AH732" s="10"/>
      <c r="AI732" s="12">
        <f t="shared" si="199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/>
      <c r="C733" s="31"/>
      <c r="D733" s="32"/>
      <c r="E733" s="32"/>
      <c r="F733" s="32"/>
      <c r="G733" s="32">
        <f t="shared" si="194"/>
        <v>0</v>
      </c>
      <c r="H733" s="12"/>
      <c r="I733" s="12"/>
      <c r="J733" s="12"/>
      <c r="K733" s="12">
        <f t="shared" si="195"/>
        <v>0</v>
      </c>
      <c r="M733" s="10">
        <v>7</v>
      </c>
      <c r="N733" s="30"/>
      <c r="O733" s="31"/>
      <c r="P733" s="32"/>
      <c r="Q733" s="32"/>
      <c r="R733" s="32"/>
      <c r="S733" s="32">
        <f t="shared" si="196"/>
        <v>0</v>
      </c>
      <c r="T733" s="12"/>
      <c r="U733" s="12"/>
      <c r="V733" s="12"/>
      <c r="W733" s="12">
        <f t="shared" si="197"/>
        <v>0</v>
      </c>
      <c r="Y733" s="10">
        <v>7</v>
      </c>
      <c r="Z733" s="30"/>
      <c r="AA733" s="31"/>
      <c r="AB733" s="32"/>
      <c r="AC733" s="32"/>
      <c r="AD733" s="32"/>
      <c r="AE733" s="32">
        <f t="shared" si="198"/>
        <v>0</v>
      </c>
      <c r="AF733" s="12"/>
      <c r="AG733" s="58"/>
      <c r="AH733" s="12"/>
      <c r="AI733" s="12">
        <f t="shared" si="199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/>
      <c r="C734" s="31"/>
      <c r="D734" s="32"/>
      <c r="E734" s="32"/>
      <c r="F734" s="32"/>
      <c r="G734" s="32">
        <f t="shared" si="194"/>
        <v>0</v>
      </c>
      <c r="H734" s="12"/>
      <c r="I734" s="12"/>
      <c r="J734" s="12"/>
      <c r="K734" s="12">
        <f t="shared" si="195"/>
        <v>0</v>
      </c>
      <c r="M734" s="10">
        <v>8</v>
      </c>
      <c r="N734" s="30"/>
      <c r="O734" s="31"/>
      <c r="P734" s="32"/>
      <c r="Q734" s="32"/>
      <c r="R734" s="32"/>
      <c r="S734" s="32">
        <f t="shared" si="196"/>
        <v>0</v>
      </c>
      <c r="T734" s="12"/>
      <c r="U734" s="12"/>
      <c r="V734" s="12"/>
      <c r="W734" s="12">
        <f t="shared" si="197"/>
        <v>0</v>
      </c>
      <c r="Y734" s="10">
        <v>8</v>
      </c>
      <c r="Z734" s="30"/>
      <c r="AA734" s="31"/>
      <c r="AB734" s="32"/>
      <c r="AC734" s="32"/>
      <c r="AE734" s="32">
        <f t="shared" si="198"/>
        <v>0</v>
      </c>
      <c r="AF734" s="12"/>
      <c r="AG734" s="12"/>
      <c r="AH734" s="12"/>
      <c r="AI734" s="12">
        <f t="shared" si="199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/>
      <c r="C735" s="31"/>
      <c r="D735" s="32"/>
      <c r="E735" s="32"/>
      <c r="F735" s="32"/>
      <c r="G735" s="32">
        <f t="shared" si="194"/>
        <v>0</v>
      </c>
      <c r="H735" s="12"/>
      <c r="I735" s="12"/>
      <c r="J735" s="12"/>
      <c r="K735" s="12">
        <f t="shared" si="195"/>
        <v>0</v>
      </c>
      <c r="M735" s="10">
        <v>9</v>
      </c>
      <c r="N735" s="30"/>
      <c r="O735" s="31"/>
      <c r="P735" s="32"/>
      <c r="Q735" s="32"/>
      <c r="R735" s="32"/>
      <c r="S735" s="32">
        <f t="shared" si="196"/>
        <v>0</v>
      </c>
      <c r="T735" s="12"/>
      <c r="U735" s="12"/>
      <c r="V735" s="12"/>
      <c r="W735" s="12">
        <f t="shared" si="197"/>
        <v>0</v>
      </c>
      <c r="Y735" s="10">
        <v>9</v>
      </c>
      <c r="Z735" s="30"/>
      <c r="AA735" s="31"/>
      <c r="AC735" s="32"/>
      <c r="AD735" s="32"/>
      <c r="AE735" s="32">
        <f t="shared" si="198"/>
        <v>0</v>
      </c>
      <c r="AF735" s="12"/>
      <c r="AH735" s="12"/>
      <c r="AI735" s="12">
        <f t="shared" si="199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/>
      <c r="C736" s="31"/>
      <c r="D736" s="32"/>
      <c r="E736" s="32"/>
      <c r="F736" s="32"/>
      <c r="G736" s="32">
        <f t="shared" si="194"/>
        <v>0</v>
      </c>
      <c r="H736" s="12"/>
      <c r="I736" s="12"/>
      <c r="J736" s="12"/>
      <c r="K736" s="12">
        <f t="shared" si="195"/>
        <v>0</v>
      </c>
      <c r="M736" s="10">
        <v>10</v>
      </c>
      <c r="N736" s="30"/>
      <c r="O736" s="31"/>
      <c r="P736" s="32"/>
      <c r="Q736" s="32"/>
      <c r="R736" s="32"/>
      <c r="S736" s="32">
        <f t="shared" si="196"/>
        <v>0</v>
      </c>
      <c r="T736" s="12"/>
      <c r="U736" s="12"/>
      <c r="V736" s="12"/>
      <c r="W736" s="12">
        <f t="shared" si="197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98"/>
        <v>0</v>
      </c>
      <c r="AF736" s="12"/>
      <c r="AG736" s="12"/>
      <c r="AH736" s="12"/>
      <c r="AI736" s="12">
        <f t="shared" si="199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/>
      <c r="C737" s="31"/>
      <c r="D737" s="32"/>
      <c r="E737" s="32"/>
      <c r="F737" s="32"/>
      <c r="G737" s="32">
        <f t="shared" si="194"/>
        <v>0</v>
      </c>
      <c r="H737" s="12"/>
      <c r="I737" s="12"/>
      <c r="J737" s="12"/>
      <c r="K737" s="12">
        <f t="shared" si="195"/>
        <v>0</v>
      </c>
      <c r="M737" s="10">
        <v>11</v>
      </c>
      <c r="N737" s="30"/>
      <c r="O737" s="31"/>
      <c r="P737" s="32"/>
      <c r="Q737" s="32"/>
      <c r="R737" s="32"/>
      <c r="S737" s="32">
        <f t="shared" si="196"/>
        <v>0</v>
      </c>
      <c r="T737" s="12"/>
      <c r="U737" s="12"/>
      <c r="V737" s="12"/>
      <c r="W737" s="12">
        <f t="shared" si="197"/>
        <v>0</v>
      </c>
      <c r="Y737" s="10">
        <v>11</v>
      </c>
      <c r="Z737" s="30"/>
      <c r="AA737" s="31"/>
      <c r="AB737" s="32"/>
      <c r="AC737" s="32"/>
      <c r="AD737" s="32"/>
      <c r="AE737" s="32">
        <f t="shared" si="198"/>
        <v>0</v>
      </c>
      <c r="AF737" s="12"/>
      <c r="AG737" s="12"/>
      <c r="AH737" s="12"/>
      <c r="AI737" s="12">
        <f t="shared" si="199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/>
      <c r="C738" s="31"/>
      <c r="D738" s="32"/>
      <c r="E738" s="32"/>
      <c r="F738" s="32"/>
      <c r="G738" s="32">
        <f t="shared" si="194"/>
        <v>0</v>
      </c>
      <c r="H738" s="12"/>
      <c r="I738" s="12"/>
      <c r="J738" s="10"/>
      <c r="K738" s="12">
        <f t="shared" si="195"/>
        <v>0</v>
      </c>
      <c r="M738" s="10">
        <v>12</v>
      </c>
      <c r="N738" s="30"/>
      <c r="P738" s="32"/>
      <c r="Q738" s="32"/>
      <c r="R738" s="32"/>
      <c r="S738" s="32">
        <f t="shared" si="196"/>
        <v>0</v>
      </c>
      <c r="T738" s="12"/>
      <c r="U738" s="12"/>
      <c r="V738" s="12"/>
      <c r="W738" s="12">
        <f t="shared" si="197"/>
        <v>0</v>
      </c>
      <c r="Y738" s="10">
        <v>12</v>
      </c>
      <c r="Z738" s="30"/>
      <c r="AB738" s="32"/>
      <c r="AC738" s="32"/>
      <c r="AD738" s="32"/>
      <c r="AE738" s="32">
        <f t="shared" si="198"/>
        <v>0</v>
      </c>
      <c r="AF738" s="12"/>
      <c r="AG738" s="12"/>
      <c r="AH738" s="12"/>
      <c r="AI738" s="12">
        <f t="shared" si="199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/>
      <c r="C739" s="31"/>
      <c r="D739" s="32"/>
      <c r="E739" s="32"/>
      <c r="F739" s="32"/>
      <c r="G739" s="32">
        <f t="shared" si="194"/>
        <v>0</v>
      </c>
      <c r="H739" s="12"/>
      <c r="I739" s="12"/>
      <c r="J739" s="12"/>
      <c r="K739" s="12">
        <f t="shared" si="195"/>
        <v>0</v>
      </c>
      <c r="M739" s="10">
        <v>13</v>
      </c>
      <c r="N739" s="30"/>
      <c r="O739" s="31"/>
      <c r="P739" s="32"/>
      <c r="Q739" s="32"/>
      <c r="R739" s="32"/>
      <c r="S739" s="32">
        <f t="shared" si="196"/>
        <v>0</v>
      </c>
      <c r="T739" s="12"/>
      <c r="U739" s="12"/>
      <c r="V739" s="12"/>
      <c r="W739" s="12">
        <f t="shared" si="197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98"/>
        <v>0</v>
      </c>
      <c r="AF739" s="12"/>
      <c r="AG739" s="12"/>
      <c r="AH739" s="12"/>
      <c r="AI739" s="12">
        <f t="shared" si="199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/>
      <c r="C740" s="31"/>
      <c r="D740" s="32"/>
      <c r="E740" s="32"/>
      <c r="F740" s="32"/>
      <c r="G740" s="32">
        <f t="shared" si="194"/>
        <v>0</v>
      </c>
      <c r="H740" s="12"/>
      <c r="I740" s="12"/>
      <c r="J740" s="12"/>
      <c r="K740" s="12">
        <f t="shared" si="195"/>
        <v>0</v>
      </c>
      <c r="M740" s="10">
        <v>14</v>
      </c>
      <c r="N740" s="30"/>
      <c r="O740" s="31"/>
      <c r="P740" s="32"/>
      <c r="Q740" s="32"/>
      <c r="R740" s="32"/>
      <c r="S740" s="32">
        <f t="shared" si="196"/>
        <v>0</v>
      </c>
      <c r="T740" s="12"/>
      <c r="U740" s="12"/>
      <c r="V740" s="12"/>
      <c r="W740" s="12">
        <f t="shared" si="197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98"/>
        <v>0</v>
      </c>
      <c r="AF740" s="12"/>
      <c r="AG740" s="12"/>
      <c r="AH740" s="12"/>
      <c r="AI740" s="12">
        <f t="shared" si="199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/>
      <c r="C741" s="31"/>
      <c r="D741" s="32"/>
      <c r="E741" s="32"/>
      <c r="F741" s="32"/>
      <c r="G741" s="32">
        <f t="shared" si="194"/>
        <v>0</v>
      </c>
      <c r="H741" s="12"/>
      <c r="I741" s="12"/>
      <c r="J741" s="12"/>
      <c r="K741" s="12">
        <f t="shared" si="195"/>
        <v>0</v>
      </c>
      <c r="M741" s="10">
        <v>15</v>
      </c>
      <c r="N741" s="30"/>
      <c r="O741" s="31"/>
      <c r="P741" s="32"/>
      <c r="Q741" s="32"/>
      <c r="R741" s="32"/>
      <c r="S741" s="32">
        <f t="shared" si="196"/>
        <v>0</v>
      </c>
      <c r="T741" s="12"/>
      <c r="U741" s="12"/>
      <c r="V741" s="12"/>
      <c r="W741" s="12">
        <f t="shared" si="197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98"/>
        <v>0</v>
      </c>
      <c r="AF741" s="12"/>
      <c r="AG741" s="12"/>
      <c r="AH741" s="12"/>
      <c r="AI741" s="12">
        <f t="shared" si="199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/>
      <c r="C742" s="31"/>
      <c r="D742" s="32"/>
      <c r="E742" s="32"/>
      <c r="F742" s="32"/>
      <c r="G742" s="32">
        <f t="shared" si="194"/>
        <v>0</v>
      </c>
      <c r="H742" s="12"/>
      <c r="I742" s="12"/>
      <c r="J742" s="12"/>
      <c r="K742" s="12">
        <f t="shared" si="195"/>
        <v>0</v>
      </c>
      <c r="M742" s="10">
        <v>16</v>
      </c>
      <c r="N742" s="30"/>
      <c r="P742" s="32"/>
      <c r="Q742" s="32"/>
      <c r="R742" s="32"/>
      <c r="S742" s="32">
        <f t="shared" si="196"/>
        <v>0</v>
      </c>
      <c r="T742" s="12"/>
      <c r="U742" s="12"/>
      <c r="V742" s="12"/>
      <c r="W742" s="12">
        <f t="shared" si="197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98"/>
        <v>0</v>
      </c>
      <c r="AF742" s="12"/>
      <c r="AG742" s="12"/>
      <c r="AH742" s="12"/>
      <c r="AI742" s="12">
        <f t="shared" si="199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/>
      <c r="C743" s="31"/>
      <c r="D743" s="32"/>
      <c r="E743" s="32"/>
      <c r="F743" s="32"/>
      <c r="G743" s="32">
        <f t="shared" si="194"/>
        <v>0</v>
      </c>
      <c r="H743" s="12"/>
      <c r="I743" s="12"/>
      <c r="J743" s="12"/>
      <c r="K743" s="12">
        <f t="shared" si="195"/>
        <v>0</v>
      </c>
      <c r="M743" s="10">
        <v>17</v>
      </c>
      <c r="N743" s="30"/>
      <c r="O743" s="31"/>
      <c r="P743" s="35"/>
      <c r="Q743" s="32"/>
      <c r="R743" s="32"/>
      <c r="S743" s="32">
        <f t="shared" si="196"/>
        <v>0</v>
      </c>
      <c r="T743" s="12"/>
      <c r="U743" s="12"/>
      <c r="V743" s="12"/>
      <c r="W743" s="12">
        <f t="shared" si="197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98"/>
        <v>0</v>
      </c>
      <c r="AF743" s="12"/>
      <c r="AG743" s="12"/>
      <c r="AH743" s="12"/>
      <c r="AI743" s="12">
        <f t="shared" si="199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/>
      <c r="C744" s="31"/>
      <c r="D744" s="32"/>
      <c r="E744" s="32"/>
      <c r="F744" s="32"/>
      <c r="G744" s="32">
        <f t="shared" si="194"/>
        <v>0</v>
      </c>
      <c r="H744" s="12"/>
      <c r="I744" s="12"/>
      <c r="J744" s="12"/>
      <c r="K744" s="12">
        <f t="shared" si="195"/>
        <v>0</v>
      </c>
      <c r="M744" s="10">
        <v>18</v>
      </c>
      <c r="N744" s="30"/>
      <c r="O744" s="31"/>
      <c r="P744" s="32"/>
      <c r="Q744" s="32"/>
      <c r="R744" s="32"/>
      <c r="S744" s="32">
        <f t="shared" si="196"/>
        <v>0</v>
      </c>
      <c r="T744" s="12"/>
      <c r="U744" s="12"/>
      <c r="V744" s="12"/>
      <c r="W744" s="12">
        <f t="shared" si="197"/>
        <v>0</v>
      </c>
      <c r="Y744" s="10">
        <v>18</v>
      </c>
      <c r="Z744" s="30"/>
      <c r="AA744" s="31"/>
      <c r="AB744" s="32"/>
      <c r="AC744" s="32"/>
      <c r="AD744" s="32"/>
      <c r="AE744" s="32">
        <f t="shared" si="198"/>
        <v>0</v>
      </c>
      <c r="AF744" s="12"/>
      <c r="AG744" s="12"/>
      <c r="AH744" s="12"/>
      <c r="AI744" s="12">
        <f t="shared" si="199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/>
      <c r="C745" s="31"/>
      <c r="D745" s="32"/>
      <c r="E745" s="32"/>
      <c r="F745" s="32"/>
      <c r="G745" s="32">
        <f t="shared" si="194"/>
        <v>0</v>
      </c>
      <c r="H745" s="12"/>
      <c r="I745" s="12"/>
      <c r="J745" s="12"/>
      <c r="K745" s="12">
        <f t="shared" si="195"/>
        <v>0</v>
      </c>
      <c r="M745" s="10">
        <v>19</v>
      </c>
      <c r="N745" s="30"/>
      <c r="O745" s="31"/>
      <c r="P745" s="32"/>
      <c r="Q745" s="32"/>
      <c r="R745" s="32"/>
      <c r="S745" s="32">
        <f t="shared" si="196"/>
        <v>0</v>
      </c>
      <c r="T745" s="12"/>
      <c r="U745" s="12"/>
      <c r="V745" s="12"/>
      <c r="W745" s="12">
        <f t="shared" si="197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98"/>
        <v>0</v>
      </c>
      <c r="AF745" s="12"/>
      <c r="AG745" s="12"/>
      <c r="AH745" s="12"/>
      <c r="AI745" s="12">
        <f t="shared" si="199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31"/>
      <c r="D746" s="32"/>
      <c r="E746" s="32"/>
      <c r="F746" s="32"/>
      <c r="G746" s="32">
        <f t="shared" si="194"/>
        <v>0</v>
      </c>
      <c r="H746" s="12"/>
      <c r="I746" s="12"/>
      <c r="J746" s="12"/>
      <c r="K746" s="12">
        <f t="shared" si="195"/>
        <v>0</v>
      </c>
      <c r="M746" s="10">
        <v>20</v>
      </c>
      <c r="N746" s="30"/>
      <c r="O746" s="31"/>
      <c r="P746" s="32"/>
      <c r="Q746" s="32"/>
      <c r="R746" s="32"/>
      <c r="S746" s="32">
        <f t="shared" si="196"/>
        <v>0</v>
      </c>
      <c r="T746" s="12"/>
      <c r="U746" s="12"/>
      <c r="V746" s="12"/>
      <c r="W746" s="12">
        <f t="shared" si="197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98"/>
        <v>0</v>
      </c>
      <c r="AF746" s="12"/>
      <c r="AG746" s="12"/>
      <c r="AH746" s="12"/>
      <c r="AI746" s="12">
        <f t="shared" si="199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C747" s="31"/>
      <c r="D747" s="32"/>
      <c r="E747" s="32"/>
      <c r="F747" s="32"/>
      <c r="G747" s="32">
        <f t="shared" si="194"/>
        <v>0</v>
      </c>
      <c r="H747" s="10"/>
      <c r="I747" s="10"/>
      <c r="J747" s="10"/>
      <c r="K747" s="12">
        <f t="shared" si="195"/>
        <v>0</v>
      </c>
      <c r="M747" s="10">
        <v>21</v>
      </c>
      <c r="N747" s="30"/>
      <c r="P747" s="46"/>
      <c r="Q747" s="32"/>
      <c r="R747" s="31"/>
      <c r="S747" s="32">
        <f t="shared" si="196"/>
        <v>0</v>
      </c>
      <c r="T747" s="10"/>
      <c r="U747" s="10"/>
      <c r="V747" s="10"/>
      <c r="W747" s="12">
        <f t="shared" si="197"/>
        <v>0</v>
      </c>
      <c r="Y747" s="10">
        <v>21</v>
      </c>
      <c r="Z747" s="30"/>
      <c r="AA747" s="31"/>
      <c r="AB747" s="46"/>
      <c r="AC747" s="31"/>
      <c r="AD747" s="31"/>
      <c r="AE747" s="32">
        <f t="shared" si="198"/>
        <v>0</v>
      </c>
      <c r="AF747" s="10"/>
      <c r="AG747" s="10"/>
      <c r="AH747" s="10"/>
      <c r="AI747" s="12">
        <f t="shared" si="199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194"/>
        <v>0</v>
      </c>
      <c r="H748" s="10"/>
      <c r="I748" s="10"/>
      <c r="J748" s="10"/>
      <c r="K748" s="12">
        <f t="shared" si="195"/>
        <v>0</v>
      </c>
      <c r="M748" s="10">
        <v>22</v>
      </c>
      <c r="N748" s="30"/>
      <c r="O748" s="31"/>
      <c r="P748" s="45"/>
      <c r="Q748" s="32"/>
      <c r="R748" s="31"/>
      <c r="S748" s="32">
        <f t="shared" si="196"/>
        <v>0</v>
      </c>
      <c r="T748" s="10"/>
      <c r="U748" s="10"/>
      <c r="V748" s="10"/>
      <c r="W748" s="12">
        <f t="shared" si="197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98"/>
        <v>0</v>
      </c>
      <c r="AF748" s="10"/>
      <c r="AG748" s="10"/>
      <c r="AH748" s="10"/>
      <c r="AI748" s="12">
        <f t="shared" si="199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D749" s="32"/>
      <c r="E749" s="32"/>
      <c r="F749" s="32"/>
      <c r="G749" s="32">
        <f t="shared" si="194"/>
        <v>0</v>
      </c>
      <c r="H749" s="10"/>
      <c r="I749" s="10"/>
      <c r="J749" s="12"/>
      <c r="K749" s="12">
        <f t="shared" si="195"/>
        <v>0</v>
      </c>
      <c r="M749" s="10">
        <v>23</v>
      </c>
      <c r="N749" s="30"/>
      <c r="O749" s="31"/>
      <c r="P749" s="47"/>
      <c r="Q749" s="32"/>
      <c r="S749" s="32">
        <f t="shared" si="196"/>
        <v>0</v>
      </c>
      <c r="T749" s="10"/>
      <c r="U749" s="10"/>
      <c r="V749" s="10"/>
      <c r="W749" s="12">
        <f t="shared" si="197"/>
        <v>0</v>
      </c>
      <c r="Y749" s="10">
        <v>23</v>
      </c>
      <c r="Z749" s="30"/>
      <c r="AA749" s="31"/>
      <c r="AB749" s="47"/>
      <c r="AC749" s="31"/>
      <c r="AE749" s="32">
        <f t="shared" si="198"/>
        <v>0</v>
      </c>
      <c r="AF749" s="10"/>
      <c r="AG749" s="10"/>
      <c r="AH749" s="10"/>
      <c r="AI749" s="12">
        <f t="shared" si="199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194"/>
        <v>0</v>
      </c>
      <c r="H750" s="10"/>
      <c r="I750" s="10"/>
      <c r="J750" s="10"/>
      <c r="K750" s="12">
        <f t="shared" si="195"/>
        <v>0</v>
      </c>
      <c r="M750" s="10">
        <v>24</v>
      </c>
      <c r="N750" s="30"/>
      <c r="O750" s="31"/>
      <c r="P750" s="47"/>
      <c r="Q750" s="32"/>
      <c r="R750" s="31"/>
      <c r="S750" s="32">
        <f t="shared" si="196"/>
        <v>0</v>
      </c>
      <c r="T750" s="10"/>
      <c r="U750" s="10"/>
      <c r="V750" s="10"/>
      <c r="W750" s="12">
        <f t="shared" si="197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98"/>
        <v>0</v>
      </c>
      <c r="AF750" s="10"/>
      <c r="AG750" s="10"/>
      <c r="AH750" s="10"/>
      <c r="AI750" s="12">
        <f t="shared" si="199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194"/>
        <v>0</v>
      </c>
      <c r="H751" s="10"/>
      <c r="I751" s="10"/>
      <c r="J751" s="10"/>
      <c r="K751" s="12">
        <f t="shared" si="195"/>
        <v>0</v>
      </c>
      <c r="M751" s="10">
        <v>25</v>
      </c>
      <c r="N751" s="30"/>
      <c r="O751" s="31"/>
      <c r="P751" s="47"/>
      <c r="Q751" s="32"/>
      <c r="R751" s="31"/>
      <c r="S751" s="32">
        <f t="shared" si="196"/>
        <v>0</v>
      </c>
      <c r="T751" s="10"/>
      <c r="U751" s="10"/>
      <c r="V751" s="10"/>
      <c r="W751" s="12">
        <f t="shared" si="197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98"/>
        <v>0</v>
      </c>
      <c r="AF751" s="10"/>
      <c r="AG751" s="10"/>
      <c r="AH751" s="10"/>
      <c r="AI751" s="12">
        <f t="shared" si="199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94"/>
        <v>0</v>
      </c>
      <c r="H752" s="10"/>
      <c r="I752" s="10"/>
      <c r="J752" s="10"/>
      <c r="K752" s="12">
        <f t="shared" si="195"/>
        <v>0</v>
      </c>
      <c r="M752" s="10">
        <v>26</v>
      </c>
      <c r="N752" s="30"/>
      <c r="O752" s="31"/>
      <c r="P752" s="47"/>
      <c r="Q752" s="32"/>
      <c r="R752" s="31"/>
      <c r="S752" s="32">
        <f t="shared" si="196"/>
        <v>0</v>
      </c>
      <c r="T752" s="10"/>
      <c r="U752" s="10"/>
      <c r="V752" s="10"/>
      <c r="W752" s="12">
        <f t="shared" si="197"/>
        <v>0</v>
      </c>
      <c r="Y752" s="10">
        <v>26</v>
      </c>
      <c r="Z752" s="30"/>
      <c r="AB752" s="47"/>
      <c r="AC752" s="31"/>
      <c r="AD752" s="31"/>
      <c r="AE752" s="32">
        <f t="shared" si="198"/>
        <v>0</v>
      </c>
      <c r="AF752" s="10"/>
      <c r="AG752" s="10"/>
      <c r="AH752" s="10"/>
      <c r="AI752" s="12">
        <f t="shared" si="199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94"/>
        <v>0</v>
      </c>
      <c r="H753" s="10"/>
      <c r="I753" s="10"/>
      <c r="J753" s="10"/>
      <c r="K753" s="12">
        <f t="shared" si="195"/>
        <v>0</v>
      </c>
      <c r="M753" s="10">
        <v>27</v>
      </c>
      <c r="N753" s="30"/>
      <c r="O753" s="31"/>
      <c r="P753" s="47"/>
      <c r="Q753" s="31"/>
      <c r="R753" s="31"/>
      <c r="S753" s="32">
        <f t="shared" si="196"/>
        <v>0</v>
      </c>
      <c r="T753" s="10"/>
      <c r="U753" s="10"/>
      <c r="V753" s="10"/>
      <c r="W753" s="12">
        <f t="shared" si="197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98"/>
        <v>0</v>
      </c>
      <c r="AF753" s="10"/>
      <c r="AG753" s="10"/>
      <c r="AH753" s="10"/>
      <c r="AI753" s="12">
        <f t="shared" si="199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94"/>
        <v>0</v>
      </c>
      <c r="H754" s="10"/>
      <c r="I754" s="10"/>
      <c r="J754" s="10"/>
      <c r="K754" s="12">
        <f t="shared" si="195"/>
        <v>0</v>
      </c>
      <c r="M754" s="10">
        <v>28</v>
      </c>
      <c r="N754" s="30"/>
      <c r="O754" s="31"/>
      <c r="P754" s="47"/>
      <c r="Q754" s="31"/>
      <c r="R754" s="31"/>
      <c r="S754" s="32">
        <f t="shared" si="196"/>
        <v>0</v>
      </c>
      <c r="T754" s="10"/>
      <c r="U754" s="10"/>
      <c r="V754" s="10"/>
      <c r="W754" s="12">
        <f t="shared" si="197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98"/>
        <v>0</v>
      </c>
      <c r="AF754" s="10"/>
      <c r="AG754" s="10"/>
      <c r="AH754" s="10"/>
      <c r="AI754" s="12">
        <f t="shared" si="199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>
        <f t="shared" si="194"/>
        <v>0</v>
      </c>
      <c r="H755" s="10"/>
      <c r="I755" s="10"/>
      <c r="J755" s="10"/>
      <c r="K755" s="12">
        <f t="shared" si="195"/>
        <v>0</v>
      </c>
      <c r="M755" s="10">
        <v>29</v>
      </c>
      <c r="N755" s="30"/>
      <c r="O755" s="31"/>
      <c r="P755" s="47"/>
      <c r="Q755" s="31"/>
      <c r="R755" s="31"/>
      <c r="S755" s="32">
        <f t="shared" si="196"/>
        <v>0</v>
      </c>
      <c r="T755" s="10"/>
      <c r="U755" s="10"/>
      <c r="V755" s="10"/>
      <c r="W755" s="12">
        <f t="shared" si="197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98"/>
        <v>0</v>
      </c>
      <c r="AF755" s="10"/>
      <c r="AG755" s="10"/>
      <c r="AH755" s="10"/>
      <c r="AI755" s="12">
        <f t="shared" si="199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194"/>
        <v>0</v>
      </c>
      <c r="H756" s="10"/>
      <c r="I756" s="10"/>
      <c r="J756" s="10"/>
      <c r="K756" s="12">
        <f t="shared" si="195"/>
        <v>0</v>
      </c>
      <c r="M756" s="10">
        <v>30</v>
      </c>
      <c r="N756" s="30"/>
      <c r="O756" s="31"/>
      <c r="P756" s="47"/>
      <c r="Q756" s="31"/>
      <c r="R756" s="31"/>
      <c r="S756" s="32">
        <f t="shared" si="196"/>
        <v>0</v>
      </c>
      <c r="T756" s="10"/>
      <c r="U756" s="10"/>
      <c r="V756" s="10"/>
      <c r="W756" s="12">
        <f t="shared" si="197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98"/>
        <v>0</v>
      </c>
      <c r="AF756" s="10"/>
      <c r="AG756" s="10"/>
      <c r="AH756" s="10"/>
      <c r="AI756" s="12">
        <f t="shared" si="199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31"/>
      <c r="D757" s="32"/>
      <c r="E757" s="32"/>
      <c r="F757" s="32"/>
      <c r="G757" s="32">
        <f t="shared" si="194"/>
        <v>0</v>
      </c>
      <c r="H757" s="10"/>
      <c r="I757" s="10"/>
      <c r="J757" s="10"/>
      <c r="K757" s="12">
        <f t="shared" si="195"/>
        <v>0</v>
      </c>
      <c r="M757" s="10">
        <v>31</v>
      </c>
      <c r="N757" s="30"/>
      <c r="O757" s="31"/>
      <c r="P757" s="47"/>
      <c r="Q757" s="31"/>
      <c r="R757" s="31"/>
      <c r="S757" s="32">
        <f t="shared" si="196"/>
        <v>0</v>
      </c>
      <c r="T757" s="10"/>
      <c r="U757" s="10"/>
      <c r="V757" s="10"/>
      <c r="W757" s="12">
        <f t="shared" si="197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98"/>
        <v>0</v>
      </c>
      <c r="AF757" s="10"/>
      <c r="AG757" s="10"/>
      <c r="AH757" s="10"/>
      <c r="AI757" s="12">
        <f t="shared" si="199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>
        <f t="shared" si="194"/>
        <v>0</v>
      </c>
      <c r="H758" s="10"/>
      <c r="I758" s="10"/>
      <c r="J758" s="10"/>
      <c r="K758" s="12">
        <f t="shared" si="195"/>
        <v>0</v>
      </c>
      <c r="M758" s="10">
        <v>32</v>
      </c>
      <c r="N758" s="30"/>
      <c r="O758" s="31"/>
      <c r="P758" s="47"/>
      <c r="Q758" s="31"/>
      <c r="R758" s="31"/>
      <c r="S758" s="32">
        <f t="shared" si="196"/>
        <v>0</v>
      </c>
      <c r="T758" s="10"/>
      <c r="U758" s="10"/>
      <c r="V758" s="10"/>
      <c r="W758" s="12">
        <f t="shared" si="197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98"/>
        <v>0</v>
      </c>
      <c r="AF758" s="10"/>
      <c r="AG758" s="10"/>
      <c r="AH758" s="10"/>
      <c r="AI758" s="12">
        <f t="shared" si="199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>
        <f t="shared" si="194"/>
        <v>0</v>
      </c>
      <c r="H759" s="10"/>
      <c r="I759" s="10"/>
      <c r="J759" s="10"/>
      <c r="K759" s="12">
        <f t="shared" si="195"/>
        <v>0</v>
      </c>
      <c r="M759" s="10">
        <v>33</v>
      </c>
      <c r="N759" s="30"/>
      <c r="O759" s="31"/>
      <c r="P759" s="47"/>
      <c r="Q759" s="31"/>
      <c r="R759" s="31"/>
      <c r="S759" s="32">
        <f t="shared" si="196"/>
        <v>0</v>
      </c>
      <c r="T759" s="10"/>
      <c r="U759" s="10"/>
      <c r="V759" s="10"/>
      <c r="W759" s="12">
        <f t="shared" si="197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98"/>
        <v>0</v>
      </c>
      <c r="AF759" s="10"/>
      <c r="AG759" s="10"/>
      <c r="AH759" s="10"/>
      <c r="AI759" s="12">
        <f t="shared" si="199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31"/>
      <c r="D760" s="32"/>
      <c r="E760" s="32"/>
      <c r="F760" s="32"/>
      <c r="G760" s="32">
        <f t="shared" si="194"/>
        <v>0</v>
      </c>
      <c r="H760" s="10"/>
      <c r="I760" s="10"/>
      <c r="J760" s="10"/>
      <c r="K760" s="12">
        <f t="shared" si="195"/>
        <v>0</v>
      </c>
      <c r="M760" s="10">
        <v>34</v>
      </c>
      <c r="N760" s="30"/>
      <c r="O760" s="31"/>
      <c r="P760" s="47"/>
      <c r="Q760" s="31"/>
      <c r="R760" s="31"/>
      <c r="S760" s="32">
        <f t="shared" si="196"/>
        <v>0</v>
      </c>
      <c r="T760" s="10"/>
      <c r="U760" s="10"/>
      <c r="V760" s="10"/>
      <c r="W760" s="12">
        <f t="shared" si="197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98"/>
        <v>0</v>
      </c>
      <c r="AF760" s="10"/>
      <c r="AG760" s="10"/>
      <c r="AH760" s="10"/>
      <c r="AI760" s="12">
        <f t="shared" si="199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96"/>
        <v>0</v>
      </c>
      <c r="T761" s="10"/>
      <c r="U761" s="10"/>
      <c r="V761" s="10"/>
      <c r="W761" s="12">
        <f t="shared" si="197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98"/>
        <v>0</v>
      </c>
      <c r="AF761" s="10"/>
      <c r="AG761" s="10"/>
      <c r="AH761" s="10"/>
      <c r="AI761" s="12">
        <f t="shared" si="199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96"/>
        <v>0</v>
      </c>
      <c r="T762" s="10"/>
      <c r="U762" s="10"/>
      <c r="V762" s="10"/>
      <c r="W762" s="12">
        <f t="shared" si="197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98"/>
        <v>0</v>
      </c>
      <c r="AF762" s="10"/>
      <c r="AG762" s="10"/>
      <c r="AH762" s="10"/>
      <c r="AI762" s="12">
        <f t="shared" si="199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96"/>
        <v>0</v>
      </c>
      <c r="T763" s="10"/>
      <c r="U763" s="10"/>
      <c r="V763" s="10"/>
      <c r="W763" s="12">
        <f t="shared" si="197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98"/>
        <v>0</v>
      </c>
      <c r="AF763" s="10"/>
      <c r="AG763" s="10"/>
      <c r="AH763" s="10"/>
      <c r="AI763" s="12">
        <f t="shared" si="199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96"/>
        <v>0</v>
      </c>
      <c r="T764" s="10"/>
      <c r="U764" s="10"/>
      <c r="V764" s="10"/>
      <c r="W764" s="12">
        <f t="shared" si="197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98"/>
        <v>0</v>
      </c>
      <c r="AF764" s="10"/>
      <c r="AG764" s="10"/>
      <c r="AH764" s="10"/>
      <c r="AI764" s="12">
        <f t="shared" si="199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96"/>
        <v>0</v>
      </c>
      <c r="T765" s="10"/>
      <c r="U765" s="10"/>
      <c r="V765" s="10"/>
      <c r="W765" s="12">
        <f t="shared" si="197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98"/>
        <v>0</v>
      </c>
      <c r="AF765" s="10"/>
      <c r="AG765" s="10"/>
      <c r="AH765" s="10"/>
      <c r="AI765" s="12">
        <f t="shared" si="199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97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99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02">SUM(D767:E767)</f>
        <v>0</v>
      </c>
      <c r="H767" s="10"/>
      <c r="I767" s="10"/>
      <c r="J767" s="10"/>
      <c r="K767" s="12">
        <f t="shared" ref="K767" si="203">SUM(G767:J767)</f>
        <v>0</v>
      </c>
      <c r="M767" s="10"/>
      <c r="N767" s="30"/>
      <c r="O767" s="31"/>
      <c r="P767" s="47"/>
      <c r="Q767" s="31"/>
      <c r="R767" s="31"/>
      <c r="S767" s="32">
        <f t="shared" ref="S767" si="204">SUM(P767:Q767)</f>
        <v>0</v>
      </c>
      <c r="T767" s="10"/>
      <c r="U767" s="10"/>
      <c r="V767" s="10"/>
      <c r="W767" s="12">
        <f t="shared" si="197"/>
        <v>0</v>
      </c>
      <c r="Y767" s="10"/>
      <c r="Z767" s="30"/>
      <c r="AA767" s="31"/>
      <c r="AB767" s="47"/>
      <c r="AC767" s="31"/>
      <c r="AD767" s="31"/>
      <c r="AE767" s="32">
        <f t="shared" ref="AE767" si="205">SUM(AB767:AC767)</f>
        <v>0</v>
      </c>
      <c r="AF767" s="10"/>
      <c r="AG767" s="10"/>
      <c r="AH767" s="10"/>
      <c r="AI767" s="12">
        <f t="shared" si="199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97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99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519213</v>
      </c>
      <c r="E770" s="38">
        <f t="shared" ref="E770:F770" si="206">SUM(E727:E767)</f>
        <v>-7163</v>
      </c>
      <c r="F770" s="38">
        <f t="shared" si="206"/>
        <v>0</v>
      </c>
      <c r="G770" s="38">
        <f>SUM(G727:G769)</f>
        <v>512050</v>
      </c>
      <c r="H770" s="4"/>
      <c r="I770" s="39">
        <f>SUM(I727:I769)</f>
        <v>6555</v>
      </c>
      <c r="J770" s="39">
        <f>SUM(J727:J769)</f>
        <v>0</v>
      </c>
      <c r="K770" s="40">
        <f>SUM(K727:K769)</f>
        <v>517723</v>
      </c>
      <c r="N770" s="57"/>
      <c r="O770" s="57"/>
      <c r="P770" s="38">
        <f>SUM(P727:P769)</f>
        <v>390529</v>
      </c>
      <c r="Q770" s="38">
        <f>SUM(Q727:Q751)</f>
        <v>-5769</v>
      </c>
      <c r="R770" s="38">
        <f>SUM(R727:R751)</f>
        <v>0</v>
      </c>
      <c r="S770" s="38">
        <f>SUM(S727:S769)</f>
        <v>384760</v>
      </c>
      <c r="T770" s="4"/>
      <c r="U770" s="41">
        <f>SUM(U727:U769)</f>
        <v>6576</v>
      </c>
      <c r="V770" s="41">
        <f>SUM(V727:V751)</f>
        <v>-210</v>
      </c>
      <c r="W770" s="42">
        <f>SUM(W727:W769)</f>
        <v>391126</v>
      </c>
      <c r="Z770" s="57"/>
      <c r="AA770" s="57"/>
      <c r="AB770" s="38">
        <f>SUM(AB727:AB769)</f>
        <v>109167</v>
      </c>
      <c r="AC770" s="38">
        <f>SUM(AC727:AC751)</f>
        <v>-936</v>
      </c>
      <c r="AD770" s="38">
        <f>SUM(AD727:AD751)</f>
        <v>0</v>
      </c>
      <c r="AE770" s="38">
        <f>SUM(AE727:AE769)</f>
        <v>108231</v>
      </c>
      <c r="AF770" s="4"/>
      <c r="AG770" s="41">
        <f>SUM(AG727:AG769)</f>
        <v>0</v>
      </c>
      <c r="AH770" s="41">
        <f>SUM(AH727:AH751)</f>
        <v>-6771</v>
      </c>
      <c r="AI770" s="42">
        <f>SUM(AI727:AI769)</f>
        <v>101460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49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49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49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33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35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16" t="s">
        <v>18</v>
      </c>
      <c r="E780" s="116"/>
      <c r="F780" s="102"/>
      <c r="G780" s="27"/>
      <c r="I780" s="114" t="s">
        <v>19</v>
      </c>
      <c r="J780" s="115"/>
      <c r="K780" s="112" t="s">
        <v>20</v>
      </c>
      <c r="N780" s="25"/>
      <c r="O780" s="26"/>
      <c r="P780" s="116" t="s">
        <v>18</v>
      </c>
      <c r="Q780" s="116"/>
      <c r="R780" s="102"/>
      <c r="S780" s="27"/>
      <c r="U780" s="114" t="s">
        <v>19</v>
      </c>
      <c r="V780" s="115"/>
      <c r="W780" s="112" t="s">
        <v>20</v>
      </c>
      <c r="Z780" s="25"/>
      <c r="AA780" s="26"/>
      <c r="AB780" s="116" t="s">
        <v>18</v>
      </c>
      <c r="AC780" s="116"/>
      <c r="AD780" s="102"/>
      <c r="AE780" s="27"/>
      <c r="AG780" s="114" t="s">
        <v>19</v>
      </c>
      <c r="AH780" s="115"/>
      <c r="AI780" s="112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36</v>
      </c>
      <c r="G781" s="80" t="s">
        <v>25</v>
      </c>
      <c r="I781" s="29" t="s">
        <v>26</v>
      </c>
      <c r="J781" s="29" t="s">
        <v>27</v>
      </c>
      <c r="K781" s="113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36</v>
      </c>
      <c r="S781" s="80" t="s">
        <v>25</v>
      </c>
      <c r="U781" s="29" t="s">
        <v>26</v>
      </c>
      <c r="V781" s="29" t="s">
        <v>27</v>
      </c>
      <c r="W781" s="113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36</v>
      </c>
      <c r="AE781" s="80" t="s">
        <v>25</v>
      </c>
      <c r="AG781" s="29" t="s">
        <v>26</v>
      </c>
      <c r="AH781" s="29" t="s">
        <v>27</v>
      </c>
      <c r="AI781" s="113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5989</v>
      </c>
      <c r="D782" s="32">
        <f>125200+1832</f>
        <v>127032</v>
      </c>
      <c r="E782" s="32">
        <v>-1872</v>
      </c>
      <c r="F782" s="32"/>
      <c r="G782" s="32">
        <f t="shared" ref="G782:G815" si="207">SUM(D782:E782)</f>
        <v>125160</v>
      </c>
      <c r="H782" s="12"/>
      <c r="I782" s="12">
        <f>156</f>
        <v>156</v>
      </c>
      <c r="J782" s="12">
        <f>-1680+-23310+-168+-210+-4.5+-34248.5</f>
        <v>-59621</v>
      </c>
      <c r="K782" s="12">
        <f t="shared" ref="K782:K815" si="208">SUM(G782:J782)</f>
        <v>65695</v>
      </c>
      <c r="M782" s="10">
        <v>1</v>
      </c>
      <c r="N782" s="30" t="s">
        <v>79</v>
      </c>
      <c r="O782" s="31">
        <v>5942</v>
      </c>
      <c r="P782" s="32">
        <f>1252+614+596+28.5</f>
        <v>2490.5</v>
      </c>
      <c r="Q782" s="32"/>
      <c r="R782" s="32"/>
      <c r="S782" s="32">
        <f>SUM(P782:Q782)</f>
        <v>2490.5</v>
      </c>
      <c r="T782" s="12"/>
      <c r="U782" s="12"/>
      <c r="V782" s="12"/>
      <c r="W782" s="12">
        <f>SUM(S782:V782)</f>
        <v>2490.5</v>
      </c>
      <c r="Y782" s="10">
        <v>1</v>
      </c>
      <c r="Z782" s="30" t="s">
        <v>79</v>
      </c>
      <c r="AA782" s="31">
        <v>5824</v>
      </c>
      <c r="AB782" s="32">
        <f>131460+1228+2022+11920</f>
        <v>146630</v>
      </c>
      <c r="AC782" s="32"/>
      <c r="AD782" s="32"/>
      <c r="AE782" s="32">
        <f>SUM(AB782:AC782)</f>
        <v>146630</v>
      </c>
      <c r="AF782" s="12"/>
      <c r="AG782" s="12">
        <f>22200</f>
        <v>22200</v>
      </c>
      <c r="AH782" s="12"/>
      <c r="AI782" s="12">
        <f>SUM(AE782:AH782)</f>
        <v>168830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5990</v>
      </c>
      <c r="D783" s="32">
        <f>1878+28</f>
        <v>1906</v>
      </c>
      <c r="E783" s="32"/>
      <c r="F783" s="32"/>
      <c r="G783" s="32">
        <f t="shared" si="207"/>
        <v>1906</v>
      </c>
      <c r="H783" s="12"/>
      <c r="I783" s="12"/>
      <c r="J783" s="12"/>
      <c r="K783" s="12">
        <f t="shared" si="208"/>
        <v>1906</v>
      </c>
      <c r="M783" s="10">
        <v>2</v>
      </c>
      <c r="N783" s="30" t="s">
        <v>79</v>
      </c>
      <c r="O783" s="31">
        <f>O782+1</f>
        <v>5943</v>
      </c>
      <c r="P783" s="32">
        <f>1878+28.5</f>
        <v>1906.5</v>
      </c>
      <c r="Q783" s="32"/>
      <c r="R783" s="32"/>
      <c r="S783" s="32">
        <f t="shared" ref="S783:S820" si="209">SUM(P783:Q783)</f>
        <v>1906.5</v>
      </c>
      <c r="T783" s="12"/>
      <c r="U783" s="12"/>
      <c r="V783" s="12"/>
      <c r="W783" s="12">
        <f t="shared" ref="W783:W823" si="210">SUM(S783:V783)</f>
        <v>1906.5</v>
      </c>
      <c r="Y783" s="10">
        <v>2</v>
      </c>
      <c r="Z783" s="30" t="s">
        <v>79</v>
      </c>
      <c r="AA783" s="31">
        <f>AA782+1</f>
        <v>5825</v>
      </c>
      <c r="AB783" s="32">
        <f>202824+6140+5025+2977</f>
        <v>216966</v>
      </c>
      <c r="AC783" s="32">
        <v>-2112</v>
      </c>
      <c r="AD783" s="32"/>
      <c r="AE783" s="32">
        <f t="shared" ref="AE783:AE820" si="211">SUM(AB783:AC783)</f>
        <v>214854</v>
      </c>
      <c r="AF783" s="12"/>
      <c r="AG783" s="12">
        <f>6771+120+78</f>
        <v>6969</v>
      </c>
      <c r="AH783" s="12"/>
      <c r="AI783" s="12">
        <f t="shared" ref="AI783:AI823" si="212">SUM(AE783:AH783)</f>
        <v>221823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3" si="213">C783+1</f>
        <v>5991</v>
      </c>
      <c r="D784" s="33">
        <f>1252+19</f>
        <v>1271</v>
      </c>
      <c r="E784" s="33"/>
      <c r="F784" s="33"/>
      <c r="G784" s="33">
        <f t="shared" si="207"/>
        <v>1271</v>
      </c>
      <c r="H784" s="34"/>
      <c r="I784" s="34"/>
      <c r="J784" s="34"/>
      <c r="K784" s="34">
        <f t="shared" si="208"/>
        <v>1271</v>
      </c>
      <c r="M784" s="10">
        <v>3</v>
      </c>
      <c r="N784" s="30" t="s">
        <v>79</v>
      </c>
      <c r="O784" s="31">
        <f t="shared" ref="O784:O800" si="214">O783+1</f>
        <v>5944</v>
      </c>
      <c r="P784" s="32">
        <f>3130+47.5</f>
        <v>3177.5</v>
      </c>
      <c r="Q784" s="32"/>
      <c r="R784" s="32"/>
      <c r="S784" s="32">
        <f t="shared" si="209"/>
        <v>3177.5</v>
      </c>
      <c r="T784" s="12"/>
      <c r="U784" s="12">
        <v>4.5</v>
      </c>
      <c r="V784" s="12"/>
      <c r="W784" s="12">
        <f t="shared" si="210"/>
        <v>3182</v>
      </c>
      <c r="Y784" s="10">
        <v>3</v>
      </c>
      <c r="Z784" s="30" t="s">
        <v>79</v>
      </c>
      <c r="AA784" s="31">
        <f t="shared" ref="AA784:AA786" si="215">AA783+1</f>
        <v>5826</v>
      </c>
      <c r="AB784" s="33">
        <f>62600+916</f>
        <v>63516</v>
      </c>
      <c r="AC784" s="33">
        <v>-624</v>
      </c>
      <c r="AD784" s="32"/>
      <c r="AE784" s="32">
        <f t="shared" si="211"/>
        <v>62892</v>
      </c>
      <c r="AF784" s="12"/>
      <c r="AG784" s="12"/>
      <c r="AH784" s="12"/>
      <c r="AI784" s="12">
        <f t="shared" si="212"/>
        <v>62892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213"/>
        <v>5992</v>
      </c>
      <c r="D785" s="32">
        <f>6260+1228+95</f>
        <v>7583</v>
      </c>
      <c r="E785" s="32"/>
      <c r="F785" s="32"/>
      <c r="G785" s="32">
        <f t="shared" si="207"/>
        <v>7583</v>
      </c>
      <c r="H785" s="12"/>
      <c r="I785" s="12">
        <f>31.5+31.5</f>
        <v>63</v>
      </c>
      <c r="J785" s="12"/>
      <c r="K785" s="12">
        <f t="shared" si="208"/>
        <v>7646</v>
      </c>
      <c r="M785" s="10">
        <v>4</v>
      </c>
      <c r="N785" s="30" t="s">
        <v>79</v>
      </c>
      <c r="O785" s="31">
        <f t="shared" si="214"/>
        <v>5945</v>
      </c>
      <c r="P785" s="32">
        <f>1878+596+38</f>
        <v>2512</v>
      </c>
      <c r="Q785" s="32"/>
      <c r="R785" s="32"/>
      <c r="S785" s="32">
        <f t="shared" si="209"/>
        <v>2512</v>
      </c>
      <c r="T785" s="12"/>
      <c r="U785" s="12"/>
      <c r="V785" s="12"/>
      <c r="W785" s="12">
        <f t="shared" si="210"/>
        <v>2512</v>
      </c>
      <c r="Y785" s="10">
        <v>4</v>
      </c>
      <c r="Z785" s="30" t="s">
        <v>79</v>
      </c>
      <c r="AA785" s="31">
        <f t="shared" si="215"/>
        <v>5827</v>
      </c>
      <c r="AB785" s="32">
        <f>626*20+596*30+458</f>
        <v>30858</v>
      </c>
      <c r="AC785" s="32">
        <v>-312</v>
      </c>
      <c r="AD785" s="32"/>
      <c r="AE785" s="32">
        <f t="shared" si="211"/>
        <v>30546</v>
      </c>
      <c r="AF785" s="12"/>
      <c r="AG785">
        <f>777+72</f>
        <v>849</v>
      </c>
      <c r="AH785" s="12"/>
      <c r="AI785" s="12">
        <f t="shared" si="212"/>
        <v>31395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213"/>
        <v>5993</v>
      </c>
      <c r="D786" s="32">
        <f>3756+57</f>
        <v>3813</v>
      </c>
      <c r="E786" s="32"/>
      <c r="F786" s="32"/>
      <c r="G786" s="32">
        <f t="shared" si="207"/>
        <v>3813</v>
      </c>
      <c r="H786" s="12"/>
      <c r="I786" s="12"/>
      <c r="J786" s="12"/>
      <c r="K786" s="12">
        <f t="shared" si="208"/>
        <v>3813</v>
      </c>
      <c r="M786" s="10">
        <v>5</v>
      </c>
      <c r="N786" s="30" t="s">
        <v>79</v>
      </c>
      <c r="O786" s="31">
        <f t="shared" si="214"/>
        <v>5946</v>
      </c>
      <c r="P786" s="32">
        <f>1878+28.5</f>
        <v>1906.5</v>
      </c>
      <c r="Q786" s="32"/>
      <c r="R786" s="32"/>
      <c r="S786" s="32">
        <f t="shared" si="209"/>
        <v>1906.5</v>
      </c>
      <c r="T786" s="12"/>
      <c r="U786" s="12"/>
      <c r="V786" s="12"/>
      <c r="W786" s="12">
        <f t="shared" si="210"/>
        <v>1906.5</v>
      </c>
      <c r="Y786" s="10">
        <v>5</v>
      </c>
      <c r="Z786" s="30" t="s">
        <v>79</v>
      </c>
      <c r="AA786" s="31">
        <f t="shared" si="215"/>
        <v>5828</v>
      </c>
      <c r="AB786" s="32">
        <f>1664</f>
        <v>1664</v>
      </c>
      <c r="AC786" s="32"/>
      <c r="AD786" s="32"/>
      <c r="AE786" s="32">
        <f t="shared" si="211"/>
        <v>1664</v>
      </c>
      <c r="AF786" s="12"/>
      <c r="AG786" s="12"/>
      <c r="AH786" s="12"/>
      <c r="AI786" s="12">
        <f t="shared" si="212"/>
        <v>1664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213"/>
        <v>5994</v>
      </c>
      <c r="D787" s="32">
        <f>626*2+19</f>
        <v>1271</v>
      </c>
      <c r="E787" s="32"/>
      <c r="F787" s="32"/>
      <c r="G787" s="32">
        <f t="shared" si="207"/>
        <v>1271</v>
      </c>
      <c r="H787" s="12"/>
      <c r="I787" s="12"/>
      <c r="J787" s="12"/>
      <c r="K787" s="12">
        <f t="shared" si="208"/>
        <v>1271</v>
      </c>
      <c r="M787" s="10">
        <v>6</v>
      </c>
      <c r="N787" s="30" t="s">
        <v>79</v>
      </c>
      <c r="O787" s="31">
        <f t="shared" si="214"/>
        <v>5947</v>
      </c>
      <c r="P787" s="32">
        <f>1252+19</f>
        <v>1271</v>
      </c>
      <c r="Q787" s="32"/>
      <c r="R787" s="32"/>
      <c r="S787" s="32">
        <f t="shared" si="209"/>
        <v>1271</v>
      </c>
      <c r="T787" s="12"/>
      <c r="U787" s="12"/>
      <c r="V787" s="10"/>
      <c r="W787" s="12">
        <f t="shared" si="210"/>
        <v>1271</v>
      </c>
      <c r="Y787" s="10">
        <v>6</v>
      </c>
      <c r="Z787" s="30"/>
      <c r="AA787" s="11" t="s">
        <v>28</v>
      </c>
      <c r="AB787" s="32"/>
      <c r="AC787" s="32"/>
      <c r="AD787" s="32"/>
      <c r="AE787" s="32">
        <f t="shared" si="211"/>
        <v>0</v>
      </c>
      <c r="AF787" s="12"/>
      <c r="AG787" s="12"/>
      <c r="AH787" s="10"/>
      <c r="AI787" s="12">
        <f t="shared" si="212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213"/>
        <v>5995</v>
      </c>
      <c r="D788" s="32">
        <f>1252+19</f>
        <v>1271</v>
      </c>
      <c r="E788" s="32"/>
      <c r="F788" s="32"/>
      <c r="G788" s="32">
        <f t="shared" si="207"/>
        <v>1271</v>
      </c>
      <c r="H788" s="12"/>
      <c r="I788" s="12"/>
      <c r="J788" s="12"/>
      <c r="K788" s="12">
        <f t="shared" si="208"/>
        <v>1271</v>
      </c>
      <c r="M788" s="10">
        <v>7</v>
      </c>
      <c r="N788" s="30" t="s">
        <v>79</v>
      </c>
      <c r="O788" s="31">
        <f t="shared" si="214"/>
        <v>5948</v>
      </c>
      <c r="P788" s="32">
        <f>626+596+19</f>
        <v>1241</v>
      </c>
      <c r="Q788" s="32"/>
      <c r="R788" s="32"/>
      <c r="S788" s="32">
        <f t="shared" si="209"/>
        <v>1241</v>
      </c>
      <c r="T788" s="12"/>
      <c r="U788" s="12"/>
      <c r="V788" s="12"/>
      <c r="W788" s="12">
        <f t="shared" si="210"/>
        <v>1241</v>
      </c>
      <c r="Y788" s="10">
        <v>7</v>
      </c>
      <c r="Z788" s="30"/>
      <c r="AA788" s="31"/>
      <c r="AB788" s="32"/>
      <c r="AC788" s="32"/>
      <c r="AD788" s="32"/>
      <c r="AE788" s="32">
        <f t="shared" si="211"/>
        <v>0</v>
      </c>
      <c r="AF788" s="12"/>
      <c r="AG788" s="58"/>
      <c r="AH788" s="12"/>
      <c r="AI788" s="12">
        <f t="shared" si="212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213"/>
        <v>5996</v>
      </c>
      <c r="D789" s="32">
        <f>5008+76</f>
        <v>5084</v>
      </c>
      <c r="E789" s="32"/>
      <c r="F789" s="32"/>
      <c r="G789" s="32">
        <f t="shared" si="207"/>
        <v>5084</v>
      </c>
      <c r="H789" s="12"/>
      <c r="I789" s="12"/>
      <c r="J789" s="12"/>
      <c r="K789" s="12">
        <f t="shared" si="208"/>
        <v>5084</v>
      </c>
      <c r="M789" s="10">
        <v>8</v>
      </c>
      <c r="N789" s="30" t="s">
        <v>79</v>
      </c>
      <c r="O789" s="31">
        <f t="shared" si="214"/>
        <v>5949</v>
      </c>
      <c r="P789" s="32">
        <f>626+596+19</f>
        <v>1241</v>
      </c>
      <c r="Q789" s="32"/>
      <c r="R789" s="32"/>
      <c r="S789" s="32">
        <f t="shared" si="209"/>
        <v>1241</v>
      </c>
      <c r="T789" s="12"/>
      <c r="U789" s="12"/>
      <c r="V789" s="12"/>
      <c r="W789" s="12">
        <f t="shared" si="210"/>
        <v>1241</v>
      </c>
      <c r="Y789" s="10">
        <v>8</v>
      </c>
      <c r="Z789" s="30"/>
      <c r="AA789" s="31"/>
      <c r="AB789" s="32"/>
      <c r="AC789" s="32"/>
      <c r="AE789" s="32">
        <f t="shared" si="211"/>
        <v>0</v>
      </c>
      <c r="AF789" s="12"/>
      <c r="AG789" s="12"/>
      <c r="AH789" s="12"/>
      <c r="AI789" s="12">
        <f t="shared" si="212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213"/>
        <v>5997</v>
      </c>
      <c r="D790" s="32">
        <f>1878+596+38</f>
        <v>2512</v>
      </c>
      <c r="E790" s="32"/>
      <c r="F790" s="32"/>
      <c r="G790" s="32">
        <f t="shared" si="207"/>
        <v>2512</v>
      </c>
      <c r="H790" s="12"/>
      <c r="I790" s="12"/>
      <c r="J790" s="12"/>
      <c r="K790" s="12">
        <f t="shared" si="208"/>
        <v>2512</v>
      </c>
      <c r="M790" s="10">
        <v>9</v>
      </c>
      <c r="N790" s="30" t="s">
        <v>79</v>
      </c>
      <c r="O790" s="31">
        <f t="shared" si="214"/>
        <v>5950</v>
      </c>
      <c r="P790" s="32">
        <f>1878+28.5</f>
        <v>1906.5</v>
      </c>
      <c r="Q790" s="32"/>
      <c r="R790" s="32"/>
      <c r="S790" s="32">
        <f t="shared" si="209"/>
        <v>1906.5</v>
      </c>
      <c r="T790" s="12"/>
      <c r="U790" s="12"/>
      <c r="V790" s="12"/>
      <c r="W790" s="12">
        <f t="shared" si="210"/>
        <v>1906.5</v>
      </c>
      <c r="Y790" s="10">
        <v>9</v>
      </c>
      <c r="Z790" s="30"/>
      <c r="AA790" s="31"/>
      <c r="AC790" s="32"/>
      <c r="AD790" s="32"/>
      <c r="AE790" s="32">
        <f t="shared" si="211"/>
        <v>0</v>
      </c>
      <c r="AF790" s="12"/>
      <c r="AH790" s="12"/>
      <c r="AI790" s="12">
        <f t="shared" si="212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213"/>
        <v>5998</v>
      </c>
      <c r="D791" s="32">
        <f>75120+1228+913+1788+852+1664+1603+1500</f>
        <v>84668</v>
      </c>
      <c r="E791" s="32"/>
      <c r="F791" s="32"/>
      <c r="G791" s="32">
        <f t="shared" si="207"/>
        <v>84668</v>
      </c>
      <c r="H791" s="12"/>
      <c r="I791" s="12"/>
      <c r="J791" s="12"/>
      <c r="K791" s="12">
        <f t="shared" si="208"/>
        <v>84668</v>
      </c>
      <c r="M791" s="10">
        <v>10</v>
      </c>
      <c r="N791" s="30" t="s">
        <v>79</v>
      </c>
      <c r="O791" s="31">
        <v>6001</v>
      </c>
      <c r="P791" s="32">
        <f>4382+66.5</f>
        <v>4448.5</v>
      </c>
      <c r="Q791" s="32"/>
      <c r="R791" s="32"/>
      <c r="S791" s="32">
        <f t="shared" si="209"/>
        <v>4448.5</v>
      </c>
      <c r="T791" s="12"/>
      <c r="U791" s="12"/>
      <c r="V791" s="12"/>
      <c r="W791" s="12">
        <f t="shared" si="210"/>
        <v>4448.5</v>
      </c>
      <c r="Y791" s="10">
        <v>10</v>
      </c>
      <c r="Z791" s="30"/>
      <c r="AA791" s="31"/>
      <c r="AB791" s="32"/>
      <c r="AC791" s="32"/>
      <c r="AD791" s="32"/>
      <c r="AE791" s="32">
        <f t="shared" si="211"/>
        <v>0</v>
      </c>
      <c r="AF791" s="12"/>
      <c r="AG791" s="12"/>
      <c r="AH791" s="12"/>
      <c r="AI791" s="12">
        <f t="shared" si="212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213"/>
        <v>5999</v>
      </c>
      <c r="D792" s="32">
        <f>2739</f>
        <v>2739</v>
      </c>
      <c r="E792" s="32"/>
      <c r="F792" s="32"/>
      <c r="G792" s="32">
        <f t="shared" si="207"/>
        <v>2739</v>
      </c>
      <c r="H792" s="12"/>
      <c r="I792" s="12"/>
      <c r="J792" s="12"/>
      <c r="K792" s="12">
        <f t="shared" si="208"/>
        <v>2739</v>
      </c>
      <c r="M792" s="10">
        <v>11</v>
      </c>
      <c r="N792" s="30" t="s">
        <v>79</v>
      </c>
      <c r="O792" s="31">
        <f t="shared" si="214"/>
        <v>6002</v>
      </c>
      <c r="P792" s="32">
        <f>3130+614+596+57</f>
        <v>4397</v>
      </c>
      <c r="Q792" s="32"/>
      <c r="R792" s="32"/>
      <c r="S792" s="32">
        <f t="shared" si="209"/>
        <v>4397</v>
      </c>
      <c r="T792" s="12"/>
      <c r="U792" s="12">
        <v>25</v>
      </c>
      <c r="V792" s="12"/>
      <c r="W792" s="12">
        <f t="shared" si="210"/>
        <v>4422</v>
      </c>
      <c r="Y792" s="10">
        <v>11</v>
      </c>
      <c r="Z792" s="30"/>
      <c r="AA792" s="31"/>
      <c r="AB792" s="32"/>
      <c r="AC792" s="32"/>
      <c r="AD792" s="32"/>
      <c r="AE792" s="32">
        <f t="shared" si="211"/>
        <v>0</v>
      </c>
      <c r="AF792" s="12"/>
      <c r="AG792" s="12"/>
      <c r="AH792" s="12"/>
      <c r="AI792" s="12">
        <f t="shared" si="212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213"/>
        <v>6000</v>
      </c>
      <c r="D793" s="32">
        <f>626+596</f>
        <v>1222</v>
      </c>
      <c r="E793" s="32"/>
      <c r="F793" s="32"/>
      <c r="G793" s="32">
        <f t="shared" si="207"/>
        <v>1222</v>
      </c>
      <c r="H793" s="12"/>
      <c r="I793" s="12"/>
      <c r="J793" s="10"/>
      <c r="K793" s="12">
        <f t="shared" si="208"/>
        <v>1222</v>
      </c>
      <c r="M793" s="10">
        <v>12</v>
      </c>
      <c r="N793" s="30" t="s">
        <v>79</v>
      </c>
      <c r="O793" s="31">
        <f t="shared" si="214"/>
        <v>6003</v>
      </c>
      <c r="P793" s="32">
        <f>7512+114</f>
        <v>7626</v>
      </c>
      <c r="Q793" s="32"/>
      <c r="R793" s="32"/>
      <c r="S793" s="32">
        <f t="shared" si="209"/>
        <v>7626</v>
      </c>
      <c r="T793" s="12"/>
      <c r="U793" s="12">
        <v>14</v>
      </c>
      <c r="V793" s="12"/>
      <c r="W793" s="12">
        <f t="shared" si="210"/>
        <v>7640</v>
      </c>
      <c r="Y793" s="10">
        <v>12</v>
      </c>
      <c r="Z793" s="30"/>
      <c r="AB793" s="32"/>
      <c r="AC793" s="32"/>
      <c r="AD793" s="32"/>
      <c r="AE793" s="32">
        <f t="shared" si="211"/>
        <v>0</v>
      </c>
      <c r="AF793" s="12"/>
      <c r="AG793" s="12"/>
      <c r="AH793" s="12"/>
      <c r="AI793" s="12">
        <f t="shared" si="212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/>
      <c r="C794" s="11" t="s">
        <v>28</v>
      </c>
      <c r="D794" s="32"/>
      <c r="E794" s="32"/>
      <c r="F794" s="32"/>
      <c r="G794" s="32">
        <f t="shared" si="207"/>
        <v>0</v>
      </c>
      <c r="H794" s="12"/>
      <c r="I794" s="12"/>
      <c r="J794" s="12"/>
      <c r="K794" s="12">
        <f t="shared" si="208"/>
        <v>0</v>
      </c>
      <c r="M794" s="10">
        <v>13</v>
      </c>
      <c r="N794" s="30" t="s">
        <v>79</v>
      </c>
      <c r="O794" s="31">
        <f t="shared" si="214"/>
        <v>6004</v>
      </c>
      <c r="P794" s="32">
        <f>6260+614</f>
        <v>6874</v>
      </c>
      <c r="Q794" s="32"/>
      <c r="R794" s="32"/>
      <c r="S794" s="32">
        <f t="shared" si="209"/>
        <v>6874</v>
      </c>
      <c r="T794" s="12"/>
      <c r="U794" s="12"/>
      <c r="V794" s="12"/>
      <c r="W794" s="12">
        <f t="shared" si="210"/>
        <v>6874</v>
      </c>
      <c r="Y794" s="10">
        <v>13</v>
      </c>
      <c r="Z794" s="30"/>
      <c r="AA794" s="31"/>
      <c r="AB794" s="32"/>
      <c r="AC794" s="32"/>
      <c r="AD794" s="32"/>
      <c r="AE794" s="32">
        <f t="shared" si="211"/>
        <v>0</v>
      </c>
      <c r="AF794" s="12"/>
      <c r="AG794" s="12"/>
      <c r="AH794" s="12"/>
      <c r="AI794" s="12">
        <f t="shared" si="212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/>
      <c r="C795" s="31"/>
      <c r="D795" s="32"/>
      <c r="E795" s="32"/>
      <c r="F795" s="32"/>
      <c r="G795" s="32">
        <f t="shared" si="207"/>
        <v>0</v>
      </c>
      <c r="H795" s="12"/>
      <c r="I795" s="12"/>
      <c r="J795" s="12"/>
      <c r="K795" s="12">
        <f t="shared" si="208"/>
        <v>0</v>
      </c>
      <c r="M795" s="10">
        <v>14</v>
      </c>
      <c r="N795" s="30" t="s">
        <v>79</v>
      </c>
      <c r="O795" s="31">
        <f t="shared" si="214"/>
        <v>6005</v>
      </c>
      <c r="P795" s="32">
        <f>7512+614+114</f>
        <v>8240</v>
      </c>
      <c r="Q795" s="32"/>
      <c r="R795" s="32"/>
      <c r="S795" s="32">
        <f t="shared" si="209"/>
        <v>8240</v>
      </c>
      <c r="T795" s="12"/>
      <c r="U795" s="12"/>
      <c r="V795" s="12"/>
      <c r="W795" s="12">
        <f t="shared" si="210"/>
        <v>8240</v>
      </c>
      <c r="Y795" s="10">
        <v>14</v>
      </c>
      <c r="Z795" s="30"/>
      <c r="AA795" s="31"/>
      <c r="AB795" s="32"/>
      <c r="AC795" s="32"/>
      <c r="AD795" s="32"/>
      <c r="AE795" s="32">
        <f t="shared" si="211"/>
        <v>0</v>
      </c>
      <c r="AF795" s="12"/>
      <c r="AG795" s="12"/>
      <c r="AH795" s="12"/>
      <c r="AI795" s="12">
        <f t="shared" si="212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/>
      <c r="C796" s="31"/>
      <c r="D796" s="32"/>
      <c r="E796" s="32"/>
      <c r="F796" s="32"/>
      <c r="G796" s="32">
        <f t="shared" si="207"/>
        <v>0</v>
      </c>
      <c r="H796" s="12"/>
      <c r="I796" s="12"/>
      <c r="J796" s="12"/>
      <c r="K796" s="12">
        <f t="shared" si="208"/>
        <v>0</v>
      </c>
      <c r="M796" s="10">
        <v>15</v>
      </c>
      <c r="N796" s="30" t="s">
        <v>79</v>
      </c>
      <c r="O796" s="31">
        <f t="shared" si="214"/>
        <v>6006</v>
      </c>
      <c r="P796" s="32">
        <f>1878+28.5</f>
        <v>1906.5</v>
      </c>
      <c r="Q796" s="32"/>
      <c r="R796" s="32"/>
      <c r="S796" s="32">
        <f t="shared" si="209"/>
        <v>1906.5</v>
      </c>
      <c r="T796" s="12"/>
      <c r="U796" s="12"/>
      <c r="V796" s="12"/>
      <c r="W796" s="12">
        <f t="shared" si="210"/>
        <v>1906.5</v>
      </c>
      <c r="Y796" s="10">
        <v>15</v>
      </c>
      <c r="Z796" s="30"/>
      <c r="AA796" s="31"/>
      <c r="AB796" s="32"/>
      <c r="AC796" s="32"/>
      <c r="AD796" s="32"/>
      <c r="AE796" s="32">
        <f t="shared" si="211"/>
        <v>0</v>
      </c>
      <c r="AF796" s="12"/>
      <c r="AG796" s="12"/>
      <c r="AH796" s="12"/>
      <c r="AI796" s="12">
        <f t="shared" si="212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/>
      <c r="C797" s="31"/>
      <c r="D797" s="32"/>
      <c r="E797" s="32"/>
      <c r="F797" s="32"/>
      <c r="G797" s="32">
        <f t="shared" si="207"/>
        <v>0</v>
      </c>
      <c r="H797" s="12"/>
      <c r="I797" s="12"/>
      <c r="J797" s="12"/>
      <c r="K797" s="12">
        <f t="shared" si="208"/>
        <v>0</v>
      </c>
      <c r="M797" s="10">
        <v>16</v>
      </c>
      <c r="N797" s="30" t="s">
        <v>79</v>
      </c>
      <c r="O797" s="31">
        <f t="shared" si="214"/>
        <v>6007</v>
      </c>
      <c r="P797" s="32">
        <f>10016+57</f>
        <v>10073</v>
      </c>
      <c r="Q797" s="32"/>
      <c r="R797" s="32"/>
      <c r="S797" s="32">
        <f t="shared" si="209"/>
        <v>10073</v>
      </c>
      <c r="T797" s="12"/>
      <c r="U797" s="12"/>
      <c r="V797" s="12"/>
      <c r="W797" s="12">
        <f t="shared" si="210"/>
        <v>10073</v>
      </c>
      <c r="Y797" s="10">
        <v>16</v>
      </c>
      <c r="Z797" s="30"/>
      <c r="AA797" s="31"/>
      <c r="AB797" s="32"/>
      <c r="AC797" s="32"/>
      <c r="AD797" s="32"/>
      <c r="AE797" s="32">
        <f t="shared" si="211"/>
        <v>0</v>
      </c>
      <c r="AF797" s="12"/>
      <c r="AG797" s="12"/>
      <c r="AH797" s="12"/>
      <c r="AI797" s="12">
        <f t="shared" si="212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/>
      <c r="C798" s="31"/>
      <c r="D798" s="32"/>
      <c r="E798" s="32"/>
      <c r="F798" s="32"/>
      <c r="G798" s="32">
        <f t="shared" si="207"/>
        <v>0</v>
      </c>
      <c r="H798" s="12"/>
      <c r="I798" s="12"/>
      <c r="J798" s="12"/>
      <c r="K798" s="12">
        <f t="shared" si="208"/>
        <v>0</v>
      </c>
      <c r="M798" s="10">
        <v>17</v>
      </c>
      <c r="N798" s="30" t="s">
        <v>79</v>
      </c>
      <c r="O798" s="31">
        <f t="shared" si="214"/>
        <v>6008</v>
      </c>
      <c r="P798" s="35">
        <f>11894</f>
        <v>11894</v>
      </c>
      <c r="Q798" s="32"/>
      <c r="R798" s="32"/>
      <c r="S798" s="32">
        <f t="shared" si="209"/>
        <v>11894</v>
      </c>
      <c r="T798" s="12"/>
      <c r="U798" s="12"/>
      <c r="V798" s="12"/>
      <c r="W798" s="12">
        <f t="shared" si="210"/>
        <v>11894</v>
      </c>
      <c r="Y798" s="10">
        <v>17</v>
      </c>
      <c r="Z798" s="30"/>
      <c r="AA798" s="31"/>
      <c r="AB798" s="35"/>
      <c r="AC798" s="32"/>
      <c r="AD798" s="32"/>
      <c r="AE798" s="32">
        <f t="shared" si="211"/>
        <v>0</v>
      </c>
      <c r="AF798" s="12"/>
      <c r="AG798" s="12"/>
      <c r="AH798" s="12"/>
      <c r="AI798" s="12">
        <f t="shared" si="212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31"/>
      <c r="D799" s="32"/>
      <c r="E799" s="32"/>
      <c r="F799" s="32"/>
      <c r="G799" s="32">
        <f t="shared" si="207"/>
        <v>0</v>
      </c>
      <c r="H799" s="12"/>
      <c r="I799" s="12"/>
      <c r="J799" s="12"/>
      <c r="K799" s="12">
        <f t="shared" si="208"/>
        <v>0</v>
      </c>
      <c r="M799" s="10">
        <v>18</v>
      </c>
      <c r="N799" s="30" t="s">
        <v>79</v>
      </c>
      <c r="O799" s="31">
        <f t="shared" si="214"/>
        <v>6009</v>
      </c>
      <c r="P799" s="32">
        <f>3756</f>
        <v>3756</v>
      </c>
      <c r="Q799" s="32"/>
      <c r="R799" s="32"/>
      <c r="S799" s="32">
        <f t="shared" si="209"/>
        <v>3756</v>
      </c>
      <c r="T799" s="12"/>
      <c r="U799" s="12"/>
      <c r="V799" s="12"/>
      <c r="W799" s="12">
        <f t="shared" si="210"/>
        <v>3756</v>
      </c>
      <c r="Y799" s="10">
        <v>18</v>
      </c>
      <c r="Z799" s="30"/>
      <c r="AA799" s="31"/>
      <c r="AB799" s="32"/>
      <c r="AC799" s="32"/>
      <c r="AD799" s="32"/>
      <c r="AE799" s="32">
        <f t="shared" si="211"/>
        <v>0</v>
      </c>
      <c r="AF799" s="12"/>
      <c r="AG799" s="12"/>
      <c r="AH799" s="12"/>
      <c r="AI799" s="12">
        <f t="shared" si="212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207"/>
        <v>0</v>
      </c>
      <c r="H800" s="12"/>
      <c r="I800" s="12"/>
      <c r="J800" s="12"/>
      <c r="K800" s="12">
        <f t="shared" si="208"/>
        <v>0</v>
      </c>
      <c r="M800" s="10">
        <v>19</v>
      </c>
      <c r="N800" s="30" t="s">
        <v>79</v>
      </c>
      <c r="O800" s="31">
        <f t="shared" si="214"/>
        <v>6010</v>
      </c>
      <c r="P800" s="32">
        <f>112680+11920+1832</f>
        <v>126432</v>
      </c>
      <c r="Q800" s="32">
        <v>-1872</v>
      </c>
      <c r="R800" s="32"/>
      <c r="S800" s="32">
        <f t="shared" si="209"/>
        <v>124560</v>
      </c>
      <c r="T800" s="12"/>
      <c r="U800" s="12">
        <f>9768+468</f>
        <v>10236</v>
      </c>
      <c r="V800" s="12">
        <v>-210</v>
      </c>
      <c r="W800" s="12">
        <f t="shared" si="210"/>
        <v>134586</v>
      </c>
      <c r="Y800" s="10">
        <v>19</v>
      </c>
      <c r="Z800" s="30"/>
      <c r="AA800" s="31"/>
      <c r="AB800" s="32"/>
      <c r="AC800" s="32"/>
      <c r="AD800" s="32"/>
      <c r="AE800" s="32">
        <f t="shared" si="211"/>
        <v>0</v>
      </c>
      <c r="AF800" s="12"/>
      <c r="AG800" s="12"/>
      <c r="AH800" s="12"/>
      <c r="AI800" s="12">
        <f t="shared" si="212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207"/>
        <v>0</v>
      </c>
      <c r="H801" s="12"/>
      <c r="I801" s="12"/>
      <c r="J801" s="12"/>
      <c r="K801" s="12">
        <f t="shared" si="208"/>
        <v>0</v>
      </c>
      <c r="M801" s="10">
        <v>20</v>
      </c>
      <c r="N801" s="30"/>
      <c r="O801" s="11" t="s">
        <v>28</v>
      </c>
      <c r="P801" s="32"/>
      <c r="Q801" s="32"/>
      <c r="R801" s="32"/>
      <c r="S801" s="32">
        <f t="shared" si="209"/>
        <v>0</v>
      </c>
      <c r="T801" s="12"/>
      <c r="U801" s="12"/>
      <c r="V801" s="12"/>
      <c r="W801" s="12">
        <f t="shared" si="210"/>
        <v>0</v>
      </c>
      <c r="Y801" s="10">
        <v>20</v>
      </c>
      <c r="Z801" s="30"/>
      <c r="AA801" s="31"/>
      <c r="AB801" s="32"/>
      <c r="AC801" s="32"/>
      <c r="AD801" s="32"/>
      <c r="AE801" s="32">
        <f t="shared" si="211"/>
        <v>0</v>
      </c>
      <c r="AF801" s="12"/>
      <c r="AG801" s="12"/>
      <c r="AH801" s="12"/>
      <c r="AI801" s="12">
        <f t="shared" si="212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207"/>
        <v>0</v>
      </c>
      <c r="H802" s="10"/>
      <c r="I802" s="10"/>
      <c r="J802" s="10"/>
      <c r="K802" s="12">
        <f t="shared" si="208"/>
        <v>0</v>
      </c>
      <c r="M802" s="10">
        <v>21</v>
      </c>
      <c r="N802" s="30"/>
      <c r="P802" s="46"/>
      <c r="Q802" s="32"/>
      <c r="R802" s="31"/>
      <c r="S802" s="32">
        <f t="shared" si="209"/>
        <v>0</v>
      </c>
      <c r="T802" s="10"/>
      <c r="U802" s="10"/>
      <c r="V802" s="10"/>
      <c r="W802" s="12">
        <f t="shared" si="210"/>
        <v>0</v>
      </c>
      <c r="Y802" s="10">
        <v>21</v>
      </c>
      <c r="Z802" s="30"/>
      <c r="AB802" s="46"/>
      <c r="AC802" s="31"/>
      <c r="AD802" s="31"/>
      <c r="AE802" s="32">
        <f t="shared" si="211"/>
        <v>0</v>
      </c>
      <c r="AF802" s="10"/>
      <c r="AG802" s="10"/>
      <c r="AH802" s="10"/>
      <c r="AI802" s="12">
        <f t="shared" si="212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207"/>
        <v>0</v>
      </c>
      <c r="H803" s="10"/>
      <c r="I803" s="10"/>
      <c r="J803" s="10"/>
      <c r="K803" s="12">
        <f t="shared" si="208"/>
        <v>0</v>
      </c>
      <c r="M803" s="10">
        <v>22</v>
      </c>
      <c r="N803" s="30"/>
      <c r="O803" s="31"/>
      <c r="P803" s="45"/>
      <c r="Q803" s="32"/>
      <c r="R803" s="31"/>
      <c r="S803" s="32">
        <f t="shared" si="209"/>
        <v>0</v>
      </c>
      <c r="T803" s="10"/>
      <c r="U803" s="10"/>
      <c r="V803" s="10"/>
      <c r="W803" s="12">
        <f t="shared" si="210"/>
        <v>0</v>
      </c>
      <c r="Y803" s="10">
        <v>22</v>
      </c>
      <c r="Z803" s="30"/>
      <c r="AA803" s="31"/>
      <c r="AB803" s="45"/>
      <c r="AC803" s="31"/>
      <c r="AD803" s="31"/>
      <c r="AE803" s="32">
        <f t="shared" si="211"/>
        <v>0</v>
      </c>
      <c r="AF803" s="10"/>
      <c r="AG803" s="10"/>
      <c r="AH803" s="10"/>
      <c r="AI803" s="12">
        <f t="shared" si="212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207"/>
        <v>0</v>
      </c>
      <c r="H804" s="10"/>
      <c r="I804" s="10"/>
      <c r="J804" s="12"/>
      <c r="K804" s="12">
        <f t="shared" si="208"/>
        <v>0</v>
      </c>
      <c r="M804" s="10">
        <v>23</v>
      </c>
      <c r="N804" s="30"/>
      <c r="O804" s="31"/>
      <c r="P804" s="47"/>
      <c r="Q804" s="32"/>
      <c r="S804" s="32">
        <f t="shared" si="209"/>
        <v>0</v>
      </c>
      <c r="T804" s="10"/>
      <c r="U804" s="10"/>
      <c r="V804" s="10"/>
      <c r="W804" s="12">
        <f t="shared" si="210"/>
        <v>0</v>
      </c>
      <c r="Y804" s="10">
        <v>23</v>
      </c>
      <c r="Z804" s="30"/>
      <c r="AA804" s="31"/>
      <c r="AB804" s="47"/>
      <c r="AC804" s="31"/>
      <c r="AE804" s="32">
        <f t="shared" si="211"/>
        <v>0</v>
      </c>
      <c r="AF804" s="10"/>
      <c r="AG804" s="10"/>
      <c r="AH804" s="10"/>
      <c r="AI804" s="12">
        <f t="shared" si="212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207"/>
        <v>0</v>
      </c>
      <c r="H805" s="10"/>
      <c r="I805" s="10"/>
      <c r="J805" s="10"/>
      <c r="K805" s="12">
        <f t="shared" si="208"/>
        <v>0</v>
      </c>
      <c r="M805" s="10">
        <v>24</v>
      </c>
      <c r="N805" s="30"/>
      <c r="O805" s="31"/>
      <c r="P805" s="47"/>
      <c r="Q805" s="32"/>
      <c r="R805" s="31"/>
      <c r="S805" s="32">
        <f t="shared" si="209"/>
        <v>0</v>
      </c>
      <c r="T805" s="10"/>
      <c r="U805" s="10"/>
      <c r="V805" s="10"/>
      <c r="W805" s="12">
        <f t="shared" si="210"/>
        <v>0</v>
      </c>
      <c r="Y805" s="10">
        <v>24</v>
      </c>
      <c r="Z805" s="30"/>
      <c r="AA805" s="31"/>
      <c r="AB805" s="47"/>
      <c r="AC805" s="31"/>
      <c r="AD805" s="31"/>
      <c r="AE805" s="32">
        <f t="shared" si="211"/>
        <v>0</v>
      </c>
      <c r="AF805" s="10"/>
      <c r="AG805" s="10"/>
      <c r="AH805" s="10"/>
      <c r="AI805" s="12">
        <f t="shared" si="212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C806" s="31"/>
      <c r="D806" s="32"/>
      <c r="E806" s="32"/>
      <c r="F806" s="32"/>
      <c r="G806" s="32">
        <f t="shared" si="207"/>
        <v>0</v>
      </c>
      <c r="H806" s="10"/>
      <c r="I806" s="10"/>
      <c r="J806" s="10"/>
      <c r="K806" s="12">
        <f t="shared" si="208"/>
        <v>0</v>
      </c>
      <c r="M806" s="10">
        <v>25</v>
      </c>
      <c r="N806" s="30"/>
      <c r="O806" s="31"/>
      <c r="P806" s="47"/>
      <c r="Q806" s="32"/>
      <c r="R806" s="31"/>
      <c r="S806" s="32">
        <f t="shared" si="209"/>
        <v>0</v>
      </c>
      <c r="T806" s="10"/>
      <c r="U806" s="10"/>
      <c r="V806" s="10"/>
      <c r="W806" s="12">
        <f t="shared" si="210"/>
        <v>0</v>
      </c>
      <c r="Y806" s="10">
        <v>25</v>
      </c>
      <c r="Z806" s="30"/>
      <c r="AA806" s="31"/>
      <c r="AB806" s="47"/>
      <c r="AC806" s="31"/>
      <c r="AD806" s="31"/>
      <c r="AE806" s="32">
        <f t="shared" si="211"/>
        <v>0</v>
      </c>
      <c r="AF806" s="10"/>
      <c r="AG806" s="10"/>
      <c r="AH806" s="10"/>
      <c r="AI806" s="12">
        <f t="shared" si="212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207"/>
        <v>0</v>
      </c>
      <c r="H807" s="10"/>
      <c r="I807" s="10"/>
      <c r="J807" s="10"/>
      <c r="K807" s="12">
        <f t="shared" si="208"/>
        <v>0</v>
      </c>
      <c r="M807" s="10">
        <v>26</v>
      </c>
      <c r="N807" s="30"/>
      <c r="O807" s="31"/>
      <c r="P807" s="47"/>
      <c r="Q807" s="32"/>
      <c r="R807" s="31"/>
      <c r="S807" s="32">
        <f t="shared" si="209"/>
        <v>0</v>
      </c>
      <c r="T807" s="10"/>
      <c r="U807" s="10"/>
      <c r="V807" s="10"/>
      <c r="W807" s="12">
        <f t="shared" si="210"/>
        <v>0</v>
      </c>
      <c r="Y807" s="10">
        <v>26</v>
      </c>
      <c r="Z807" s="30"/>
      <c r="AB807" s="47"/>
      <c r="AC807" s="31"/>
      <c r="AD807" s="31"/>
      <c r="AE807" s="32">
        <f t="shared" si="211"/>
        <v>0</v>
      </c>
      <c r="AF807" s="10"/>
      <c r="AG807" s="10"/>
      <c r="AH807" s="10"/>
      <c r="AI807" s="12">
        <f t="shared" si="212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207"/>
        <v>0</v>
      </c>
      <c r="H808" s="10"/>
      <c r="I808" s="10"/>
      <c r="J808" s="10"/>
      <c r="K808" s="12">
        <f t="shared" si="208"/>
        <v>0</v>
      </c>
      <c r="M808" s="10">
        <v>27</v>
      </c>
      <c r="N808" s="30"/>
      <c r="O808" s="31"/>
      <c r="P808" s="47"/>
      <c r="Q808" s="31"/>
      <c r="R808" s="31"/>
      <c r="S808" s="32">
        <f t="shared" si="209"/>
        <v>0</v>
      </c>
      <c r="T808" s="10"/>
      <c r="U808" s="10"/>
      <c r="V808" s="10"/>
      <c r="W808" s="12">
        <f t="shared" si="210"/>
        <v>0</v>
      </c>
      <c r="Y808" s="10">
        <v>27</v>
      </c>
      <c r="Z808" s="30"/>
      <c r="AA808" s="31"/>
      <c r="AB808" s="47"/>
      <c r="AC808" s="31"/>
      <c r="AD808" s="31"/>
      <c r="AE808" s="32">
        <f t="shared" si="211"/>
        <v>0</v>
      </c>
      <c r="AF808" s="10"/>
      <c r="AG808" s="10"/>
      <c r="AH808" s="10"/>
      <c r="AI808" s="12">
        <f t="shared" si="212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207"/>
        <v>0</v>
      </c>
      <c r="H809" s="10"/>
      <c r="I809" s="10"/>
      <c r="J809" s="10"/>
      <c r="K809" s="12">
        <f t="shared" si="208"/>
        <v>0</v>
      </c>
      <c r="M809" s="10">
        <v>28</v>
      </c>
      <c r="N809" s="30"/>
      <c r="O809" s="31"/>
      <c r="P809" s="47"/>
      <c r="Q809" s="31"/>
      <c r="R809" s="31"/>
      <c r="S809" s="32">
        <f t="shared" si="209"/>
        <v>0</v>
      </c>
      <c r="T809" s="10"/>
      <c r="U809" s="10"/>
      <c r="V809" s="10"/>
      <c r="W809" s="12">
        <f t="shared" si="210"/>
        <v>0</v>
      </c>
      <c r="Y809" s="10">
        <v>28</v>
      </c>
      <c r="Z809" s="30"/>
      <c r="AA809" s="31"/>
      <c r="AB809" s="47"/>
      <c r="AC809" s="31"/>
      <c r="AD809" s="31"/>
      <c r="AE809" s="32">
        <f t="shared" si="211"/>
        <v>0</v>
      </c>
      <c r="AF809" s="10"/>
      <c r="AG809" s="10"/>
      <c r="AH809" s="10"/>
      <c r="AI809" s="12">
        <f t="shared" si="212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207"/>
        <v>0</v>
      </c>
      <c r="H810" s="10"/>
      <c r="I810" s="10"/>
      <c r="J810" s="10"/>
      <c r="K810" s="12">
        <f t="shared" si="208"/>
        <v>0</v>
      </c>
      <c r="M810" s="10">
        <v>29</v>
      </c>
      <c r="N810" s="30"/>
      <c r="O810" s="31"/>
      <c r="P810" s="47"/>
      <c r="Q810" s="31"/>
      <c r="R810" s="31"/>
      <c r="S810" s="32">
        <f t="shared" si="209"/>
        <v>0</v>
      </c>
      <c r="T810" s="10"/>
      <c r="U810" s="10"/>
      <c r="V810" s="10"/>
      <c r="W810" s="12">
        <f t="shared" si="210"/>
        <v>0</v>
      </c>
      <c r="Y810" s="10">
        <v>29</v>
      </c>
      <c r="Z810" s="30"/>
      <c r="AA810" s="31"/>
      <c r="AB810" s="47"/>
      <c r="AC810" s="31"/>
      <c r="AD810" s="31"/>
      <c r="AE810" s="32">
        <f t="shared" si="211"/>
        <v>0</v>
      </c>
      <c r="AF810" s="10"/>
      <c r="AG810" s="10"/>
      <c r="AH810" s="10"/>
      <c r="AI810" s="12">
        <f t="shared" si="212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31"/>
      <c r="D811" s="32"/>
      <c r="E811" s="32"/>
      <c r="F811" s="32"/>
      <c r="G811" s="32">
        <f t="shared" si="207"/>
        <v>0</v>
      </c>
      <c r="H811" s="10"/>
      <c r="I811" s="10"/>
      <c r="J811" s="10"/>
      <c r="K811" s="12">
        <f t="shared" si="208"/>
        <v>0</v>
      </c>
      <c r="M811" s="10">
        <v>30</v>
      </c>
      <c r="N811" s="30"/>
      <c r="O811" s="31"/>
      <c r="P811" s="47"/>
      <c r="Q811" s="31"/>
      <c r="R811" s="31"/>
      <c r="S811" s="32">
        <f t="shared" si="209"/>
        <v>0</v>
      </c>
      <c r="T811" s="10"/>
      <c r="U811" s="10"/>
      <c r="V811" s="10"/>
      <c r="W811" s="12">
        <f t="shared" si="210"/>
        <v>0</v>
      </c>
      <c r="Y811" s="10">
        <v>30</v>
      </c>
      <c r="Z811" s="30"/>
      <c r="AA811" s="31"/>
      <c r="AB811" s="47"/>
      <c r="AC811" s="31"/>
      <c r="AD811" s="31"/>
      <c r="AE811" s="32">
        <f t="shared" si="211"/>
        <v>0</v>
      </c>
      <c r="AF811" s="10"/>
      <c r="AG811" s="10"/>
      <c r="AH811" s="10"/>
      <c r="AI811" s="12">
        <f t="shared" si="212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31"/>
      <c r="D812" s="32"/>
      <c r="E812" s="32"/>
      <c r="F812" s="32"/>
      <c r="G812" s="32">
        <f t="shared" si="207"/>
        <v>0</v>
      </c>
      <c r="H812" s="10"/>
      <c r="I812" s="10"/>
      <c r="J812" s="10"/>
      <c r="K812" s="12">
        <f t="shared" si="208"/>
        <v>0</v>
      </c>
      <c r="M812" s="10">
        <v>31</v>
      </c>
      <c r="N812" s="30"/>
      <c r="O812" s="31"/>
      <c r="P812" s="47"/>
      <c r="Q812" s="31"/>
      <c r="R812" s="31"/>
      <c r="S812" s="32">
        <f t="shared" si="209"/>
        <v>0</v>
      </c>
      <c r="T812" s="10"/>
      <c r="U812" s="10"/>
      <c r="V812" s="10"/>
      <c r="W812" s="12">
        <f t="shared" si="210"/>
        <v>0</v>
      </c>
      <c r="Y812" s="10">
        <v>31</v>
      </c>
      <c r="Z812" s="30"/>
      <c r="AA812" s="31"/>
      <c r="AB812" s="47"/>
      <c r="AC812" s="31"/>
      <c r="AD812" s="31"/>
      <c r="AE812" s="32">
        <f t="shared" si="211"/>
        <v>0</v>
      </c>
      <c r="AF812" s="10"/>
      <c r="AG812" s="10"/>
      <c r="AH812" s="10"/>
      <c r="AI812" s="12">
        <f t="shared" si="212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D813" s="32"/>
      <c r="E813" s="32"/>
      <c r="F813" s="32"/>
      <c r="G813" s="32">
        <f t="shared" si="207"/>
        <v>0</v>
      </c>
      <c r="H813" s="10"/>
      <c r="I813" s="10"/>
      <c r="J813" s="10"/>
      <c r="K813" s="12">
        <f t="shared" si="208"/>
        <v>0</v>
      </c>
      <c r="M813" s="10">
        <v>32</v>
      </c>
      <c r="N813" s="30"/>
      <c r="O813" s="31"/>
      <c r="P813" s="47"/>
      <c r="Q813" s="31"/>
      <c r="R813" s="31"/>
      <c r="S813" s="32">
        <f t="shared" si="209"/>
        <v>0</v>
      </c>
      <c r="T813" s="10"/>
      <c r="U813" s="10"/>
      <c r="V813" s="10"/>
      <c r="W813" s="12">
        <f t="shared" si="210"/>
        <v>0</v>
      </c>
      <c r="Y813" s="10">
        <v>32</v>
      </c>
      <c r="Z813" s="30"/>
      <c r="AA813" s="31"/>
      <c r="AB813" s="47"/>
      <c r="AC813" s="31"/>
      <c r="AD813" s="31"/>
      <c r="AE813" s="32">
        <f t="shared" si="211"/>
        <v>0</v>
      </c>
      <c r="AF813" s="10"/>
      <c r="AG813" s="10"/>
      <c r="AH813" s="10"/>
      <c r="AI813" s="12">
        <f t="shared" si="212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31"/>
      <c r="D814" s="32"/>
      <c r="E814" s="32"/>
      <c r="F814" s="32"/>
      <c r="G814" s="32">
        <f t="shared" si="207"/>
        <v>0</v>
      </c>
      <c r="H814" s="10"/>
      <c r="I814" s="10"/>
      <c r="J814" s="10"/>
      <c r="K814" s="12">
        <f t="shared" si="208"/>
        <v>0</v>
      </c>
      <c r="M814" s="10">
        <v>33</v>
      </c>
      <c r="N814" s="30"/>
      <c r="O814" s="31"/>
      <c r="P814" s="47"/>
      <c r="Q814" s="31"/>
      <c r="R814" s="31"/>
      <c r="S814" s="32">
        <f t="shared" si="209"/>
        <v>0</v>
      </c>
      <c r="T814" s="10"/>
      <c r="U814" s="10"/>
      <c r="V814" s="10"/>
      <c r="W814" s="12">
        <f t="shared" si="210"/>
        <v>0</v>
      </c>
      <c r="Y814" s="10">
        <v>33</v>
      </c>
      <c r="Z814" s="30"/>
      <c r="AA814" s="31"/>
      <c r="AB814" s="47"/>
      <c r="AC814" s="31"/>
      <c r="AD814" s="31"/>
      <c r="AE814" s="32">
        <f t="shared" si="211"/>
        <v>0</v>
      </c>
      <c r="AF814" s="10"/>
      <c r="AG814" s="10"/>
      <c r="AH814" s="10"/>
      <c r="AI814" s="12">
        <f t="shared" si="212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31"/>
      <c r="D815" s="32"/>
      <c r="E815" s="32"/>
      <c r="F815" s="32"/>
      <c r="G815" s="32">
        <f t="shared" si="207"/>
        <v>0</v>
      </c>
      <c r="H815" s="10"/>
      <c r="I815" s="10"/>
      <c r="J815" s="10"/>
      <c r="K815" s="12">
        <f t="shared" si="208"/>
        <v>0</v>
      </c>
      <c r="M815" s="10">
        <v>34</v>
      </c>
      <c r="N815" s="30"/>
      <c r="O815" s="31"/>
      <c r="P815" s="47"/>
      <c r="Q815" s="31"/>
      <c r="R815" s="31"/>
      <c r="S815" s="32">
        <f t="shared" si="209"/>
        <v>0</v>
      </c>
      <c r="T815" s="10"/>
      <c r="U815" s="10"/>
      <c r="V815" s="10"/>
      <c r="W815" s="12">
        <f t="shared" si="210"/>
        <v>0</v>
      </c>
      <c r="Y815" s="10">
        <v>34</v>
      </c>
      <c r="Z815" s="30"/>
      <c r="AA815" s="31"/>
      <c r="AB815" s="47"/>
      <c r="AC815" s="31"/>
      <c r="AD815" s="31"/>
      <c r="AE815" s="32">
        <f t="shared" si="211"/>
        <v>0</v>
      </c>
      <c r="AF815" s="10"/>
      <c r="AG815" s="10"/>
      <c r="AH815" s="10"/>
      <c r="AI815" s="12">
        <f t="shared" si="212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3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209"/>
        <v>0</v>
      </c>
      <c r="T816" s="10"/>
      <c r="U816" s="10"/>
      <c r="V816" s="10"/>
      <c r="W816" s="12">
        <f t="shared" si="210"/>
        <v>0</v>
      </c>
      <c r="Y816" s="10">
        <v>35</v>
      </c>
      <c r="Z816" s="30"/>
      <c r="AA816" s="31"/>
      <c r="AB816" s="47"/>
      <c r="AC816" s="31"/>
      <c r="AD816" s="31"/>
      <c r="AE816" s="32">
        <f t="shared" si="211"/>
        <v>0</v>
      </c>
      <c r="AF816" s="10"/>
      <c r="AG816" s="10"/>
      <c r="AH816" s="10"/>
      <c r="AI816" s="12">
        <f t="shared" si="212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3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209"/>
        <v>0</v>
      </c>
      <c r="T817" s="10"/>
      <c r="U817" s="10"/>
      <c r="V817" s="10"/>
      <c r="W817" s="12">
        <f t="shared" si="210"/>
        <v>0</v>
      </c>
      <c r="Y817" s="10">
        <v>36</v>
      </c>
      <c r="Z817" s="30"/>
      <c r="AA817" s="31"/>
      <c r="AB817" s="47"/>
      <c r="AC817" s="31"/>
      <c r="AD817" s="31"/>
      <c r="AE817" s="32">
        <f t="shared" si="211"/>
        <v>0</v>
      </c>
      <c r="AF817" s="10"/>
      <c r="AG817" s="10"/>
      <c r="AH817" s="10"/>
      <c r="AI817" s="12">
        <f t="shared" si="212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3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209"/>
        <v>0</v>
      </c>
      <c r="T818" s="10"/>
      <c r="U818" s="10"/>
      <c r="V818" s="10"/>
      <c r="W818" s="12">
        <f t="shared" si="210"/>
        <v>0</v>
      </c>
      <c r="Y818" s="10">
        <v>37</v>
      </c>
      <c r="Z818" s="30"/>
      <c r="AA818" s="31"/>
      <c r="AB818" s="47"/>
      <c r="AC818" s="31"/>
      <c r="AD818" s="31"/>
      <c r="AE818" s="32">
        <f t="shared" si="211"/>
        <v>0</v>
      </c>
      <c r="AF818" s="10"/>
      <c r="AG818" s="10"/>
      <c r="AH818" s="10"/>
      <c r="AI818" s="12">
        <f t="shared" si="212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209"/>
        <v>0</v>
      </c>
      <c r="T819" s="10"/>
      <c r="U819" s="10"/>
      <c r="V819" s="10"/>
      <c r="W819" s="12">
        <f t="shared" si="210"/>
        <v>0</v>
      </c>
      <c r="Y819" s="10">
        <v>38</v>
      </c>
      <c r="Z819" s="30"/>
      <c r="AA819" s="31"/>
      <c r="AB819" s="47"/>
      <c r="AC819" s="31"/>
      <c r="AD819" s="31"/>
      <c r="AE819" s="32">
        <f t="shared" si="211"/>
        <v>0</v>
      </c>
      <c r="AF819" s="10"/>
      <c r="AG819" s="10"/>
      <c r="AH819" s="10"/>
      <c r="AI819" s="12">
        <f t="shared" si="212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209"/>
        <v>0</v>
      </c>
      <c r="T820" s="10"/>
      <c r="U820" s="10"/>
      <c r="V820" s="10"/>
      <c r="W820" s="12">
        <f t="shared" si="210"/>
        <v>0</v>
      </c>
      <c r="Y820" s="10">
        <v>39</v>
      </c>
      <c r="Z820" s="30"/>
      <c r="AA820" s="31"/>
      <c r="AB820" s="47"/>
      <c r="AC820" s="31"/>
      <c r="AD820" s="31"/>
      <c r="AE820" s="32">
        <f t="shared" si="211"/>
        <v>0</v>
      </c>
      <c r="AF820" s="10"/>
      <c r="AG820" s="10"/>
      <c r="AH820" s="10"/>
      <c r="AI820" s="12">
        <f t="shared" si="212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10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212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216">SUM(D822:E822)</f>
        <v>0</v>
      </c>
      <c r="H822" s="10"/>
      <c r="I822" s="10"/>
      <c r="J822" s="10"/>
      <c r="K822" s="12">
        <f t="shared" ref="K822" si="217">SUM(G822:J822)</f>
        <v>0</v>
      </c>
      <c r="M822" s="10"/>
      <c r="N822" s="30"/>
      <c r="O822" s="31"/>
      <c r="P822" s="47"/>
      <c r="Q822" s="31"/>
      <c r="R822" s="31"/>
      <c r="S822" s="32">
        <f t="shared" ref="S822" si="218">SUM(P822:Q822)</f>
        <v>0</v>
      </c>
      <c r="T822" s="10"/>
      <c r="U822" s="10"/>
      <c r="V822" s="10"/>
      <c r="W822" s="12">
        <f t="shared" si="210"/>
        <v>0</v>
      </c>
      <c r="Y822" s="10"/>
      <c r="Z822" s="30"/>
      <c r="AA822" s="31"/>
      <c r="AB822" s="47"/>
      <c r="AC822" s="31"/>
      <c r="AD822" s="31"/>
      <c r="AE822" s="32">
        <f t="shared" ref="AE822" si="219">SUM(AB822:AC822)</f>
        <v>0</v>
      </c>
      <c r="AF822" s="10"/>
      <c r="AG822" s="10"/>
      <c r="AH822" s="10"/>
      <c r="AI822" s="12">
        <f t="shared" si="212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10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212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240372</v>
      </c>
      <c r="E825" s="38">
        <f t="shared" ref="E825:F825" si="220">SUM(E782:E822)</f>
        <v>-1872</v>
      </c>
      <c r="F825" s="38">
        <f t="shared" si="220"/>
        <v>0</v>
      </c>
      <c r="G825" s="38">
        <f>SUM(G782:G824)</f>
        <v>238500</v>
      </c>
      <c r="H825" s="4"/>
      <c r="I825" s="39">
        <f>SUM(I782:I824)</f>
        <v>219</v>
      </c>
      <c r="J825" s="39">
        <f>SUM(J782:J824)</f>
        <v>-59621</v>
      </c>
      <c r="K825" s="40">
        <f>SUM(K782:K824)</f>
        <v>179098</v>
      </c>
      <c r="N825" s="57"/>
      <c r="O825" s="57"/>
      <c r="P825" s="38">
        <f>SUM(P782:P824)</f>
        <v>203299.5</v>
      </c>
      <c r="Q825" s="38">
        <f>SUM(Q782:Q806)</f>
        <v>-1872</v>
      </c>
      <c r="R825" s="38">
        <f>SUM(R782:R806)</f>
        <v>0</v>
      </c>
      <c r="S825" s="38">
        <f>SUM(S782:S824)</f>
        <v>201427.5</v>
      </c>
      <c r="T825" s="4"/>
      <c r="U825" s="41">
        <f>SUM(U782:U824)</f>
        <v>10279.5</v>
      </c>
      <c r="V825" s="41">
        <f>SUM(V782:V806)</f>
        <v>-210</v>
      </c>
      <c r="W825" s="42">
        <f>SUM(W782:W824)</f>
        <v>211497</v>
      </c>
      <c r="Z825" s="57"/>
      <c r="AA825" s="57"/>
      <c r="AB825" s="38">
        <f>SUM(AB782:AB824)</f>
        <v>459634</v>
      </c>
      <c r="AC825" s="38">
        <f>SUM(AC782:AC806)</f>
        <v>-3048</v>
      </c>
      <c r="AD825" s="38">
        <f>SUM(AD782:AD806)</f>
        <v>0</v>
      </c>
      <c r="AE825" s="38">
        <f>SUM(AE782:AE824)</f>
        <v>456586</v>
      </c>
      <c r="AF825" s="4"/>
      <c r="AG825" s="41">
        <f>SUM(AG782:AG824)</f>
        <v>30018</v>
      </c>
      <c r="AH825" s="41">
        <f>SUM(AH782:AH806)</f>
        <v>0</v>
      </c>
      <c r="AI825" s="42">
        <f>SUM(AI782:AI824)</f>
        <v>486604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52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52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52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82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82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82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16" t="s">
        <v>18</v>
      </c>
      <c r="E835" s="116"/>
      <c r="F835" s="103"/>
      <c r="G835" s="27"/>
      <c r="I835" s="114" t="s">
        <v>19</v>
      </c>
      <c r="J835" s="115"/>
      <c r="K835" s="112" t="s">
        <v>20</v>
      </c>
      <c r="N835" s="25"/>
      <c r="O835" s="26"/>
      <c r="P835" s="116" t="s">
        <v>18</v>
      </c>
      <c r="Q835" s="116"/>
      <c r="R835" s="103"/>
      <c r="S835" s="27"/>
      <c r="U835" s="114" t="s">
        <v>19</v>
      </c>
      <c r="V835" s="115"/>
      <c r="W835" s="112" t="s">
        <v>20</v>
      </c>
      <c r="Z835" s="25"/>
      <c r="AA835" s="26"/>
      <c r="AB835" s="116" t="s">
        <v>18</v>
      </c>
      <c r="AC835" s="116"/>
      <c r="AD835" s="103"/>
      <c r="AE835" s="27"/>
      <c r="AG835" s="114" t="s">
        <v>19</v>
      </c>
      <c r="AH835" s="115"/>
      <c r="AI835" s="112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8" t="s">
        <v>24</v>
      </c>
      <c r="F836" s="80" t="s">
        <v>36</v>
      </c>
      <c r="G836" s="80" t="s">
        <v>25</v>
      </c>
      <c r="I836" s="29" t="s">
        <v>26</v>
      </c>
      <c r="J836" s="29" t="s">
        <v>27</v>
      </c>
      <c r="K836" s="113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36</v>
      </c>
      <c r="S836" s="80" t="s">
        <v>25</v>
      </c>
      <c r="U836" s="29" t="s">
        <v>26</v>
      </c>
      <c r="V836" s="29" t="s">
        <v>27</v>
      </c>
      <c r="W836" s="113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36</v>
      </c>
      <c r="AE836" s="80" t="s">
        <v>25</v>
      </c>
      <c r="AG836" s="29" t="s">
        <v>26</v>
      </c>
      <c r="AH836" s="29" t="s">
        <v>27</v>
      </c>
      <c r="AI836" s="113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83</v>
      </c>
      <c r="C837" s="31">
        <v>6101</v>
      </c>
      <c r="D837" s="32">
        <f>2504+38</f>
        <v>2542</v>
      </c>
      <c r="E837" s="32"/>
      <c r="F837" s="32"/>
      <c r="G837" s="32">
        <f t="shared" ref="G837:G870" si="221">SUM(D837:E837)</f>
        <v>2542</v>
      </c>
      <c r="H837" s="12"/>
      <c r="I837" s="12"/>
      <c r="J837" s="12"/>
      <c r="K837" s="12">
        <f t="shared" ref="K837:K870" si="222">SUM(G837:J837)</f>
        <v>2542</v>
      </c>
      <c r="M837" s="10">
        <v>1</v>
      </c>
      <c r="N837" s="30" t="s">
        <v>83</v>
      </c>
      <c r="O837" s="31">
        <v>6011</v>
      </c>
      <c r="P837" s="32">
        <f>626+9.5*11</f>
        <v>730.5</v>
      </c>
      <c r="Q837" s="32"/>
      <c r="R837" s="32"/>
      <c r="S837" s="32">
        <f>SUM(P837:Q837)</f>
        <v>730.5</v>
      </c>
      <c r="T837" s="12"/>
      <c r="U837" s="12"/>
      <c r="V837" s="12"/>
      <c r="W837" s="12">
        <f>SUM(S837:V837)</f>
        <v>730.5</v>
      </c>
      <c r="Y837" s="10">
        <v>1</v>
      </c>
      <c r="Z837" s="30" t="s">
        <v>83</v>
      </c>
      <c r="AA837" s="31">
        <v>5829</v>
      </c>
      <c r="AB837" s="32">
        <f>93900+2980+1664+500+650</f>
        <v>99694</v>
      </c>
      <c r="AC837" s="32"/>
      <c r="AD837" s="32"/>
      <c r="AE837" s="32">
        <f>SUM(AB837:AC837)</f>
        <v>99694</v>
      </c>
      <c r="AF837" s="12"/>
      <c r="AG837" s="12">
        <f>240+13098</f>
        <v>13338</v>
      </c>
      <c r="AH837" s="12"/>
      <c r="AI837" s="12">
        <f>SUM(AE837:AH837)</f>
        <v>113032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83</v>
      </c>
      <c r="C838" s="31">
        <f>C837+1</f>
        <v>6102</v>
      </c>
      <c r="D838" s="32">
        <f>6886+1192+123</f>
        <v>8201</v>
      </c>
      <c r="E838" s="32"/>
      <c r="F838" s="32"/>
      <c r="G838" s="32">
        <f t="shared" si="221"/>
        <v>8201</v>
      </c>
      <c r="H838" s="12"/>
      <c r="I838" s="12"/>
      <c r="J838" s="12"/>
      <c r="K838" s="12">
        <f t="shared" si="222"/>
        <v>8201</v>
      </c>
      <c r="M838" s="10">
        <v>2</v>
      </c>
      <c r="N838" s="30" t="s">
        <v>83</v>
      </c>
      <c r="O838" s="31">
        <f>O837+1</f>
        <v>6012</v>
      </c>
      <c r="P838" s="32">
        <f>1252+19</f>
        <v>1271</v>
      </c>
      <c r="Q838" s="32"/>
      <c r="R838" s="32"/>
      <c r="S838" s="32">
        <f t="shared" ref="S838:S875" si="223">SUM(P838:Q838)</f>
        <v>1271</v>
      </c>
      <c r="T838" s="12"/>
      <c r="U838" s="12"/>
      <c r="V838" s="12"/>
      <c r="W838" s="12">
        <f t="shared" ref="W838:W878" si="224">SUM(S838:V838)</f>
        <v>1271</v>
      </c>
      <c r="Y838" s="10">
        <v>2</v>
      </c>
      <c r="Z838" s="30" t="s">
        <v>83</v>
      </c>
      <c r="AA838" s="31">
        <f>AA837+1</f>
        <v>5830</v>
      </c>
      <c r="AB838" s="32">
        <f>18780+2010+1664+687</f>
        <v>23141</v>
      </c>
      <c r="AC838" s="32"/>
      <c r="AD838" s="32"/>
      <c r="AE838" s="32">
        <f t="shared" ref="AE838:AE875" si="225">SUM(AB838:AC838)</f>
        <v>23141</v>
      </c>
      <c r="AF838" s="12"/>
      <c r="AG838" s="12"/>
      <c r="AH838" s="12"/>
      <c r="AI838" s="12">
        <f t="shared" ref="AI838:AI878" si="226">SUM(AE838:AH838)</f>
        <v>23141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83</v>
      </c>
      <c r="C839" s="31">
        <f t="shared" ref="C839:C850" si="227">C838+1</f>
        <v>6103</v>
      </c>
      <c r="D839" s="33">
        <f>7512+114</f>
        <v>7626</v>
      </c>
      <c r="E839" s="33"/>
      <c r="F839" s="33"/>
      <c r="G839" s="33">
        <f t="shared" si="221"/>
        <v>7626</v>
      </c>
      <c r="H839" s="34"/>
      <c r="I839" s="34"/>
      <c r="J839" s="34"/>
      <c r="K839" s="34">
        <f t="shared" si="222"/>
        <v>7626</v>
      </c>
      <c r="M839" s="10">
        <v>3</v>
      </c>
      <c r="N839" s="30" t="s">
        <v>83</v>
      </c>
      <c r="O839" s="31">
        <f t="shared" ref="O839:O843" si="228">O838+1</f>
        <v>6013</v>
      </c>
      <c r="P839" s="32">
        <f>3756+614+1192+76</f>
        <v>5638</v>
      </c>
      <c r="Q839" s="32"/>
      <c r="R839" s="32"/>
      <c r="S839" s="32">
        <f t="shared" si="223"/>
        <v>5638</v>
      </c>
      <c r="T839" s="12"/>
      <c r="U839" s="12"/>
      <c r="V839" s="12"/>
      <c r="W839" s="12">
        <f t="shared" si="224"/>
        <v>5638</v>
      </c>
      <c r="Y839" s="10">
        <v>3</v>
      </c>
      <c r="Z839" s="30" t="s">
        <v>83</v>
      </c>
      <c r="AA839" s="31">
        <f t="shared" ref="AA839:AA842" si="229">AA838+1</f>
        <v>5831</v>
      </c>
      <c r="AB839" s="33">
        <f>61348+5960+916</f>
        <v>68224</v>
      </c>
      <c r="AC839" s="33">
        <v>-672</v>
      </c>
      <c r="AD839" s="32"/>
      <c r="AE839" s="32">
        <f t="shared" si="225"/>
        <v>67552</v>
      </c>
      <c r="AF839" s="12"/>
      <c r="AG839" s="12"/>
      <c r="AH839" s="12">
        <v>-312</v>
      </c>
      <c r="AI839" s="12">
        <f t="shared" si="226"/>
        <v>67240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83</v>
      </c>
      <c r="C840" s="31">
        <f t="shared" si="227"/>
        <v>6104</v>
      </c>
      <c r="D840" s="32">
        <f>626*23+674</f>
        <v>15072</v>
      </c>
      <c r="E840" s="32"/>
      <c r="F840" s="32"/>
      <c r="G840" s="32">
        <f t="shared" si="221"/>
        <v>15072</v>
      </c>
      <c r="H840" s="12"/>
      <c r="I840" s="12"/>
      <c r="J840" s="12"/>
      <c r="K840" s="12">
        <f t="shared" si="222"/>
        <v>15072</v>
      </c>
      <c r="M840" s="10">
        <v>4</v>
      </c>
      <c r="N840" s="30" t="s">
        <v>83</v>
      </c>
      <c r="O840" s="31">
        <f t="shared" si="228"/>
        <v>6014</v>
      </c>
      <c r="P840" s="32">
        <f>7512+1192+133</f>
        <v>8837</v>
      </c>
      <c r="Q840" s="32"/>
      <c r="R840" s="32"/>
      <c r="S840" s="32">
        <f t="shared" si="223"/>
        <v>8837</v>
      </c>
      <c r="T840" s="12"/>
      <c r="U840" s="12"/>
      <c r="V840" s="12"/>
      <c r="W840" s="12">
        <f t="shared" si="224"/>
        <v>8837</v>
      </c>
      <c r="Y840" s="10">
        <v>4</v>
      </c>
      <c r="Z840" s="30" t="s">
        <v>83</v>
      </c>
      <c r="AA840" s="31">
        <f t="shared" si="229"/>
        <v>5832</v>
      </c>
      <c r="AB840" s="32">
        <f>107046+17284+1832</f>
        <v>126162</v>
      </c>
      <c r="AC840" s="32">
        <v>-1248</v>
      </c>
      <c r="AD840" s="32"/>
      <c r="AE840" s="32">
        <f t="shared" si="225"/>
        <v>124914</v>
      </c>
      <c r="AF840" s="12"/>
      <c r="AG840">
        <v>108</v>
      </c>
      <c r="AH840" s="12"/>
      <c r="AI840" s="12">
        <f t="shared" si="226"/>
        <v>125022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83</v>
      </c>
      <c r="C841" s="31">
        <f t="shared" si="227"/>
        <v>6105</v>
      </c>
      <c r="D841" s="32">
        <f>65104+3070+1348+5960+1300</f>
        <v>76782</v>
      </c>
      <c r="E841" s="32"/>
      <c r="F841" s="32"/>
      <c r="G841" s="32">
        <f t="shared" si="221"/>
        <v>76782</v>
      </c>
      <c r="H841" s="12"/>
      <c r="I841" s="12">
        <v>351</v>
      </c>
      <c r="J841" s="12">
        <v>-420</v>
      </c>
      <c r="K841" s="12">
        <f t="shared" si="222"/>
        <v>76713</v>
      </c>
      <c r="M841" s="10">
        <v>5</v>
      </c>
      <c r="N841" s="30" t="s">
        <v>83</v>
      </c>
      <c r="O841" s="31">
        <f t="shared" si="228"/>
        <v>6015</v>
      </c>
      <c r="P841" s="32">
        <f>2504+38</f>
        <v>2542</v>
      </c>
      <c r="Q841" s="32"/>
      <c r="R841" s="32"/>
      <c r="S841" s="32">
        <f t="shared" si="223"/>
        <v>2542</v>
      </c>
      <c r="T841" s="12"/>
      <c r="U841" s="12"/>
      <c r="V841" s="12"/>
      <c r="W841" s="12">
        <f t="shared" si="224"/>
        <v>2542</v>
      </c>
      <c r="Y841" s="10">
        <v>5</v>
      </c>
      <c r="Z841" s="30" t="s">
        <v>83</v>
      </c>
      <c r="AA841" s="31">
        <f t="shared" si="229"/>
        <v>5833</v>
      </c>
      <c r="AB841" s="32">
        <f>28170+4912+229</f>
        <v>33311</v>
      </c>
      <c r="AC841" s="32">
        <v>-324</v>
      </c>
      <c r="AD841" s="32"/>
      <c r="AE841" s="32">
        <f t="shared" si="225"/>
        <v>32987</v>
      </c>
      <c r="AF841" s="12"/>
      <c r="AG841" s="12"/>
      <c r="AH841" s="12"/>
      <c r="AI841" s="12">
        <f t="shared" si="226"/>
        <v>32987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83</v>
      </c>
      <c r="C842" s="31">
        <f t="shared" si="227"/>
        <v>6106</v>
      </c>
      <c r="D842" s="32">
        <f>6260+674+832</f>
        <v>7766</v>
      </c>
      <c r="E842" s="32"/>
      <c r="F842" s="32"/>
      <c r="G842" s="32">
        <f t="shared" si="221"/>
        <v>7766</v>
      </c>
      <c r="H842" s="12"/>
      <c r="I842" s="12">
        <f>111+4.5+12</f>
        <v>127.5</v>
      </c>
      <c r="J842" s="12"/>
      <c r="K842" s="12">
        <f t="shared" si="222"/>
        <v>7893.5</v>
      </c>
      <c r="M842" s="10">
        <v>6</v>
      </c>
      <c r="N842" s="30" t="s">
        <v>83</v>
      </c>
      <c r="O842" s="31">
        <f t="shared" si="228"/>
        <v>6016</v>
      </c>
      <c r="P842" s="32">
        <f>626*9+1228</f>
        <v>6862</v>
      </c>
      <c r="Q842" s="32"/>
      <c r="R842" s="32"/>
      <c r="S842" s="32">
        <f t="shared" si="223"/>
        <v>6862</v>
      </c>
      <c r="T842" s="12"/>
      <c r="U842" s="12"/>
      <c r="V842" s="10"/>
      <c r="W842" s="12">
        <f t="shared" si="224"/>
        <v>6862</v>
      </c>
      <c r="Y842" s="10">
        <v>6</v>
      </c>
      <c r="Z842" s="30" t="s">
        <v>83</v>
      </c>
      <c r="AA842" s="31">
        <f t="shared" si="229"/>
        <v>5834</v>
      </c>
      <c r="AB842" s="32">
        <f>43820+17880+916</f>
        <v>62616</v>
      </c>
      <c r="AC842" s="32">
        <v>-624</v>
      </c>
      <c r="AD842" s="32"/>
      <c r="AE842" s="32">
        <f t="shared" si="225"/>
        <v>61992</v>
      </c>
      <c r="AF842" s="12"/>
      <c r="AG842" s="12"/>
      <c r="AH842" s="10">
        <v>-2109</v>
      </c>
      <c r="AI842" s="12">
        <f t="shared" si="226"/>
        <v>59883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83</v>
      </c>
      <c r="C843" s="31">
        <f t="shared" si="227"/>
        <v>6107</v>
      </c>
      <c r="D843" s="32">
        <f>36934+8940</f>
        <v>45874</v>
      </c>
      <c r="E843" s="32"/>
      <c r="F843" s="32"/>
      <c r="G843" s="32">
        <f t="shared" si="221"/>
        <v>45874</v>
      </c>
      <c r="H843" s="12"/>
      <c r="I843" s="12"/>
      <c r="J843" s="12"/>
      <c r="K843" s="12">
        <f t="shared" si="222"/>
        <v>45874</v>
      </c>
      <c r="M843" s="10">
        <v>7</v>
      </c>
      <c r="N843" s="30" t="s">
        <v>83</v>
      </c>
      <c r="O843" s="31">
        <f t="shared" si="228"/>
        <v>6017</v>
      </c>
      <c r="P843" s="32">
        <f>77624+1842+11920+832+229*2</f>
        <v>92676</v>
      </c>
      <c r="Q843" s="32">
        <v>-1200</v>
      </c>
      <c r="R843" s="32"/>
      <c r="S843" s="32">
        <f t="shared" si="223"/>
        <v>91476</v>
      </c>
      <c r="T843" s="12"/>
      <c r="U843" s="12"/>
      <c r="V843" s="12"/>
      <c r="W843" s="12">
        <f t="shared" si="224"/>
        <v>91476</v>
      </c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25"/>
        <v>0</v>
      </c>
      <c r="AF843" s="12"/>
      <c r="AG843" s="58"/>
      <c r="AH843" s="12"/>
      <c r="AI843" s="12">
        <f t="shared" si="226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83</v>
      </c>
      <c r="C844" s="31">
        <f t="shared" si="227"/>
        <v>6108</v>
      </c>
      <c r="D844" s="32">
        <f>1252+19</f>
        <v>1271</v>
      </c>
      <c r="E844" s="32"/>
      <c r="F844" s="32"/>
      <c r="G844" s="32">
        <f t="shared" si="221"/>
        <v>1271</v>
      </c>
      <c r="H844" s="12"/>
      <c r="I844" s="12"/>
      <c r="J844" s="12"/>
      <c r="K844" s="12">
        <f t="shared" si="222"/>
        <v>1271</v>
      </c>
      <c r="M844" s="10">
        <v>8</v>
      </c>
      <c r="N844" s="30"/>
      <c r="O844" s="11" t="s">
        <v>28</v>
      </c>
      <c r="P844" s="32"/>
      <c r="Q844" s="32"/>
      <c r="R844" s="32"/>
      <c r="S844" s="32">
        <f t="shared" si="223"/>
        <v>0</v>
      </c>
      <c r="T844" s="12"/>
      <c r="U844" s="12"/>
      <c r="V844" s="12"/>
      <c r="W844" s="12">
        <f t="shared" si="224"/>
        <v>0</v>
      </c>
      <c r="Y844" s="10">
        <v>8</v>
      </c>
      <c r="Z844" s="30"/>
      <c r="AA844" s="31"/>
      <c r="AB844" s="32"/>
      <c r="AC844" s="32"/>
      <c r="AE844" s="32">
        <f t="shared" si="225"/>
        <v>0</v>
      </c>
      <c r="AF844" s="12"/>
      <c r="AG844" s="12"/>
      <c r="AH844" s="12"/>
      <c r="AI844" s="12">
        <f t="shared" si="226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83</v>
      </c>
      <c r="C845" s="31">
        <f t="shared" si="227"/>
        <v>6109</v>
      </c>
      <c r="D845" s="32">
        <f>2504+38</f>
        <v>2542</v>
      </c>
      <c r="E845" s="32"/>
      <c r="F845" s="32"/>
      <c r="G845" s="32">
        <f t="shared" si="221"/>
        <v>2542</v>
      </c>
      <c r="H845" s="12"/>
      <c r="I845" s="12"/>
      <c r="J845" s="12"/>
      <c r="K845" s="12">
        <f t="shared" si="222"/>
        <v>2542</v>
      </c>
      <c r="M845" s="10">
        <v>9</v>
      </c>
      <c r="N845" s="30"/>
      <c r="O845" s="31"/>
      <c r="P845" s="32"/>
      <c r="Q845" s="32"/>
      <c r="R845" s="32"/>
      <c r="S845" s="32">
        <f t="shared" si="223"/>
        <v>0</v>
      </c>
      <c r="T845" s="12"/>
      <c r="U845" s="12"/>
      <c r="V845" s="12"/>
      <c r="W845" s="12">
        <f t="shared" si="224"/>
        <v>0</v>
      </c>
      <c r="Y845" s="10">
        <v>9</v>
      </c>
      <c r="Z845" s="30"/>
      <c r="AA845" s="31"/>
      <c r="AC845" s="32"/>
      <c r="AD845" s="32"/>
      <c r="AE845" s="32">
        <f t="shared" si="225"/>
        <v>0</v>
      </c>
      <c r="AF845" s="12"/>
      <c r="AH845" s="12"/>
      <c r="AI845" s="12">
        <f t="shared" si="226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83</v>
      </c>
      <c r="C846" s="31">
        <f t="shared" si="227"/>
        <v>6110</v>
      </c>
      <c r="D846" s="32">
        <f>3130+47</f>
        <v>3177</v>
      </c>
      <c r="E846" s="32"/>
      <c r="F846" s="32"/>
      <c r="G846" s="32">
        <f t="shared" si="221"/>
        <v>3177</v>
      </c>
      <c r="H846" s="12"/>
      <c r="I846" s="12"/>
      <c r="J846" s="12"/>
      <c r="K846" s="12">
        <f t="shared" si="222"/>
        <v>3177</v>
      </c>
      <c r="M846" s="10">
        <v>10</v>
      </c>
      <c r="N846" s="30"/>
      <c r="O846" s="31"/>
      <c r="P846" s="32"/>
      <c r="Q846" s="32"/>
      <c r="R846" s="32"/>
      <c r="S846" s="32">
        <f t="shared" si="223"/>
        <v>0</v>
      </c>
      <c r="T846" s="12"/>
      <c r="U846" s="12"/>
      <c r="V846" s="12"/>
      <c r="W846" s="12">
        <f t="shared" si="224"/>
        <v>0</v>
      </c>
      <c r="Y846" s="10">
        <v>10</v>
      </c>
      <c r="Z846" s="30"/>
      <c r="AA846" s="31"/>
      <c r="AB846" s="32"/>
      <c r="AC846" s="32"/>
      <c r="AD846" s="32"/>
      <c r="AE846" s="32">
        <f t="shared" si="225"/>
        <v>0</v>
      </c>
      <c r="AF846" s="12"/>
      <c r="AG846" s="12"/>
      <c r="AH846" s="12"/>
      <c r="AI846" s="12">
        <f t="shared" si="226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83</v>
      </c>
      <c r="C847" s="31">
        <f t="shared" si="227"/>
        <v>6111</v>
      </c>
      <c r="D847" s="32">
        <f>4382+596+76</f>
        <v>5054</v>
      </c>
      <c r="E847" s="32"/>
      <c r="F847" s="32"/>
      <c r="G847" s="32">
        <f t="shared" si="221"/>
        <v>5054</v>
      </c>
      <c r="H847" s="12"/>
      <c r="I847" s="12">
        <v>18</v>
      </c>
      <c r="J847" s="12"/>
      <c r="K847" s="12">
        <f t="shared" si="222"/>
        <v>5072</v>
      </c>
      <c r="M847" s="10">
        <v>11</v>
      </c>
      <c r="N847" s="30"/>
      <c r="O847" s="31"/>
      <c r="P847" s="32"/>
      <c r="Q847" s="32"/>
      <c r="R847" s="32"/>
      <c r="S847" s="32">
        <f t="shared" si="223"/>
        <v>0</v>
      </c>
      <c r="T847" s="12"/>
      <c r="U847" s="12"/>
      <c r="V847" s="12"/>
      <c r="W847" s="12">
        <f t="shared" si="224"/>
        <v>0</v>
      </c>
      <c r="Y847" s="10">
        <v>11</v>
      </c>
      <c r="Z847" s="30"/>
      <c r="AB847" s="32"/>
      <c r="AC847" s="32"/>
      <c r="AD847" s="32"/>
      <c r="AE847" s="32">
        <f t="shared" si="225"/>
        <v>0</v>
      </c>
      <c r="AF847" s="12"/>
      <c r="AG847" s="12"/>
      <c r="AH847" s="12"/>
      <c r="AI847" s="12">
        <f t="shared" si="226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83</v>
      </c>
      <c r="C848" s="31">
        <f t="shared" si="227"/>
        <v>6112</v>
      </c>
      <c r="D848" s="32">
        <f>626+596+19</f>
        <v>1241</v>
      </c>
      <c r="E848" s="32"/>
      <c r="F848" s="32"/>
      <c r="G848" s="32">
        <f t="shared" si="221"/>
        <v>1241</v>
      </c>
      <c r="H848" s="12"/>
      <c r="I848" s="12"/>
      <c r="J848" s="10"/>
      <c r="K848" s="12">
        <f t="shared" si="222"/>
        <v>1241</v>
      </c>
      <c r="M848" s="10">
        <v>12</v>
      </c>
      <c r="N848" s="30"/>
      <c r="O848" s="31"/>
      <c r="P848" s="32"/>
      <c r="Q848" s="32"/>
      <c r="R848" s="32"/>
      <c r="S848" s="32">
        <f t="shared" si="223"/>
        <v>0</v>
      </c>
      <c r="T848" s="12"/>
      <c r="U848" s="12"/>
      <c r="V848" s="12"/>
      <c r="W848" s="12">
        <f t="shared" si="224"/>
        <v>0</v>
      </c>
      <c r="Y848" s="10">
        <v>12</v>
      </c>
      <c r="Z848" s="30"/>
      <c r="AB848" s="32"/>
      <c r="AC848" s="32"/>
      <c r="AD848" s="32"/>
      <c r="AE848" s="32">
        <f t="shared" si="225"/>
        <v>0</v>
      </c>
      <c r="AF848" s="12"/>
      <c r="AG848" s="12"/>
      <c r="AH848" s="12"/>
      <c r="AI848" s="12">
        <f t="shared" si="226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83</v>
      </c>
      <c r="C849" s="31">
        <f t="shared" si="227"/>
        <v>6113</v>
      </c>
      <c r="D849" s="32">
        <f>2504+38</f>
        <v>2542</v>
      </c>
      <c r="E849" s="32"/>
      <c r="F849" s="32"/>
      <c r="G849" s="32">
        <f t="shared" si="221"/>
        <v>2542</v>
      </c>
      <c r="H849" s="12"/>
      <c r="I849" s="12"/>
      <c r="J849" s="12"/>
      <c r="K849" s="12">
        <f t="shared" si="222"/>
        <v>2542</v>
      </c>
      <c r="M849" s="10">
        <v>13</v>
      </c>
      <c r="N849" s="30"/>
      <c r="O849" s="31"/>
      <c r="P849" s="32"/>
      <c r="Q849" s="32"/>
      <c r="R849" s="32"/>
      <c r="S849" s="32">
        <f t="shared" si="223"/>
        <v>0</v>
      </c>
      <c r="T849" s="12"/>
      <c r="U849" s="12"/>
      <c r="V849" s="12"/>
      <c r="W849" s="12">
        <f t="shared" si="224"/>
        <v>0</v>
      </c>
      <c r="Y849" s="10">
        <v>13</v>
      </c>
      <c r="Z849" s="30"/>
      <c r="AA849" s="31"/>
      <c r="AB849" s="32"/>
      <c r="AC849" s="32"/>
      <c r="AD849" s="32"/>
      <c r="AE849" s="32">
        <f t="shared" si="225"/>
        <v>0</v>
      </c>
      <c r="AF849" s="12"/>
      <c r="AG849" s="12"/>
      <c r="AH849" s="12"/>
      <c r="AI849" s="12">
        <f t="shared" si="226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83</v>
      </c>
      <c r="C850" s="31">
        <f t="shared" si="227"/>
        <v>6114</v>
      </c>
      <c r="D850" s="32">
        <f>22825+2556+3015+832</f>
        <v>29228</v>
      </c>
      <c r="E850" s="32"/>
      <c r="F850" s="32"/>
      <c r="G850" s="32">
        <f t="shared" si="221"/>
        <v>29228</v>
      </c>
      <c r="H850" s="12"/>
      <c r="I850" s="12"/>
      <c r="J850" s="12"/>
      <c r="K850" s="12">
        <f t="shared" si="222"/>
        <v>29228</v>
      </c>
      <c r="M850" s="10">
        <v>14</v>
      </c>
      <c r="N850" s="30"/>
      <c r="O850" s="31"/>
      <c r="P850" s="32"/>
      <c r="Q850" s="32"/>
      <c r="R850" s="32"/>
      <c r="S850" s="32">
        <f t="shared" si="223"/>
        <v>0</v>
      </c>
      <c r="T850" s="12"/>
      <c r="U850" s="12"/>
      <c r="V850" s="12"/>
      <c r="W850" s="12">
        <f t="shared" si="224"/>
        <v>0</v>
      </c>
      <c r="Y850" s="10">
        <v>14</v>
      </c>
      <c r="Z850" s="30"/>
      <c r="AA850" s="31"/>
      <c r="AB850" s="32"/>
      <c r="AC850" s="32"/>
      <c r="AD850" s="32"/>
      <c r="AE850" s="32">
        <f t="shared" si="225"/>
        <v>0</v>
      </c>
      <c r="AF850" s="12"/>
      <c r="AG850" s="12"/>
      <c r="AH850" s="12"/>
      <c r="AI850" s="12">
        <f t="shared" si="226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11" t="s">
        <v>28</v>
      </c>
      <c r="D851" s="32"/>
      <c r="E851" s="32"/>
      <c r="F851" s="32"/>
      <c r="G851" s="32">
        <f t="shared" si="221"/>
        <v>0</v>
      </c>
      <c r="H851" s="12"/>
      <c r="I851" s="12"/>
      <c r="J851" s="12"/>
      <c r="K851" s="12">
        <f t="shared" si="222"/>
        <v>0</v>
      </c>
      <c r="M851" s="10">
        <v>15</v>
      </c>
      <c r="N851" s="30"/>
      <c r="O851" s="31"/>
      <c r="P851" s="32"/>
      <c r="Q851" s="32"/>
      <c r="R851" s="32"/>
      <c r="S851" s="32">
        <f t="shared" si="223"/>
        <v>0</v>
      </c>
      <c r="T851" s="12"/>
      <c r="U851" s="12"/>
      <c r="V851" s="12"/>
      <c r="W851" s="12">
        <f t="shared" si="224"/>
        <v>0</v>
      </c>
      <c r="Y851" s="10">
        <v>15</v>
      </c>
      <c r="Z851" s="30"/>
      <c r="AA851" s="31"/>
      <c r="AB851" s="32"/>
      <c r="AC851" s="32"/>
      <c r="AD851" s="32"/>
      <c r="AE851" s="32">
        <f t="shared" si="225"/>
        <v>0</v>
      </c>
      <c r="AF851" s="12"/>
      <c r="AG851" s="12"/>
      <c r="AH851" s="12"/>
      <c r="AI851" s="12">
        <f t="shared" si="226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21"/>
        <v>0</v>
      </c>
      <c r="H852" s="12"/>
      <c r="I852" s="12"/>
      <c r="J852" s="12"/>
      <c r="K852" s="12">
        <f t="shared" si="222"/>
        <v>0</v>
      </c>
      <c r="M852" s="10">
        <v>16</v>
      </c>
      <c r="N852" s="30"/>
      <c r="O852" s="31"/>
      <c r="P852" s="32"/>
      <c r="Q852" s="32"/>
      <c r="R852" s="32"/>
      <c r="S852" s="32">
        <f t="shared" si="223"/>
        <v>0</v>
      </c>
      <c r="T852" s="12"/>
      <c r="U852" s="12"/>
      <c r="V852" s="12"/>
      <c r="W852" s="12">
        <f t="shared" si="224"/>
        <v>0</v>
      </c>
      <c r="Y852" s="10">
        <v>16</v>
      </c>
      <c r="Z852" s="30"/>
      <c r="AA852" s="31"/>
      <c r="AB852" s="32"/>
      <c r="AC852" s="32"/>
      <c r="AD852" s="32"/>
      <c r="AE852" s="32">
        <f t="shared" si="225"/>
        <v>0</v>
      </c>
      <c r="AF852" s="12"/>
      <c r="AG852" s="12"/>
      <c r="AH852" s="12"/>
      <c r="AI852" s="12">
        <f t="shared" si="226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21"/>
        <v>0</v>
      </c>
      <c r="H853" s="12"/>
      <c r="I853" s="12"/>
      <c r="J853" s="12"/>
      <c r="K853" s="12">
        <f t="shared" si="222"/>
        <v>0</v>
      </c>
      <c r="M853" s="10">
        <v>17</v>
      </c>
      <c r="N853" s="30"/>
      <c r="O853" s="31"/>
      <c r="P853" s="35"/>
      <c r="Q853" s="32"/>
      <c r="R853" s="32"/>
      <c r="S853" s="32">
        <f t="shared" si="223"/>
        <v>0</v>
      </c>
      <c r="T853" s="12"/>
      <c r="U853" s="12"/>
      <c r="V853" s="12"/>
      <c r="W853" s="12">
        <f t="shared" si="224"/>
        <v>0</v>
      </c>
      <c r="Y853" s="10">
        <v>17</v>
      </c>
      <c r="Z853" s="30"/>
      <c r="AA853" s="31"/>
      <c r="AB853" s="35"/>
      <c r="AC853" s="32"/>
      <c r="AD853" s="32"/>
      <c r="AE853" s="32">
        <f t="shared" si="225"/>
        <v>0</v>
      </c>
      <c r="AF853" s="12"/>
      <c r="AG853" s="12"/>
      <c r="AH853" s="12"/>
      <c r="AI853" s="12">
        <f t="shared" si="226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21"/>
        <v>0</v>
      </c>
      <c r="H854" s="12"/>
      <c r="I854" s="12"/>
      <c r="J854" s="12"/>
      <c r="K854" s="12">
        <f t="shared" si="222"/>
        <v>0</v>
      </c>
      <c r="M854" s="10">
        <v>18</v>
      </c>
      <c r="N854" s="30"/>
      <c r="O854" s="31"/>
      <c r="P854" s="32"/>
      <c r="Q854" s="32"/>
      <c r="R854" s="32"/>
      <c r="S854" s="32">
        <f t="shared" si="223"/>
        <v>0</v>
      </c>
      <c r="T854" s="12"/>
      <c r="U854" s="12"/>
      <c r="V854" s="12"/>
      <c r="W854" s="12">
        <f t="shared" si="224"/>
        <v>0</v>
      </c>
      <c r="Y854" s="10">
        <v>18</v>
      </c>
      <c r="Z854" s="30"/>
      <c r="AA854" s="31"/>
      <c r="AB854" s="32"/>
      <c r="AC854" s="32"/>
      <c r="AD854" s="32"/>
      <c r="AE854" s="32">
        <f t="shared" si="225"/>
        <v>0</v>
      </c>
      <c r="AF854" s="12"/>
      <c r="AG854" s="12"/>
      <c r="AH854" s="12"/>
      <c r="AI854" s="12">
        <f t="shared" si="226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D855" s="32"/>
      <c r="E855" s="32"/>
      <c r="F855" s="32"/>
      <c r="G855" s="32">
        <f t="shared" si="221"/>
        <v>0</v>
      </c>
      <c r="H855" s="12"/>
      <c r="I855" s="12"/>
      <c r="J855" s="12"/>
      <c r="K855" s="12">
        <f t="shared" si="222"/>
        <v>0</v>
      </c>
      <c r="M855" s="10">
        <v>19</v>
      </c>
      <c r="N855" s="30"/>
      <c r="O855" s="31"/>
      <c r="P855" s="32"/>
      <c r="Q855" s="32"/>
      <c r="R855" s="32"/>
      <c r="S855" s="32">
        <f t="shared" si="223"/>
        <v>0</v>
      </c>
      <c r="T855" s="12"/>
      <c r="U855" s="12"/>
      <c r="V855" s="12"/>
      <c r="W855" s="12">
        <f t="shared" si="224"/>
        <v>0</v>
      </c>
      <c r="Y855" s="10">
        <v>19</v>
      </c>
      <c r="Z855" s="30"/>
      <c r="AA855" s="31"/>
      <c r="AB855" s="32"/>
      <c r="AC855" s="32"/>
      <c r="AD855" s="32"/>
      <c r="AE855" s="32">
        <f t="shared" si="225"/>
        <v>0</v>
      </c>
      <c r="AF855" s="12"/>
      <c r="AG855" s="12"/>
      <c r="AH855" s="12"/>
      <c r="AI855" s="12">
        <f t="shared" si="226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C856" s="31"/>
      <c r="D856" s="32"/>
      <c r="E856" s="32"/>
      <c r="F856" s="32"/>
      <c r="G856" s="32">
        <f t="shared" si="221"/>
        <v>0</v>
      </c>
      <c r="H856" s="12"/>
      <c r="I856" s="12"/>
      <c r="J856" s="12"/>
      <c r="K856" s="12">
        <f t="shared" si="222"/>
        <v>0</v>
      </c>
      <c r="M856" s="10">
        <v>20</v>
      </c>
      <c r="N856" s="30"/>
      <c r="P856" s="32"/>
      <c r="Q856" s="32"/>
      <c r="R856" s="32"/>
      <c r="S856" s="32">
        <f t="shared" si="223"/>
        <v>0</v>
      </c>
      <c r="T856" s="12"/>
      <c r="U856" s="12"/>
      <c r="V856" s="12"/>
      <c r="W856" s="12">
        <f t="shared" si="224"/>
        <v>0</v>
      </c>
      <c r="Y856" s="10">
        <v>20</v>
      </c>
      <c r="Z856" s="30"/>
      <c r="AA856" s="31"/>
      <c r="AB856" s="32"/>
      <c r="AC856" s="32"/>
      <c r="AD856" s="32"/>
      <c r="AE856" s="32">
        <f t="shared" si="225"/>
        <v>0</v>
      </c>
      <c r="AF856" s="12"/>
      <c r="AG856" s="12"/>
      <c r="AH856" s="12"/>
      <c r="AI856" s="12">
        <f t="shared" si="226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31"/>
      <c r="D857" s="32"/>
      <c r="E857" s="32"/>
      <c r="F857" s="32"/>
      <c r="G857" s="32">
        <f t="shared" si="221"/>
        <v>0</v>
      </c>
      <c r="H857" s="10"/>
      <c r="I857" s="10"/>
      <c r="J857" s="10"/>
      <c r="K857" s="12">
        <f t="shared" si="222"/>
        <v>0</v>
      </c>
      <c r="M857" s="10">
        <v>21</v>
      </c>
      <c r="N857" s="30"/>
      <c r="P857" s="46"/>
      <c r="Q857" s="32"/>
      <c r="R857" s="31"/>
      <c r="S857" s="32">
        <f t="shared" si="223"/>
        <v>0</v>
      </c>
      <c r="T857" s="10"/>
      <c r="U857" s="10"/>
      <c r="V857" s="10"/>
      <c r="W857" s="12">
        <f t="shared" si="224"/>
        <v>0</v>
      </c>
      <c r="Y857" s="10">
        <v>21</v>
      </c>
      <c r="Z857" s="30"/>
      <c r="AB857" s="46"/>
      <c r="AC857" s="31"/>
      <c r="AD857" s="31"/>
      <c r="AE857" s="32">
        <f t="shared" si="225"/>
        <v>0</v>
      </c>
      <c r="AF857" s="10"/>
      <c r="AG857" s="10"/>
      <c r="AH857" s="10"/>
      <c r="AI857" s="12">
        <f t="shared" si="226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21"/>
        <v>0</v>
      </c>
      <c r="H858" s="10"/>
      <c r="I858" s="10"/>
      <c r="J858" s="10"/>
      <c r="K858" s="12">
        <f t="shared" si="222"/>
        <v>0</v>
      </c>
      <c r="M858" s="10">
        <v>22</v>
      </c>
      <c r="N858" s="30"/>
      <c r="O858" s="31"/>
      <c r="P858" s="45"/>
      <c r="Q858" s="32"/>
      <c r="R858" s="31"/>
      <c r="S858" s="32">
        <f t="shared" si="223"/>
        <v>0</v>
      </c>
      <c r="T858" s="10"/>
      <c r="U858" s="10"/>
      <c r="V858" s="10"/>
      <c r="W858" s="12">
        <f t="shared" si="224"/>
        <v>0</v>
      </c>
      <c r="Y858" s="10">
        <v>22</v>
      </c>
      <c r="Z858" s="30"/>
      <c r="AA858" s="31"/>
      <c r="AB858" s="45"/>
      <c r="AC858" s="31"/>
      <c r="AD858" s="31"/>
      <c r="AE858" s="32">
        <f t="shared" si="225"/>
        <v>0</v>
      </c>
      <c r="AF858" s="10"/>
      <c r="AG858" s="10"/>
      <c r="AH858" s="10"/>
      <c r="AI858" s="12">
        <f t="shared" si="226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21"/>
        <v>0</v>
      </c>
      <c r="H859" s="10"/>
      <c r="I859" s="10"/>
      <c r="J859" s="12"/>
      <c r="K859" s="12">
        <f t="shared" si="222"/>
        <v>0</v>
      </c>
      <c r="M859" s="10">
        <v>23</v>
      </c>
      <c r="N859" s="30"/>
      <c r="O859" s="31"/>
      <c r="P859" s="47"/>
      <c r="Q859" s="32"/>
      <c r="S859" s="32">
        <f t="shared" si="223"/>
        <v>0</v>
      </c>
      <c r="T859" s="10"/>
      <c r="U859" s="10"/>
      <c r="V859" s="10"/>
      <c r="W859" s="12">
        <f t="shared" si="224"/>
        <v>0</v>
      </c>
      <c r="Y859" s="10">
        <v>23</v>
      </c>
      <c r="Z859" s="30"/>
      <c r="AA859" s="31"/>
      <c r="AB859" s="47"/>
      <c r="AC859" s="31"/>
      <c r="AE859" s="32">
        <f t="shared" si="225"/>
        <v>0</v>
      </c>
      <c r="AF859" s="10"/>
      <c r="AG859" s="10"/>
      <c r="AH859" s="10"/>
      <c r="AI859" s="12">
        <f t="shared" si="226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21"/>
        <v>0</v>
      </c>
      <c r="H860" s="10"/>
      <c r="I860" s="10"/>
      <c r="J860" s="10"/>
      <c r="K860" s="12">
        <f t="shared" si="222"/>
        <v>0</v>
      </c>
      <c r="M860" s="10">
        <v>24</v>
      </c>
      <c r="N860" s="30"/>
      <c r="O860" s="31"/>
      <c r="P860" s="47"/>
      <c r="Q860" s="32"/>
      <c r="R860" s="31"/>
      <c r="S860" s="32">
        <f t="shared" si="223"/>
        <v>0</v>
      </c>
      <c r="T860" s="10"/>
      <c r="U860" s="10"/>
      <c r="V860" s="10"/>
      <c r="W860" s="12">
        <f t="shared" si="224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25"/>
        <v>0</v>
      </c>
      <c r="AF860" s="10"/>
      <c r="AG860" s="10"/>
      <c r="AH860" s="10"/>
      <c r="AI860" s="12">
        <f t="shared" si="226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21"/>
        <v>0</v>
      </c>
      <c r="H861" s="10"/>
      <c r="I861" s="10"/>
      <c r="J861" s="10"/>
      <c r="K861" s="12">
        <f t="shared" si="222"/>
        <v>0</v>
      </c>
      <c r="M861" s="10">
        <v>25</v>
      </c>
      <c r="N861" s="30"/>
      <c r="O861" s="31"/>
      <c r="P861" s="47"/>
      <c r="Q861" s="32"/>
      <c r="R861" s="31"/>
      <c r="S861" s="32">
        <f t="shared" si="223"/>
        <v>0</v>
      </c>
      <c r="T861" s="10"/>
      <c r="U861" s="10"/>
      <c r="V861" s="10"/>
      <c r="W861" s="12">
        <f t="shared" si="224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25"/>
        <v>0</v>
      </c>
      <c r="AF861" s="10"/>
      <c r="AG861" s="10"/>
      <c r="AH861" s="10"/>
      <c r="AI861" s="12">
        <f t="shared" si="226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21"/>
        <v>0</v>
      </c>
      <c r="H862" s="10"/>
      <c r="I862" s="10"/>
      <c r="J862" s="10"/>
      <c r="K862" s="12">
        <f t="shared" si="222"/>
        <v>0</v>
      </c>
      <c r="M862" s="10">
        <v>26</v>
      </c>
      <c r="N862" s="30"/>
      <c r="O862" s="31"/>
      <c r="P862" s="47"/>
      <c r="Q862" s="32"/>
      <c r="R862" s="31"/>
      <c r="S862" s="32">
        <f t="shared" si="223"/>
        <v>0</v>
      </c>
      <c r="T862" s="10"/>
      <c r="U862" s="10"/>
      <c r="V862" s="10"/>
      <c r="W862" s="12">
        <f t="shared" si="224"/>
        <v>0</v>
      </c>
      <c r="Y862" s="10">
        <v>26</v>
      </c>
      <c r="Z862" s="30"/>
      <c r="AB862" s="47"/>
      <c r="AC862" s="31"/>
      <c r="AD862" s="31"/>
      <c r="AE862" s="32">
        <f t="shared" si="225"/>
        <v>0</v>
      </c>
      <c r="AF862" s="10"/>
      <c r="AG862" s="10"/>
      <c r="AH862" s="10"/>
      <c r="AI862" s="12">
        <f t="shared" si="226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221"/>
        <v>0</v>
      </c>
      <c r="H863" s="10"/>
      <c r="I863" s="10"/>
      <c r="J863" s="10"/>
      <c r="K863" s="12">
        <f t="shared" si="222"/>
        <v>0</v>
      </c>
      <c r="M863" s="10">
        <v>27</v>
      </c>
      <c r="N863" s="30"/>
      <c r="O863" s="31"/>
      <c r="P863" s="47"/>
      <c r="Q863" s="31"/>
      <c r="R863" s="31"/>
      <c r="S863" s="32">
        <f t="shared" si="223"/>
        <v>0</v>
      </c>
      <c r="T863" s="10"/>
      <c r="U863" s="10"/>
      <c r="V863" s="10"/>
      <c r="W863" s="12">
        <f t="shared" si="224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25"/>
        <v>0</v>
      </c>
      <c r="AF863" s="10"/>
      <c r="AG863" s="10"/>
      <c r="AH863" s="10"/>
      <c r="AI863" s="12">
        <f t="shared" si="226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57"/>
      <c r="D864" s="32"/>
      <c r="E864" s="32"/>
      <c r="F864" s="32"/>
      <c r="G864" s="32">
        <f t="shared" si="221"/>
        <v>0</v>
      </c>
      <c r="H864" s="10"/>
      <c r="I864" s="10"/>
      <c r="J864" s="10"/>
      <c r="K864" s="12">
        <f t="shared" si="222"/>
        <v>0</v>
      </c>
      <c r="M864" s="10">
        <v>28</v>
      </c>
      <c r="N864" s="30"/>
      <c r="O864" s="31"/>
      <c r="P864" s="47"/>
      <c r="Q864" s="31"/>
      <c r="R864" s="31"/>
      <c r="S864" s="32">
        <f t="shared" si="223"/>
        <v>0</v>
      </c>
      <c r="T864" s="10"/>
      <c r="U864" s="10"/>
      <c r="V864" s="10"/>
      <c r="W864" s="12">
        <f t="shared" si="224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25"/>
        <v>0</v>
      </c>
      <c r="AF864" s="10"/>
      <c r="AG864" s="10"/>
      <c r="AH864" s="10"/>
      <c r="AI864" s="12">
        <f t="shared" si="226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>
        <f t="shared" si="221"/>
        <v>0</v>
      </c>
      <c r="H865" s="10"/>
      <c r="I865" s="10"/>
      <c r="J865" s="10"/>
      <c r="K865" s="12">
        <f t="shared" si="222"/>
        <v>0</v>
      </c>
      <c r="M865" s="10">
        <v>29</v>
      </c>
      <c r="N865" s="30"/>
      <c r="O865" s="31"/>
      <c r="P865" s="47"/>
      <c r="Q865" s="31"/>
      <c r="R865" s="31"/>
      <c r="S865" s="32">
        <f t="shared" si="223"/>
        <v>0</v>
      </c>
      <c r="T865" s="10"/>
      <c r="U865" s="10"/>
      <c r="V865" s="10"/>
      <c r="W865" s="12">
        <f t="shared" si="224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25"/>
        <v>0</v>
      </c>
      <c r="AF865" s="10"/>
      <c r="AG865" s="10"/>
      <c r="AH865" s="10"/>
      <c r="AI865" s="12">
        <f t="shared" si="226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>
        <f t="shared" si="221"/>
        <v>0</v>
      </c>
      <c r="H866" s="10"/>
      <c r="I866" s="10"/>
      <c r="J866" s="10"/>
      <c r="K866" s="12">
        <f t="shared" si="222"/>
        <v>0</v>
      </c>
      <c r="M866" s="10">
        <v>30</v>
      </c>
      <c r="N866" s="30"/>
      <c r="O866" s="31"/>
      <c r="P866" s="47"/>
      <c r="Q866" s="31"/>
      <c r="R866" s="31"/>
      <c r="S866" s="32">
        <f t="shared" si="223"/>
        <v>0</v>
      </c>
      <c r="T866" s="10"/>
      <c r="U866" s="10"/>
      <c r="V866" s="10"/>
      <c r="W866" s="12">
        <f t="shared" si="224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25"/>
        <v>0</v>
      </c>
      <c r="AF866" s="10"/>
      <c r="AG866" s="10"/>
      <c r="AH866" s="10"/>
      <c r="AI866" s="12">
        <f t="shared" si="226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31"/>
      <c r="D867" s="32"/>
      <c r="E867" s="32"/>
      <c r="F867" s="32"/>
      <c r="G867" s="32">
        <f t="shared" si="221"/>
        <v>0</v>
      </c>
      <c r="H867" s="10"/>
      <c r="I867" s="10"/>
      <c r="J867" s="10"/>
      <c r="K867" s="12">
        <f t="shared" si="222"/>
        <v>0</v>
      </c>
      <c r="M867" s="10">
        <v>31</v>
      </c>
      <c r="N867" s="30"/>
      <c r="O867" s="31"/>
      <c r="P867" s="47"/>
      <c r="Q867" s="31"/>
      <c r="R867" s="31"/>
      <c r="S867" s="32">
        <f t="shared" si="223"/>
        <v>0</v>
      </c>
      <c r="T867" s="10"/>
      <c r="U867" s="10"/>
      <c r="V867" s="10"/>
      <c r="W867" s="12">
        <f t="shared" si="224"/>
        <v>0</v>
      </c>
      <c r="Y867" s="10">
        <v>31</v>
      </c>
      <c r="Z867" s="30"/>
      <c r="AA867" s="31"/>
      <c r="AB867" s="47"/>
      <c r="AC867" s="31"/>
      <c r="AD867" s="31"/>
      <c r="AE867" s="32">
        <f t="shared" si="225"/>
        <v>0</v>
      </c>
      <c r="AF867" s="10"/>
      <c r="AG867" s="10"/>
      <c r="AH867" s="10"/>
      <c r="AI867" s="12">
        <f t="shared" si="226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57"/>
      <c r="D868" s="32"/>
      <c r="E868" s="32"/>
      <c r="F868" s="32"/>
      <c r="G868" s="32">
        <f t="shared" si="221"/>
        <v>0</v>
      </c>
      <c r="H868" s="10"/>
      <c r="I868" s="10"/>
      <c r="J868" s="10"/>
      <c r="K868" s="12">
        <f t="shared" si="222"/>
        <v>0</v>
      </c>
      <c r="M868" s="10">
        <v>32</v>
      </c>
      <c r="N868" s="30"/>
      <c r="O868" s="31"/>
      <c r="P868" s="47"/>
      <c r="Q868" s="31"/>
      <c r="R868" s="31"/>
      <c r="S868" s="32">
        <f t="shared" si="223"/>
        <v>0</v>
      </c>
      <c r="T868" s="10"/>
      <c r="U868" s="10"/>
      <c r="V868" s="10"/>
      <c r="W868" s="12">
        <f t="shared" si="224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25"/>
        <v>0</v>
      </c>
      <c r="AF868" s="10"/>
      <c r="AG868" s="10"/>
      <c r="AH868" s="10"/>
      <c r="AI868" s="12">
        <f t="shared" si="226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>
        <f t="shared" si="221"/>
        <v>0</v>
      </c>
      <c r="H869" s="10"/>
      <c r="I869" s="10"/>
      <c r="J869" s="10"/>
      <c r="K869" s="12">
        <f t="shared" si="222"/>
        <v>0</v>
      </c>
      <c r="M869" s="10">
        <v>33</v>
      </c>
      <c r="N869" s="30"/>
      <c r="O869" s="31"/>
      <c r="P869" s="47"/>
      <c r="Q869" s="31"/>
      <c r="R869" s="31"/>
      <c r="S869" s="32">
        <f t="shared" si="223"/>
        <v>0</v>
      </c>
      <c r="T869" s="10"/>
      <c r="U869" s="10"/>
      <c r="V869" s="10"/>
      <c r="W869" s="12">
        <f t="shared" si="224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25"/>
        <v>0</v>
      </c>
      <c r="AF869" s="10"/>
      <c r="AG869" s="10"/>
      <c r="AH869" s="10"/>
      <c r="AI869" s="12">
        <f t="shared" si="226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31"/>
      <c r="D870" s="32"/>
      <c r="E870" s="32"/>
      <c r="F870" s="32"/>
      <c r="G870" s="32">
        <f t="shared" si="221"/>
        <v>0</v>
      </c>
      <c r="H870" s="10"/>
      <c r="I870" s="10"/>
      <c r="J870" s="10"/>
      <c r="K870" s="12">
        <f t="shared" si="222"/>
        <v>0</v>
      </c>
      <c r="M870" s="10">
        <v>34</v>
      </c>
      <c r="N870" s="30"/>
      <c r="O870" s="31"/>
      <c r="P870" s="47"/>
      <c r="Q870" s="31"/>
      <c r="R870" s="31"/>
      <c r="S870" s="32">
        <f t="shared" si="223"/>
        <v>0</v>
      </c>
      <c r="T870" s="10"/>
      <c r="U870" s="10"/>
      <c r="V870" s="10"/>
      <c r="W870" s="12">
        <f t="shared" si="224"/>
        <v>0</v>
      </c>
      <c r="Y870" s="10">
        <v>34</v>
      </c>
      <c r="Z870" s="30"/>
      <c r="AA870" s="31"/>
      <c r="AB870" s="47"/>
      <c r="AC870" s="31"/>
      <c r="AD870" s="31"/>
      <c r="AE870" s="32">
        <f t="shared" si="225"/>
        <v>0</v>
      </c>
      <c r="AF870" s="10"/>
      <c r="AG870" s="10"/>
      <c r="AH870" s="10"/>
      <c r="AI870" s="12">
        <f t="shared" si="226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3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23"/>
        <v>0</v>
      </c>
      <c r="T871" s="10"/>
      <c r="U871" s="10"/>
      <c r="V871" s="10"/>
      <c r="W871" s="12">
        <f t="shared" si="224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25"/>
        <v>0</v>
      </c>
      <c r="AF871" s="10"/>
      <c r="AG871" s="10"/>
      <c r="AH871" s="10"/>
      <c r="AI871" s="12">
        <f t="shared" si="226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23"/>
        <v>0</v>
      </c>
      <c r="T872" s="10"/>
      <c r="U872" s="10"/>
      <c r="V872" s="10"/>
      <c r="W872" s="12">
        <f t="shared" si="224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25"/>
        <v>0</v>
      </c>
      <c r="AF872" s="10"/>
      <c r="AG872" s="10"/>
      <c r="AH872" s="10"/>
      <c r="AI872" s="12">
        <f t="shared" si="226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23"/>
        <v>0</v>
      </c>
      <c r="T873" s="10"/>
      <c r="U873" s="10"/>
      <c r="V873" s="10"/>
      <c r="W873" s="12">
        <f t="shared" si="224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25"/>
        <v>0</v>
      </c>
      <c r="AF873" s="10"/>
      <c r="AG873" s="10"/>
      <c r="AH873" s="10"/>
      <c r="AI873" s="12">
        <f t="shared" si="226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23"/>
        <v>0</v>
      </c>
      <c r="T874" s="10"/>
      <c r="U874" s="10"/>
      <c r="V874" s="10"/>
      <c r="W874" s="12">
        <f t="shared" si="224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25"/>
        <v>0</v>
      </c>
      <c r="AF874" s="10"/>
      <c r="AG874" s="10"/>
      <c r="AH874" s="10"/>
      <c r="AI874" s="12">
        <f t="shared" si="226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223"/>
        <v>0</v>
      </c>
      <c r="T875" s="10"/>
      <c r="U875" s="10"/>
      <c r="V875" s="10"/>
      <c r="W875" s="12">
        <f t="shared" si="224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25"/>
        <v>0</v>
      </c>
      <c r="AF875" s="10"/>
      <c r="AG875" s="10"/>
      <c r="AH875" s="10"/>
      <c r="AI875" s="12">
        <f t="shared" si="226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24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26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230">SUM(D877:E877)</f>
        <v>0</v>
      </c>
      <c r="H877" s="10"/>
      <c r="I877" s="10"/>
      <c r="J877" s="10"/>
      <c r="K877" s="12">
        <f t="shared" ref="K877" si="231">SUM(G877:J877)</f>
        <v>0</v>
      </c>
      <c r="M877" s="10"/>
      <c r="N877" s="30"/>
      <c r="O877" s="31"/>
      <c r="P877" s="47"/>
      <c r="Q877" s="31"/>
      <c r="R877" s="31"/>
      <c r="S877" s="32">
        <f t="shared" ref="S877" si="232">SUM(P877:Q877)</f>
        <v>0</v>
      </c>
      <c r="T877" s="10"/>
      <c r="U877" s="10"/>
      <c r="V877" s="10"/>
      <c r="W877" s="12">
        <f t="shared" si="224"/>
        <v>0</v>
      </c>
      <c r="Y877" s="10"/>
      <c r="Z877" s="30"/>
      <c r="AA877" s="31"/>
      <c r="AB877" s="47"/>
      <c r="AC877" s="31"/>
      <c r="AD877" s="31"/>
      <c r="AE877" s="32">
        <f t="shared" ref="AE877" si="233">SUM(AB877:AC877)</f>
        <v>0</v>
      </c>
      <c r="AF877" s="10"/>
      <c r="AG877" s="10"/>
      <c r="AH877" s="10"/>
      <c r="AI877" s="12">
        <f t="shared" si="226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24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26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208918</v>
      </c>
      <c r="E880" s="38">
        <f t="shared" ref="E880:F880" si="234">SUM(E837:E877)</f>
        <v>0</v>
      </c>
      <c r="F880" s="38">
        <f t="shared" si="234"/>
        <v>0</v>
      </c>
      <c r="G880" s="38">
        <f>SUM(G837:G879)</f>
        <v>208918</v>
      </c>
      <c r="H880" s="4"/>
      <c r="I880" s="39">
        <f>SUM(I837:I879)</f>
        <v>496.5</v>
      </c>
      <c r="J880" s="39">
        <f>SUM(J837:J879)</f>
        <v>-420</v>
      </c>
      <c r="K880" s="40">
        <f>SUM(K837:K879)</f>
        <v>208994.5</v>
      </c>
      <c r="N880" s="57"/>
      <c r="O880" s="57"/>
      <c r="P880" s="38">
        <f>SUM(P837:P879)</f>
        <v>118556.5</v>
      </c>
      <c r="Q880" s="38">
        <f>SUM(Q837:Q861)</f>
        <v>-1200</v>
      </c>
      <c r="R880" s="38">
        <f>SUM(R837:R861)</f>
        <v>0</v>
      </c>
      <c r="S880" s="38">
        <f>SUM(S837:S879)</f>
        <v>117356.5</v>
      </c>
      <c r="T880" s="4"/>
      <c r="U880" s="41">
        <f>SUM(U837:U879)</f>
        <v>0</v>
      </c>
      <c r="V880" s="41">
        <f>SUM(V837:V861)</f>
        <v>0</v>
      </c>
      <c r="W880" s="42">
        <f>SUM(W837:W879)</f>
        <v>117356.5</v>
      </c>
      <c r="Z880" s="57"/>
      <c r="AA880" s="57"/>
      <c r="AB880" s="38">
        <f>SUM(AB837:AB879)</f>
        <v>413148</v>
      </c>
      <c r="AC880" s="38">
        <f>SUM(AC837:AC861)</f>
        <v>-2868</v>
      </c>
      <c r="AD880" s="38">
        <f>SUM(AD837:AD861)</f>
        <v>0</v>
      </c>
      <c r="AE880" s="38">
        <f>SUM(AE837:AE879)</f>
        <v>410280</v>
      </c>
      <c r="AF880" s="4"/>
      <c r="AG880" s="41">
        <f>SUM(AG837:AG879)</f>
        <v>13446</v>
      </c>
      <c r="AH880" s="41">
        <f>SUM(AH837:AH861)</f>
        <v>-2421</v>
      </c>
      <c r="AI880" s="42">
        <f>SUM(AI837:AI879)</f>
        <v>421305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37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37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37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85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85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85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16" t="s">
        <v>18</v>
      </c>
      <c r="E890" s="116"/>
      <c r="F890" s="104"/>
      <c r="G890" s="27"/>
      <c r="I890" s="114" t="s">
        <v>19</v>
      </c>
      <c r="J890" s="115"/>
      <c r="K890" s="112" t="s">
        <v>20</v>
      </c>
      <c r="N890" s="25"/>
      <c r="O890" s="26"/>
      <c r="P890" s="116" t="s">
        <v>18</v>
      </c>
      <c r="Q890" s="116"/>
      <c r="R890" s="104"/>
      <c r="S890" s="27"/>
      <c r="U890" s="114" t="s">
        <v>19</v>
      </c>
      <c r="V890" s="115"/>
      <c r="W890" s="112" t="s">
        <v>20</v>
      </c>
      <c r="Z890" s="25"/>
      <c r="AA890" s="26"/>
      <c r="AB890" s="116" t="s">
        <v>18</v>
      </c>
      <c r="AC890" s="116"/>
      <c r="AD890" s="104"/>
      <c r="AE890" s="27"/>
      <c r="AG890" s="114" t="s">
        <v>19</v>
      </c>
      <c r="AH890" s="115"/>
      <c r="AI890" s="112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79" t="s">
        <v>23</v>
      </c>
      <c r="E891" s="78" t="s">
        <v>24</v>
      </c>
      <c r="F891" s="80" t="s">
        <v>36</v>
      </c>
      <c r="G891" s="80" t="s">
        <v>25</v>
      </c>
      <c r="I891" s="29" t="s">
        <v>26</v>
      </c>
      <c r="J891" s="29" t="s">
        <v>27</v>
      </c>
      <c r="K891" s="113"/>
      <c r="N891" s="28" t="s">
        <v>21</v>
      </c>
      <c r="O891" s="28" t="s">
        <v>22</v>
      </c>
      <c r="P891" s="79" t="s">
        <v>23</v>
      </c>
      <c r="Q891" s="80" t="s">
        <v>24</v>
      </c>
      <c r="R891" s="80" t="s">
        <v>36</v>
      </c>
      <c r="S891" s="80" t="s">
        <v>25</v>
      </c>
      <c r="U891" s="29" t="s">
        <v>26</v>
      </c>
      <c r="V891" s="29" t="s">
        <v>27</v>
      </c>
      <c r="W891" s="113"/>
      <c r="Z891" s="28" t="s">
        <v>21</v>
      </c>
      <c r="AA891" s="28" t="s">
        <v>22</v>
      </c>
      <c r="AB891" s="79" t="s">
        <v>23</v>
      </c>
      <c r="AC891" s="80" t="s">
        <v>24</v>
      </c>
      <c r="AD891" s="80" t="s">
        <v>36</v>
      </c>
      <c r="AE891" s="80" t="s">
        <v>25</v>
      </c>
      <c r="AG891" s="29" t="s">
        <v>26</v>
      </c>
      <c r="AH891" s="29" t="s">
        <v>27</v>
      </c>
      <c r="AI891" s="113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86</v>
      </c>
      <c r="C892" s="31">
        <v>6115</v>
      </c>
      <c r="D892" s="32">
        <f>10016+1228+832+152</f>
        <v>12228</v>
      </c>
      <c r="E892" s="32"/>
      <c r="F892" s="32"/>
      <c r="G892" s="32">
        <f t="shared" ref="G892:G925" si="235">SUM(D892:E892)</f>
        <v>12228</v>
      </c>
      <c r="H892" s="12"/>
      <c r="I892" s="12">
        <v>54</v>
      </c>
      <c r="J892" s="12"/>
      <c r="K892" s="12">
        <f t="shared" ref="K892:K925" si="236">SUM(G892:J892)</f>
        <v>12282</v>
      </c>
      <c r="M892" s="10">
        <v>1</v>
      </c>
      <c r="N892" s="30" t="s">
        <v>86</v>
      </c>
      <c r="O892" s="31">
        <v>6018</v>
      </c>
      <c r="P892" s="32">
        <f>56340+5960</f>
        <v>62300</v>
      </c>
      <c r="Q892" s="32">
        <v>-800</v>
      </c>
      <c r="R892" s="32"/>
      <c r="S892" s="32">
        <f>SUM(P892:Q892)</f>
        <v>61500</v>
      </c>
      <c r="T892" s="12"/>
      <c r="U892" s="12"/>
      <c r="V892" s="12"/>
      <c r="W892" s="12">
        <f>SUM(S892:V892)</f>
        <v>61500</v>
      </c>
      <c r="Y892" s="10">
        <v>1</v>
      </c>
      <c r="Z892" s="30" t="s">
        <v>86</v>
      </c>
      <c r="AA892" s="31">
        <v>6054</v>
      </c>
      <c r="AB892" s="32">
        <f>3130+1788+76</f>
        <v>4994</v>
      </c>
      <c r="AC892" s="32"/>
      <c r="AD892" s="32"/>
      <c r="AE892" s="32">
        <f>SUM(AB892:AC892)</f>
        <v>4994</v>
      </c>
      <c r="AF892" s="12"/>
      <c r="AG892" s="12"/>
      <c r="AH892" s="12"/>
      <c r="AI892" s="12">
        <f>SUM(AE892:AH892)</f>
        <v>4994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86</v>
      </c>
      <c r="C893" s="31">
        <f>C892+1</f>
        <v>6116</v>
      </c>
      <c r="D893" s="32">
        <f>43820+1228+3576</f>
        <v>48624</v>
      </c>
      <c r="E893" s="32"/>
      <c r="F893" s="32"/>
      <c r="G893" s="32">
        <f t="shared" si="235"/>
        <v>48624</v>
      </c>
      <c r="H893" s="12"/>
      <c r="I893" s="12"/>
      <c r="J893" s="12"/>
      <c r="K893" s="12">
        <f t="shared" si="236"/>
        <v>48624</v>
      </c>
      <c r="M893" s="10">
        <v>2</v>
      </c>
      <c r="N893" s="30" t="s">
        <v>86</v>
      </c>
      <c r="O893" s="31">
        <f>O892+1</f>
        <v>6019</v>
      </c>
      <c r="P893" s="32">
        <f>35682+458</f>
        <v>36140</v>
      </c>
      <c r="Q893" s="32"/>
      <c r="R893" s="32"/>
      <c r="S893" s="32">
        <f t="shared" ref="S893:S930" si="237">SUM(P893:Q893)</f>
        <v>36140</v>
      </c>
      <c r="T893" s="12"/>
      <c r="U893" s="12">
        <v>72</v>
      </c>
      <c r="V893" s="12"/>
      <c r="W893" s="12">
        <f t="shared" ref="W893:W933" si="238">SUM(S893:V893)</f>
        <v>36212</v>
      </c>
      <c r="Y893" s="10">
        <v>2</v>
      </c>
      <c r="Z893" s="30" t="s">
        <v>86</v>
      </c>
      <c r="AA893" s="31">
        <f>AA892+1</f>
        <v>6055</v>
      </c>
      <c r="AB893" s="32">
        <f>31300+29800+916</f>
        <v>62016</v>
      </c>
      <c r="AC893" s="32"/>
      <c r="AD893" s="32"/>
      <c r="AE893" s="32">
        <f t="shared" ref="AE893:AE930" si="239">SUM(AB893:AC893)</f>
        <v>62016</v>
      </c>
      <c r="AF893" s="12"/>
      <c r="AG893" s="12"/>
      <c r="AH893" s="12">
        <v>-11100</v>
      </c>
      <c r="AI893" s="12">
        <f t="shared" ref="AI893:AI933" si="240">SUM(AE893:AH893)</f>
        <v>50916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86</v>
      </c>
      <c r="C894" s="31">
        <f t="shared" ref="C894:C913" si="241">C893+1</f>
        <v>6117</v>
      </c>
      <c r="D894" s="33">
        <f>1252+1192+38</f>
        <v>2482</v>
      </c>
      <c r="E894" s="33"/>
      <c r="F894" s="33"/>
      <c r="G894" s="33">
        <f t="shared" si="235"/>
        <v>2482</v>
      </c>
      <c r="H894" s="34"/>
      <c r="I894" s="34"/>
      <c r="J894" s="34"/>
      <c r="K894" s="34">
        <f t="shared" si="236"/>
        <v>2482</v>
      </c>
      <c r="M894" s="10">
        <v>3</v>
      </c>
      <c r="N894" s="30" t="s">
        <v>86</v>
      </c>
      <c r="O894" s="31">
        <f t="shared" ref="O894:O900" si="242">O893+1</f>
        <v>6020</v>
      </c>
      <c r="P894" s="32">
        <f>626+1788</f>
        <v>2414</v>
      </c>
      <c r="Q894" s="32"/>
      <c r="R894" s="32"/>
      <c r="S894" s="32">
        <f t="shared" si="237"/>
        <v>2414</v>
      </c>
      <c r="T894" s="12"/>
      <c r="U894" s="12"/>
      <c r="V894" s="12"/>
      <c r="W894" s="12">
        <f t="shared" si="238"/>
        <v>2414</v>
      </c>
      <c r="Y894" s="10">
        <v>3</v>
      </c>
      <c r="Z894" s="30" t="s">
        <v>86</v>
      </c>
      <c r="AA894" s="31">
        <f t="shared" ref="AA894:AA895" si="243">AA893+1</f>
        <v>6056</v>
      </c>
      <c r="AB894" s="33">
        <f>62600+916</f>
        <v>63516</v>
      </c>
      <c r="AC894" s="33">
        <v>-624</v>
      </c>
      <c r="AD894" s="32"/>
      <c r="AE894" s="32">
        <f t="shared" si="239"/>
        <v>62892</v>
      </c>
      <c r="AF894" s="12"/>
      <c r="AG894" s="12"/>
      <c r="AH894" s="12">
        <v>-3330</v>
      </c>
      <c r="AI894" s="12">
        <f t="shared" si="240"/>
        <v>59562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86</v>
      </c>
      <c r="C895" s="31">
        <f t="shared" si="241"/>
        <v>6118</v>
      </c>
      <c r="D895" s="32">
        <f>6260+1228+1348+1192+913+114</f>
        <v>11055</v>
      </c>
      <c r="E895" s="32"/>
      <c r="F895" s="32"/>
      <c r="G895" s="32">
        <f t="shared" si="235"/>
        <v>11055</v>
      </c>
      <c r="H895" s="12"/>
      <c r="I895" s="12">
        <f>36+162</f>
        <v>198</v>
      </c>
      <c r="J895" s="12"/>
      <c r="K895" s="12">
        <f t="shared" si="236"/>
        <v>11253</v>
      </c>
      <c r="M895" s="10">
        <v>4</v>
      </c>
      <c r="N895" s="30" t="s">
        <v>86</v>
      </c>
      <c r="O895" s="31">
        <f t="shared" si="242"/>
        <v>6021</v>
      </c>
      <c r="P895" s="32">
        <f>12520+2980+229</f>
        <v>15729</v>
      </c>
      <c r="Q895" s="32"/>
      <c r="R895" s="32"/>
      <c r="S895" s="32">
        <f t="shared" si="237"/>
        <v>15729</v>
      </c>
      <c r="T895" s="12"/>
      <c r="U895" s="12">
        <v>78</v>
      </c>
      <c r="V895" s="12"/>
      <c r="W895" s="12">
        <f t="shared" si="238"/>
        <v>15807</v>
      </c>
      <c r="Y895" s="10">
        <v>4</v>
      </c>
      <c r="Z895" s="30" t="s">
        <v>86</v>
      </c>
      <c r="AA895" s="31">
        <f t="shared" si="243"/>
        <v>6057</v>
      </c>
      <c r="AB895" s="32">
        <f>31300+1348+458</f>
        <v>33106</v>
      </c>
      <c r="AC895" s="32">
        <v>-324</v>
      </c>
      <c r="AD895" s="32"/>
      <c r="AE895" s="32">
        <f t="shared" si="239"/>
        <v>32782</v>
      </c>
      <c r="AF895" s="12"/>
      <c r="AH895" s="12">
        <v>-3330</v>
      </c>
      <c r="AI895" s="12">
        <f t="shared" si="240"/>
        <v>29452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86</v>
      </c>
      <c r="C896" s="31">
        <f t="shared" si="241"/>
        <v>6119</v>
      </c>
      <c r="D896" s="32">
        <f>1878+596+38</f>
        <v>2512</v>
      </c>
      <c r="E896" s="32"/>
      <c r="F896" s="32"/>
      <c r="G896" s="32">
        <f t="shared" si="235"/>
        <v>2512</v>
      </c>
      <c r="H896" s="12"/>
      <c r="I896" s="12">
        <f>6+9</f>
        <v>15</v>
      </c>
      <c r="J896" s="12"/>
      <c r="K896" s="12">
        <f t="shared" si="236"/>
        <v>2527</v>
      </c>
      <c r="M896" s="10">
        <v>5</v>
      </c>
      <c r="N896" s="30" t="s">
        <v>86</v>
      </c>
      <c r="O896" s="31">
        <f t="shared" si="242"/>
        <v>6022</v>
      </c>
      <c r="P896" s="32">
        <f>626*2+19</f>
        <v>1271</v>
      </c>
      <c r="Q896" s="32"/>
      <c r="R896" s="32"/>
      <c r="S896" s="32">
        <f t="shared" si="237"/>
        <v>1271</v>
      </c>
      <c r="T896" s="12"/>
      <c r="U896" s="12"/>
      <c r="V896" s="12"/>
      <c r="W896" s="12">
        <f t="shared" si="238"/>
        <v>1271</v>
      </c>
      <c r="Y896" s="10">
        <v>5</v>
      </c>
      <c r="Z896" s="30"/>
      <c r="AA896" s="11" t="s">
        <v>28</v>
      </c>
      <c r="AB896" s="32"/>
      <c r="AC896" s="32"/>
      <c r="AD896" s="32"/>
      <c r="AE896" s="32">
        <f t="shared" si="239"/>
        <v>0</v>
      </c>
      <c r="AF896" s="12"/>
      <c r="AG896" s="12"/>
      <c r="AH896" s="12"/>
      <c r="AI896" s="12">
        <f t="shared" si="240"/>
        <v>0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86</v>
      </c>
      <c r="C897" s="31">
        <f t="shared" si="241"/>
        <v>6120</v>
      </c>
      <c r="D897" s="32">
        <f>1252+19</f>
        <v>1271</v>
      </c>
      <c r="E897" s="32"/>
      <c r="F897" s="32"/>
      <c r="G897" s="32">
        <f t="shared" si="235"/>
        <v>1271</v>
      </c>
      <c r="H897" s="12"/>
      <c r="I897" s="12">
        <f>3+4.5</f>
        <v>7.5</v>
      </c>
      <c r="J897" s="12"/>
      <c r="K897" s="12">
        <f t="shared" si="236"/>
        <v>1278.5</v>
      </c>
      <c r="M897" s="10">
        <v>6</v>
      </c>
      <c r="N897" s="30" t="s">
        <v>86</v>
      </c>
      <c r="O897" s="31">
        <f t="shared" si="242"/>
        <v>6023</v>
      </c>
      <c r="P897" s="32">
        <f>3756+57</f>
        <v>3813</v>
      </c>
      <c r="Q897" s="32"/>
      <c r="R897" s="32"/>
      <c r="S897" s="32">
        <f t="shared" si="237"/>
        <v>3813</v>
      </c>
      <c r="T897" s="12"/>
      <c r="U897" s="12"/>
      <c r="V897" s="10"/>
      <c r="W897" s="12">
        <f t="shared" si="238"/>
        <v>3813</v>
      </c>
      <c r="Y897" s="10">
        <v>6</v>
      </c>
      <c r="Z897" s="30"/>
      <c r="AA897" s="31"/>
      <c r="AB897" s="32"/>
      <c r="AC897" s="32"/>
      <c r="AD897" s="32"/>
      <c r="AE897" s="32">
        <f t="shared" si="239"/>
        <v>0</v>
      </c>
      <c r="AF897" s="12"/>
      <c r="AG897" s="12"/>
      <c r="AH897" s="10"/>
      <c r="AI897" s="12">
        <f t="shared" si="240"/>
        <v>0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86</v>
      </c>
      <c r="C898" s="31">
        <f t="shared" si="241"/>
        <v>6121</v>
      </c>
      <c r="D898" s="32">
        <f>3756+57</f>
        <v>3813</v>
      </c>
      <c r="E898" s="32"/>
      <c r="F898" s="32"/>
      <c r="G898" s="32">
        <f t="shared" si="235"/>
        <v>3813</v>
      </c>
      <c r="H898" s="12"/>
      <c r="I898" s="12">
        <v>9</v>
      </c>
      <c r="J898" s="12"/>
      <c r="K898" s="12">
        <f t="shared" si="236"/>
        <v>3822</v>
      </c>
      <c r="M898" s="10">
        <v>7</v>
      </c>
      <c r="N898" s="30" t="s">
        <v>86</v>
      </c>
      <c r="O898" s="31">
        <f t="shared" si="242"/>
        <v>6024</v>
      </c>
      <c r="P898" s="32">
        <f>7512+1788+142.5</f>
        <v>9442.5</v>
      </c>
      <c r="Q898" s="32"/>
      <c r="R898" s="32"/>
      <c r="S898" s="32">
        <f t="shared" si="237"/>
        <v>9442.5</v>
      </c>
      <c r="T898" s="12"/>
      <c r="U898" s="12"/>
      <c r="V898" s="12"/>
      <c r="W898" s="12">
        <f t="shared" si="238"/>
        <v>9442.5</v>
      </c>
      <c r="Y898" s="10">
        <v>7</v>
      </c>
      <c r="Z898" s="30"/>
      <c r="AB898" s="32"/>
      <c r="AC898" s="32"/>
      <c r="AD898" s="32"/>
      <c r="AE898" s="32">
        <f t="shared" si="239"/>
        <v>0</v>
      </c>
      <c r="AF898" s="12"/>
      <c r="AG898" s="58"/>
      <c r="AH898" s="12"/>
      <c r="AI898" s="12">
        <f t="shared" si="240"/>
        <v>0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86</v>
      </c>
      <c r="C899" s="31">
        <f t="shared" si="241"/>
        <v>6122</v>
      </c>
      <c r="D899" s="32">
        <f>2504+38</f>
        <v>2542</v>
      </c>
      <c r="E899" s="32"/>
      <c r="F899" s="32"/>
      <c r="G899" s="32">
        <f t="shared" si="235"/>
        <v>2542</v>
      </c>
      <c r="H899" s="12"/>
      <c r="I899" s="12"/>
      <c r="J899" s="12"/>
      <c r="K899" s="12">
        <f t="shared" si="236"/>
        <v>2542</v>
      </c>
      <c r="M899" s="10">
        <v>8</v>
      </c>
      <c r="N899" s="30" t="s">
        <v>86</v>
      </c>
      <c r="O899" s="31">
        <f t="shared" si="242"/>
        <v>6025</v>
      </c>
      <c r="P899" s="32">
        <f>5008+596+9.5*9</f>
        <v>5689.5</v>
      </c>
      <c r="Q899" s="32"/>
      <c r="R899" s="32"/>
      <c r="S899" s="32">
        <f t="shared" si="237"/>
        <v>5689.5</v>
      </c>
      <c r="T899" s="12"/>
      <c r="U899" s="12"/>
      <c r="V899" s="12"/>
      <c r="W899" s="12">
        <f t="shared" si="238"/>
        <v>5689.5</v>
      </c>
      <c r="Y899" s="10">
        <v>8</v>
      </c>
      <c r="Z899" s="30"/>
      <c r="AA899" s="31"/>
      <c r="AB899" s="32"/>
      <c r="AC899" s="32"/>
      <c r="AE899" s="32">
        <f t="shared" si="239"/>
        <v>0</v>
      </c>
      <c r="AF899" s="12"/>
      <c r="AG899" s="12"/>
      <c r="AH899" s="12"/>
      <c r="AI899" s="12">
        <f t="shared" si="240"/>
        <v>0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86</v>
      </c>
      <c r="C900" s="31">
        <f t="shared" si="241"/>
        <v>6123</v>
      </c>
      <c r="D900" s="32">
        <f>1878+1192+47</f>
        <v>3117</v>
      </c>
      <c r="E900" s="32"/>
      <c r="F900" s="32"/>
      <c r="G900" s="32">
        <f t="shared" si="235"/>
        <v>3117</v>
      </c>
      <c r="H900" s="12"/>
      <c r="I900" s="12"/>
      <c r="J900" s="12"/>
      <c r="K900" s="12">
        <f t="shared" si="236"/>
        <v>3117</v>
      </c>
      <c r="M900" s="10">
        <v>9</v>
      </c>
      <c r="N900" s="30" t="s">
        <v>86</v>
      </c>
      <c r="O900" s="31">
        <f t="shared" si="242"/>
        <v>6026</v>
      </c>
      <c r="P900" s="32">
        <f>2504+38</f>
        <v>2542</v>
      </c>
      <c r="Q900" s="32"/>
      <c r="R900" s="32"/>
      <c r="S900" s="32">
        <f t="shared" si="237"/>
        <v>2542</v>
      </c>
      <c r="T900" s="12"/>
      <c r="U900" s="12"/>
      <c r="V900" s="12"/>
      <c r="W900" s="12">
        <f t="shared" si="238"/>
        <v>2542</v>
      </c>
      <c r="Y900" s="10">
        <v>9</v>
      </c>
      <c r="Z900" s="30"/>
      <c r="AA900" s="31"/>
      <c r="AC900" s="32"/>
      <c r="AD900" s="32"/>
      <c r="AE900" s="32">
        <f t="shared" si="239"/>
        <v>0</v>
      </c>
      <c r="AF900" s="12"/>
      <c r="AH900" s="12"/>
      <c r="AI900" s="12">
        <f t="shared" si="240"/>
        <v>0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86</v>
      </c>
      <c r="C901" s="31">
        <f t="shared" si="241"/>
        <v>6124</v>
      </c>
      <c r="D901" s="32">
        <f>5008+614+76</f>
        <v>5698</v>
      </c>
      <c r="E901" s="32"/>
      <c r="F901" s="32"/>
      <c r="G901" s="32">
        <f t="shared" si="235"/>
        <v>5698</v>
      </c>
      <c r="H901" s="12"/>
      <c r="I901" s="12"/>
      <c r="J901" s="12"/>
      <c r="K901" s="12">
        <f t="shared" si="236"/>
        <v>5698</v>
      </c>
      <c r="M901" s="10">
        <v>10</v>
      </c>
      <c r="N901" s="30"/>
      <c r="O901" s="11" t="s">
        <v>28</v>
      </c>
      <c r="P901" s="32"/>
      <c r="Q901" s="32"/>
      <c r="R901" s="32"/>
      <c r="S901" s="32">
        <f t="shared" si="237"/>
        <v>0</v>
      </c>
      <c r="T901" s="12"/>
      <c r="U901" s="12"/>
      <c r="V901" s="12"/>
      <c r="W901" s="12">
        <f t="shared" si="238"/>
        <v>0</v>
      </c>
      <c r="Y901" s="10">
        <v>10</v>
      </c>
      <c r="Z901" s="30"/>
      <c r="AA901" s="31"/>
      <c r="AB901" s="32"/>
      <c r="AC901" s="32"/>
      <c r="AD901" s="32"/>
      <c r="AE901" s="32">
        <f t="shared" si="239"/>
        <v>0</v>
      </c>
      <c r="AF901" s="12"/>
      <c r="AG901" s="12"/>
      <c r="AH901" s="12"/>
      <c r="AI901" s="12">
        <f t="shared" si="240"/>
        <v>0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86</v>
      </c>
      <c r="C902" s="31">
        <f t="shared" si="241"/>
        <v>6125</v>
      </c>
      <c r="D902" s="32">
        <f>4382+1788+1005+95+500</f>
        <v>7770</v>
      </c>
      <c r="E902" s="32"/>
      <c r="F902" s="32"/>
      <c r="G902" s="32">
        <f t="shared" si="235"/>
        <v>7770</v>
      </c>
      <c r="H902" s="12"/>
      <c r="I902" s="12"/>
      <c r="J902" s="12"/>
      <c r="K902" s="12">
        <f t="shared" si="236"/>
        <v>7770</v>
      </c>
      <c r="M902" s="10">
        <v>11</v>
      </c>
      <c r="N902" s="30"/>
      <c r="O902" s="31"/>
      <c r="P902" s="32"/>
      <c r="Q902" s="32"/>
      <c r="R902" s="32"/>
      <c r="S902" s="32">
        <f t="shared" si="237"/>
        <v>0</v>
      </c>
      <c r="T902" s="12"/>
      <c r="U902" s="12"/>
      <c r="V902" s="12"/>
      <c r="W902" s="12">
        <f t="shared" si="238"/>
        <v>0</v>
      </c>
      <c r="Y902" s="10">
        <v>11</v>
      </c>
      <c r="Z902" s="30"/>
      <c r="AB902" s="32"/>
      <c r="AC902" s="32"/>
      <c r="AD902" s="32"/>
      <c r="AE902" s="32">
        <f t="shared" si="239"/>
        <v>0</v>
      </c>
      <c r="AF902" s="12"/>
      <c r="AG902" s="12"/>
      <c r="AH902" s="12"/>
      <c r="AI902" s="12">
        <f t="shared" si="240"/>
        <v>0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86</v>
      </c>
      <c r="C903" s="31">
        <f t="shared" si="241"/>
        <v>6126</v>
      </c>
      <c r="D903" s="32">
        <f>1878+28</f>
        <v>1906</v>
      </c>
      <c r="E903" s="32"/>
      <c r="F903" s="32"/>
      <c r="G903" s="32">
        <f t="shared" si="235"/>
        <v>1906</v>
      </c>
      <c r="H903" s="12"/>
      <c r="I903" s="12">
        <v>9</v>
      </c>
      <c r="J903" s="10"/>
      <c r="K903" s="12">
        <f t="shared" si="236"/>
        <v>1915</v>
      </c>
      <c r="M903" s="10">
        <v>12</v>
      </c>
      <c r="N903" s="30"/>
      <c r="O903" s="31"/>
      <c r="P903" s="32"/>
      <c r="Q903" s="32"/>
      <c r="R903" s="32"/>
      <c r="S903" s="32">
        <f t="shared" si="237"/>
        <v>0</v>
      </c>
      <c r="T903" s="12"/>
      <c r="U903" s="12"/>
      <c r="V903" s="12"/>
      <c r="W903" s="12">
        <f t="shared" si="238"/>
        <v>0</v>
      </c>
      <c r="Y903" s="10">
        <v>12</v>
      </c>
      <c r="Z903" s="30"/>
      <c r="AB903" s="32"/>
      <c r="AC903" s="32"/>
      <c r="AD903" s="32"/>
      <c r="AE903" s="32">
        <f t="shared" si="239"/>
        <v>0</v>
      </c>
      <c r="AF903" s="12"/>
      <c r="AG903" s="12"/>
      <c r="AH903" s="12"/>
      <c r="AI903" s="12">
        <f t="shared" si="240"/>
        <v>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86</v>
      </c>
      <c r="C904" s="31">
        <f t="shared" si="241"/>
        <v>6127</v>
      </c>
      <c r="D904" s="32">
        <f>3756+57</f>
        <v>3813</v>
      </c>
      <c r="E904" s="32"/>
      <c r="F904" s="32"/>
      <c r="G904" s="32">
        <f t="shared" si="235"/>
        <v>3813</v>
      </c>
      <c r="H904" s="12"/>
      <c r="I904" s="12"/>
      <c r="J904" s="12"/>
      <c r="K904" s="12">
        <f t="shared" si="236"/>
        <v>3813</v>
      </c>
      <c r="M904" s="10">
        <v>13</v>
      </c>
      <c r="N904" s="30"/>
      <c r="O904" s="31"/>
      <c r="P904" s="32"/>
      <c r="Q904" s="32"/>
      <c r="R904" s="32"/>
      <c r="S904" s="32">
        <f t="shared" si="237"/>
        <v>0</v>
      </c>
      <c r="T904" s="12"/>
      <c r="U904" s="12"/>
      <c r="V904" s="12"/>
      <c r="W904" s="12">
        <f t="shared" si="238"/>
        <v>0</v>
      </c>
      <c r="Y904" s="10">
        <v>13</v>
      </c>
      <c r="Z904" s="30"/>
      <c r="AA904" s="31"/>
      <c r="AB904" s="32"/>
      <c r="AC904" s="32"/>
      <c r="AD904" s="32"/>
      <c r="AE904" s="32">
        <f t="shared" si="239"/>
        <v>0</v>
      </c>
      <c r="AF904" s="12"/>
      <c r="AG904" s="12"/>
      <c r="AH904" s="12"/>
      <c r="AI904" s="12">
        <f t="shared" si="240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86</v>
      </c>
      <c r="C905" s="31">
        <f t="shared" si="241"/>
        <v>6128</v>
      </c>
      <c r="D905" s="32">
        <f>5008+1228+1192+95</f>
        <v>7523</v>
      </c>
      <c r="E905" s="32"/>
      <c r="F905" s="32"/>
      <c r="G905" s="32">
        <f t="shared" si="235"/>
        <v>7523</v>
      </c>
      <c r="H905" s="12"/>
      <c r="I905" s="12"/>
      <c r="J905" s="12"/>
      <c r="K905" s="12">
        <f t="shared" si="236"/>
        <v>7523</v>
      </c>
      <c r="M905" s="10">
        <v>14</v>
      </c>
      <c r="N905" s="30"/>
      <c r="O905" s="31"/>
      <c r="P905" s="32"/>
      <c r="Q905" s="32"/>
      <c r="R905" s="32"/>
      <c r="S905" s="32">
        <f t="shared" si="237"/>
        <v>0</v>
      </c>
      <c r="T905" s="12"/>
      <c r="U905" s="12"/>
      <c r="V905" s="12"/>
      <c r="W905" s="12">
        <f t="shared" si="238"/>
        <v>0</v>
      </c>
      <c r="Y905" s="10">
        <v>14</v>
      </c>
      <c r="Z905" s="30"/>
      <c r="AA905" s="31"/>
      <c r="AB905" s="32"/>
      <c r="AC905" s="32"/>
      <c r="AD905" s="32"/>
      <c r="AE905" s="32">
        <f t="shared" si="239"/>
        <v>0</v>
      </c>
      <c r="AF905" s="12"/>
      <c r="AG905" s="12"/>
      <c r="AH905" s="12"/>
      <c r="AI905" s="12">
        <f t="shared" si="240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86</v>
      </c>
      <c r="C906" s="31">
        <f t="shared" si="241"/>
        <v>6129</v>
      </c>
      <c r="D906" s="32">
        <f>626+596+19</f>
        <v>1241</v>
      </c>
      <c r="E906" s="32"/>
      <c r="F906" s="32"/>
      <c r="G906" s="32">
        <f t="shared" si="235"/>
        <v>1241</v>
      </c>
      <c r="H906" s="12"/>
      <c r="I906" s="12"/>
      <c r="J906" s="12"/>
      <c r="K906" s="12">
        <f t="shared" si="236"/>
        <v>1241</v>
      </c>
      <c r="M906" s="10">
        <v>15</v>
      </c>
      <c r="N906" s="30"/>
      <c r="O906" s="31"/>
      <c r="P906" s="32"/>
      <c r="Q906" s="32"/>
      <c r="R906" s="32"/>
      <c r="S906" s="32">
        <f t="shared" si="237"/>
        <v>0</v>
      </c>
      <c r="T906" s="12"/>
      <c r="U906" s="12"/>
      <c r="V906" s="12"/>
      <c r="W906" s="12">
        <f t="shared" si="238"/>
        <v>0</v>
      </c>
      <c r="Y906" s="10">
        <v>15</v>
      </c>
      <c r="Z906" s="30"/>
      <c r="AA906" s="31"/>
      <c r="AB906" s="32"/>
      <c r="AC906" s="32"/>
      <c r="AD906" s="32"/>
      <c r="AE906" s="32">
        <f t="shared" si="239"/>
        <v>0</v>
      </c>
      <c r="AF906" s="12"/>
      <c r="AG906" s="12"/>
      <c r="AH906" s="12"/>
      <c r="AI906" s="12">
        <f t="shared" si="240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 t="s">
        <v>86</v>
      </c>
      <c r="C907" s="31">
        <f t="shared" si="241"/>
        <v>6130</v>
      </c>
      <c r="D907" s="32">
        <f>3130+614+47</f>
        <v>3791</v>
      </c>
      <c r="E907" s="32"/>
      <c r="F907" s="32"/>
      <c r="G907" s="32">
        <f t="shared" si="235"/>
        <v>3791</v>
      </c>
      <c r="H907" s="12"/>
      <c r="I907" s="12"/>
      <c r="J907" s="12"/>
      <c r="K907" s="12">
        <f t="shared" si="236"/>
        <v>3791</v>
      </c>
      <c r="M907" s="10">
        <v>16</v>
      </c>
      <c r="N907" s="30"/>
      <c r="O907" s="31"/>
      <c r="P907" s="32"/>
      <c r="Q907" s="32"/>
      <c r="R907" s="32"/>
      <c r="S907" s="32">
        <f t="shared" si="237"/>
        <v>0</v>
      </c>
      <c r="T907" s="12"/>
      <c r="U907" s="12"/>
      <c r="V907" s="12"/>
      <c r="W907" s="12">
        <f t="shared" si="238"/>
        <v>0</v>
      </c>
      <c r="Y907" s="10">
        <v>16</v>
      </c>
      <c r="Z907" s="30"/>
      <c r="AA907" s="31"/>
      <c r="AB907" s="32"/>
      <c r="AC907" s="32"/>
      <c r="AD907" s="32"/>
      <c r="AE907" s="32">
        <f t="shared" si="239"/>
        <v>0</v>
      </c>
      <c r="AF907" s="12"/>
      <c r="AG907" s="12"/>
      <c r="AH907" s="12"/>
      <c r="AI907" s="12">
        <f t="shared" si="240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 t="s">
        <v>86</v>
      </c>
      <c r="C908" s="31">
        <f t="shared" si="241"/>
        <v>6131</v>
      </c>
      <c r="D908" s="32">
        <f>2504+38</f>
        <v>2542</v>
      </c>
      <c r="E908" s="32"/>
      <c r="F908" s="32"/>
      <c r="G908" s="32">
        <f t="shared" si="235"/>
        <v>2542</v>
      </c>
      <c r="H908" s="12"/>
      <c r="I908" s="12"/>
      <c r="J908" s="12"/>
      <c r="K908" s="12">
        <f t="shared" si="236"/>
        <v>2542</v>
      </c>
      <c r="M908" s="10">
        <v>17</v>
      </c>
      <c r="N908" s="30"/>
      <c r="O908" s="31"/>
      <c r="P908" s="35"/>
      <c r="Q908" s="32"/>
      <c r="R908" s="32"/>
      <c r="S908" s="32">
        <f t="shared" si="237"/>
        <v>0</v>
      </c>
      <c r="T908" s="12"/>
      <c r="U908" s="12"/>
      <c r="V908" s="12"/>
      <c r="W908" s="12">
        <f t="shared" si="238"/>
        <v>0</v>
      </c>
      <c r="Y908" s="10">
        <v>17</v>
      </c>
      <c r="Z908" s="30"/>
      <c r="AA908" s="31"/>
      <c r="AB908" s="35"/>
      <c r="AC908" s="32"/>
      <c r="AD908" s="32"/>
      <c r="AE908" s="32">
        <f t="shared" si="239"/>
        <v>0</v>
      </c>
      <c r="AF908" s="12"/>
      <c r="AG908" s="12"/>
      <c r="AH908" s="12"/>
      <c r="AI908" s="12">
        <f t="shared" si="240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 t="s">
        <v>86</v>
      </c>
      <c r="C909" s="31">
        <f t="shared" si="241"/>
        <v>6132</v>
      </c>
      <c r="D909" s="32">
        <f>3130+596+57</f>
        <v>3783</v>
      </c>
      <c r="E909" s="32"/>
      <c r="F909" s="32"/>
      <c r="G909" s="32">
        <f t="shared" si="235"/>
        <v>3783</v>
      </c>
      <c r="H909" s="12"/>
      <c r="I909" s="12"/>
      <c r="J909" s="12"/>
      <c r="K909" s="12">
        <f t="shared" si="236"/>
        <v>3783</v>
      </c>
      <c r="M909" s="10">
        <v>18</v>
      </c>
      <c r="N909" s="30"/>
      <c r="O909" s="31"/>
      <c r="P909" s="32"/>
      <c r="Q909" s="32"/>
      <c r="R909" s="32"/>
      <c r="S909" s="32">
        <f t="shared" si="237"/>
        <v>0</v>
      </c>
      <c r="T909" s="12"/>
      <c r="U909" s="12"/>
      <c r="V909" s="12"/>
      <c r="W909" s="12">
        <f t="shared" si="238"/>
        <v>0</v>
      </c>
      <c r="Y909" s="10">
        <v>18</v>
      </c>
      <c r="Z909" s="30"/>
      <c r="AA909" s="31"/>
      <c r="AB909" s="32"/>
      <c r="AC909" s="32"/>
      <c r="AD909" s="32"/>
      <c r="AE909" s="32">
        <f t="shared" si="239"/>
        <v>0</v>
      </c>
      <c r="AF909" s="12"/>
      <c r="AG909" s="12"/>
      <c r="AH909" s="12"/>
      <c r="AI909" s="12">
        <f t="shared" si="240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 t="s">
        <v>86</v>
      </c>
      <c r="C910" s="31">
        <f t="shared" si="241"/>
        <v>6133</v>
      </c>
      <c r="D910" s="32">
        <f>13772+1192+502.5+229</f>
        <v>15695.5</v>
      </c>
      <c r="E910" s="32"/>
      <c r="F910" s="32"/>
      <c r="G910" s="32">
        <f t="shared" si="235"/>
        <v>15695.5</v>
      </c>
      <c r="H910" s="12"/>
      <c r="I910" s="12"/>
      <c r="J910" s="12"/>
      <c r="K910" s="12">
        <f t="shared" si="236"/>
        <v>15695.5</v>
      </c>
      <c r="M910" s="10">
        <v>19</v>
      </c>
      <c r="N910" s="30"/>
      <c r="O910" s="31"/>
      <c r="P910" s="32"/>
      <c r="Q910" s="32"/>
      <c r="R910" s="32"/>
      <c r="S910" s="32">
        <f t="shared" si="237"/>
        <v>0</v>
      </c>
      <c r="T910" s="12"/>
      <c r="U910" s="12"/>
      <c r="V910" s="12"/>
      <c r="W910" s="12">
        <f t="shared" si="238"/>
        <v>0</v>
      </c>
      <c r="Y910" s="10">
        <v>19</v>
      </c>
      <c r="Z910" s="30"/>
      <c r="AA910" s="31"/>
      <c r="AB910" s="32"/>
      <c r="AC910" s="32"/>
      <c r="AD910" s="32"/>
      <c r="AE910" s="32">
        <f t="shared" si="239"/>
        <v>0</v>
      </c>
      <c r="AF910" s="12"/>
      <c r="AG910" s="12"/>
      <c r="AH910" s="12"/>
      <c r="AI910" s="12">
        <f t="shared" si="240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 t="s">
        <v>86</v>
      </c>
      <c r="C911" s="31">
        <f t="shared" si="241"/>
        <v>6134</v>
      </c>
      <c r="D911" s="32">
        <f>8138+123</f>
        <v>8261</v>
      </c>
      <c r="E911" s="32"/>
      <c r="F911" s="32"/>
      <c r="G911" s="32">
        <f t="shared" si="235"/>
        <v>8261</v>
      </c>
      <c r="H911" s="12"/>
      <c r="I911" s="12"/>
      <c r="J911" s="12"/>
      <c r="K911" s="12">
        <f t="shared" si="236"/>
        <v>8261</v>
      </c>
      <c r="M911" s="10">
        <v>20</v>
      </c>
      <c r="N911" s="30"/>
      <c r="O911" s="31"/>
      <c r="P911" s="32"/>
      <c r="Q911" s="32"/>
      <c r="R911" s="32"/>
      <c r="S911" s="32">
        <f t="shared" si="237"/>
        <v>0</v>
      </c>
      <c r="T911" s="12"/>
      <c r="U911" s="12"/>
      <c r="V911" s="12"/>
      <c r="W911" s="12">
        <f t="shared" si="238"/>
        <v>0</v>
      </c>
      <c r="Y911" s="10">
        <v>20</v>
      </c>
      <c r="Z911" s="30"/>
      <c r="AA911" s="31"/>
      <c r="AB911" s="32"/>
      <c r="AC911" s="32"/>
      <c r="AD911" s="32"/>
      <c r="AE911" s="32">
        <f t="shared" si="239"/>
        <v>0</v>
      </c>
      <c r="AF911" s="12"/>
      <c r="AG911" s="12"/>
      <c r="AH911" s="12"/>
      <c r="AI911" s="12">
        <f t="shared" si="240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 t="s">
        <v>86</v>
      </c>
      <c r="C912" s="31">
        <f t="shared" si="241"/>
        <v>6135</v>
      </c>
      <c r="D912" s="32">
        <f>7512+1348+114+1175</f>
        <v>10149</v>
      </c>
      <c r="E912" s="32"/>
      <c r="F912" s="32"/>
      <c r="G912" s="32">
        <f t="shared" si="235"/>
        <v>10149</v>
      </c>
      <c r="H912" s="10"/>
      <c r="I912" s="10">
        <v>103.5</v>
      </c>
      <c r="J912" s="10"/>
      <c r="K912" s="12">
        <f t="shared" si="236"/>
        <v>10252.5</v>
      </c>
      <c r="M912" s="10">
        <v>21</v>
      </c>
      <c r="N912" s="30"/>
      <c r="P912" s="46"/>
      <c r="Q912" s="32"/>
      <c r="R912" s="31"/>
      <c r="S912" s="32">
        <f t="shared" si="237"/>
        <v>0</v>
      </c>
      <c r="T912" s="10"/>
      <c r="U912" s="10"/>
      <c r="V912" s="10"/>
      <c r="W912" s="12">
        <f t="shared" si="238"/>
        <v>0</v>
      </c>
      <c r="Y912" s="10">
        <v>21</v>
      </c>
      <c r="Z912" s="30"/>
      <c r="AB912" s="46"/>
      <c r="AC912" s="31"/>
      <c r="AD912" s="31"/>
      <c r="AE912" s="32">
        <f t="shared" si="239"/>
        <v>0</v>
      </c>
      <c r="AF912" s="10"/>
      <c r="AG912" s="10"/>
      <c r="AH912" s="10"/>
      <c r="AI912" s="12">
        <f t="shared" si="240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 t="s">
        <v>86</v>
      </c>
      <c r="C913" s="31">
        <f t="shared" si="241"/>
        <v>6136</v>
      </c>
      <c r="D913" s="32">
        <f>3756</f>
        <v>3756</v>
      </c>
      <c r="E913" s="32"/>
      <c r="F913" s="32"/>
      <c r="G913" s="32">
        <f t="shared" si="235"/>
        <v>3756</v>
      </c>
      <c r="H913" s="10"/>
      <c r="I913" s="10">
        <v>54</v>
      </c>
      <c r="J913" s="10"/>
      <c r="K913" s="12">
        <f t="shared" si="236"/>
        <v>3810</v>
      </c>
      <c r="M913" s="10">
        <v>22</v>
      </c>
      <c r="N913" s="30"/>
      <c r="O913" s="31"/>
      <c r="P913" s="45"/>
      <c r="Q913" s="32"/>
      <c r="R913" s="31"/>
      <c r="S913" s="32">
        <f t="shared" si="237"/>
        <v>0</v>
      </c>
      <c r="T913" s="10"/>
      <c r="U913" s="10"/>
      <c r="V913" s="10"/>
      <c r="W913" s="12">
        <f t="shared" si="238"/>
        <v>0</v>
      </c>
      <c r="Y913" s="10">
        <v>22</v>
      </c>
      <c r="Z913" s="30"/>
      <c r="AA913" s="31"/>
      <c r="AB913" s="45"/>
      <c r="AC913" s="31"/>
      <c r="AD913" s="31"/>
      <c r="AE913" s="32">
        <f t="shared" si="239"/>
        <v>0</v>
      </c>
      <c r="AF913" s="10"/>
      <c r="AG913" s="10"/>
      <c r="AH913" s="10"/>
      <c r="AI913" s="12">
        <f t="shared" si="240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11" t="s">
        <v>28</v>
      </c>
      <c r="D914" s="32"/>
      <c r="E914" s="32"/>
      <c r="F914" s="32"/>
      <c r="G914" s="32">
        <f t="shared" si="235"/>
        <v>0</v>
      </c>
      <c r="H914" s="10"/>
      <c r="I914" s="10"/>
      <c r="J914" s="12"/>
      <c r="K914" s="12">
        <f t="shared" si="236"/>
        <v>0</v>
      </c>
      <c r="M914" s="10">
        <v>23</v>
      </c>
      <c r="N914" s="30"/>
      <c r="O914" s="31"/>
      <c r="P914" s="47"/>
      <c r="Q914" s="32"/>
      <c r="S914" s="32">
        <f t="shared" si="237"/>
        <v>0</v>
      </c>
      <c r="T914" s="10"/>
      <c r="U914" s="10"/>
      <c r="V914" s="10"/>
      <c r="W914" s="12">
        <f t="shared" si="238"/>
        <v>0</v>
      </c>
      <c r="Y914" s="10">
        <v>23</v>
      </c>
      <c r="Z914" s="30"/>
      <c r="AA914" s="31"/>
      <c r="AB914" s="47"/>
      <c r="AC914" s="31"/>
      <c r="AE914" s="32">
        <f t="shared" si="239"/>
        <v>0</v>
      </c>
      <c r="AF914" s="10"/>
      <c r="AG914" s="10"/>
      <c r="AH914" s="10"/>
      <c r="AI914" s="12">
        <f t="shared" si="240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235"/>
        <v>0</v>
      </c>
      <c r="H915" s="10"/>
      <c r="I915" s="10"/>
      <c r="J915" s="10"/>
      <c r="K915" s="12">
        <f t="shared" si="236"/>
        <v>0</v>
      </c>
      <c r="M915" s="10">
        <v>24</v>
      </c>
      <c r="N915" s="30"/>
      <c r="O915" s="31"/>
      <c r="P915" s="47"/>
      <c r="Q915" s="32"/>
      <c r="R915" s="31"/>
      <c r="S915" s="32">
        <f t="shared" si="237"/>
        <v>0</v>
      </c>
      <c r="T915" s="10"/>
      <c r="U915" s="10"/>
      <c r="V915" s="10"/>
      <c r="W915" s="12">
        <f t="shared" si="23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39"/>
        <v>0</v>
      </c>
      <c r="AF915" s="10"/>
      <c r="AG915" s="10"/>
      <c r="AH915" s="10"/>
      <c r="AI915" s="12">
        <f t="shared" si="240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C916" s="31"/>
      <c r="D916" s="32"/>
      <c r="E916" s="32"/>
      <c r="F916" s="32"/>
      <c r="G916" s="32">
        <f t="shared" si="235"/>
        <v>0</v>
      </c>
      <c r="H916" s="10"/>
      <c r="I916" s="10"/>
      <c r="J916" s="10"/>
      <c r="K916" s="12">
        <f t="shared" si="236"/>
        <v>0</v>
      </c>
      <c r="M916" s="10">
        <v>25</v>
      </c>
      <c r="N916" s="30"/>
      <c r="O916" s="31"/>
      <c r="P916" s="47"/>
      <c r="Q916" s="32"/>
      <c r="R916" s="31"/>
      <c r="S916" s="32">
        <f t="shared" si="237"/>
        <v>0</v>
      </c>
      <c r="T916" s="10"/>
      <c r="U916" s="10"/>
      <c r="V916" s="10"/>
      <c r="W916" s="12">
        <f t="shared" si="23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39"/>
        <v>0</v>
      </c>
      <c r="AF916" s="10"/>
      <c r="AG916" s="10"/>
      <c r="AH916" s="10"/>
      <c r="AI916" s="12">
        <f t="shared" si="240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235"/>
        <v>0</v>
      </c>
      <c r="H917" s="10"/>
      <c r="I917" s="10"/>
      <c r="J917" s="10"/>
      <c r="K917" s="12">
        <f t="shared" si="236"/>
        <v>0</v>
      </c>
      <c r="M917" s="10">
        <v>26</v>
      </c>
      <c r="N917" s="30"/>
      <c r="O917" s="31"/>
      <c r="P917" s="47"/>
      <c r="Q917" s="32"/>
      <c r="R917" s="31"/>
      <c r="S917" s="32">
        <f t="shared" si="237"/>
        <v>0</v>
      </c>
      <c r="T917" s="10"/>
      <c r="U917" s="10"/>
      <c r="V917" s="10"/>
      <c r="W917" s="12">
        <f t="shared" si="238"/>
        <v>0</v>
      </c>
      <c r="Y917" s="10">
        <v>26</v>
      </c>
      <c r="Z917" s="30"/>
      <c r="AB917" s="47"/>
      <c r="AC917" s="31"/>
      <c r="AD917" s="31"/>
      <c r="AE917" s="32">
        <f t="shared" si="239"/>
        <v>0</v>
      </c>
      <c r="AF917" s="10"/>
      <c r="AG917" s="10"/>
      <c r="AH917" s="10"/>
      <c r="AI917" s="12">
        <f t="shared" si="240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31"/>
      <c r="D918" s="32"/>
      <c r="E918" s="32"/>
      <c r="F918" s="32"/>
      <c r="G918" s="32">
        <f t="shared" si="235"/>
        <v>0</v>
      </c>
      <c r="H918" s="10"/>
      <c r="I918" s="10"/>
      <c r="J918" s="10"/>
      <c r="K918" s="12">
        <f t="shared" si="236"/>
        <v>0</v>
      </c>
      <c r="M918" s="10">
        <v>27</v>
      </c>
      <c r="N918" s="30"/>
      <c r="O918" s="31"/>
      <c r="P918" s="47"/>
      <c r="Q918" s="31"/>
      <c r="R918" s="31"/>
      <c r="S918" s="32">
        <f t="shared" si="237"/>
        <v>0</v>
      </c>
      <c r="T918" s="10"/>
      <c r="U918" s="10"/>
      <c r="V918" s="10"/>
      <c r="W918" s="12">
        <f t="shared" si="23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39"/>
        <v>0</v>
      </c>
      <c r="AF918" s="10"/>
      <c r="AG918" s="10"/>
      <c r="AH918" s="10"/>
      <c r="AI918" s="12">
        <f t="shared" si="240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57"/>
      <c r="D919" s="32"/>
      <c r="E919" s="32"/>
      <c r="F919" s="32"/>
      <c r="G919" s="32">
        <f t="shared" si="235"/>
        <v>0</v>
      </c>
      <c r="H919" s="10"/>
      <c r="I919" s="10"/>
      <c r="J919" s="10"/>
      <c r="K919" s="12">
        <f t="shared" si="236"/>
        <v>0</v>
      </c>
      <c r="M919" s="10">
        <v>28</v>
      </c>
      <c r="N919" s="30"/>
      <c r="O919" s="31"/>
      <c r="P919" s="47"/>
      <c r="Q919" s="31"/>
      <c r="R919" s="31"/>
      <c r="S919" s="32">
        <f t="shared" si="237"/>
        <v>0</v>
      </c>
      <c r="T919" s="10"/>
      <c r="U919" s="10"/>
      <c r="V919" s="10"/>
      <c r="W919" s="12">
        <f t="shared" si="23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39"/>
        <v>0</v>
      </c>
      <c r="AF919" s="10"/>
      <c r="AG919" s="10"/>
      <c r="AH919" s="10"/>
      <c r="AI919" s="12">
        <f t="shared" si="240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>
        <f t="shared" si="235"/>
        <v>0</v>
      </c>
      <c r="H920" s="10"/>
      <c r="I920" s="10"/>
      <c r="J920" s="10"/>
      <c r="K920" s="12">
        <f t="shared" si="236"/>
        <v>0</v>
      </c>
      <c r="M920" s="10">
        <v>29</v>
      </c>
      <c r="N920" s="30"/>
      <c r="O920" s="31"/>
      <c r="P920" s="47"/>
      <c r="Q920" s="31"/>
      <c r="R920" s="31"/>
      <c r="S920" s="32">
        <f t="shared" si="237"/>
        <v>0</v>
      </c>
      <c r="T920" s="10"/>
      <c r="U920" s="10"/>
      <c r="V920" s="10"/>
      <c r="W920" s="12">
        <f t="shared" si="23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39"/>
        <v>0</v>
      </c>
      <c r="AF920" s="10"/>
      <c r="AG920" s="10"/>
      <c r="AH920" s="10"/>
      <c r="AI920" s="12">
        <f t="shared" si="240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>
        <f t="shared" si="235"/>
        <v>0</v>
      </c>
      <c r="H921" s="10"/>
      <c r="I921" s="10"/>
      <c r="J921" s="10"/>
      <c r="K921" s="12">
        <f t="shared" si="236"/>
        <v>0</v>
      </c>
      <c r="M921" s="10">
        <v>30</v>
      </c>
      <c r="N921" s="30"/>
      <c r="O921" s="31"/>
      <c r="P921" s="47"/>
      <c r="Q921" s="31"/>
      <c r="R921" s="31"/>
      <c r="S921" s="32">
        <f t="shared" si="237"/>
        <v>0</v>
      </c>
      <c r="T921" s="10"/>
      <c r="U921" s="10"/>
      <c r="V921" s="10"/>
      <c r="W921" s="12">
        <f t="shared" si="23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39"/>
        <v>0</v>
      </c>
      <c r="AF921" s="10"/>
      <c r="AG921" s="10"/>
      <c r="AH921" s="10"/>
      <c r="AI921" s="12">
        <f t="shared" si="240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31"/>
      <c r="D922" s="32"/>
      <c r="E922" s="32"/>
      <c r="F922" s="32"/>
      <c r="G922" s="32">
        <f t="shared" si="235"/>
        <v>0</v>
      </c>
      <c r="H922" s="10"/>
      <c r="I922" s="10"/>
      <c r="J922" s="10"/>
      <c r="K922" s="12">
        <f t="shared" si="236"/>
        <v>0</v>
      </c>
      <c r="M922" s="10">
        <v>31</v>
      </c>
      <c r="N922" s="30"/>
      <c r="O922" s="31"/>
      <c r="P922" s="47"/>
      <c r="Q922" s="31"/>
      <c r="R922" s="31"/>
      <c r="S922" s="32">
        <f t="shared" si="237"/>
        <v>0</v>
      </c>
      <c r="T922" s="10"/>
      <c r="U922" s="10"/>
      <c r="V922" s="10"/>
      <c r="W922" s="12">
        <f t="shared" si="238"/>
        <v>0</v>
      </c>
      <c r="Y922" s="10">
        <v>31</v>
      </c>
      <c r="Z922" s="30"/>
      <c r="AA922" s="31"/>
      <c r="AB922" s="47"/>
      <c r="AC922" s="31"/>
      <c r="AD922" s="31"/>
      <c r="AE922" s="32">
        <f t="shared" si="239"/>
        <v>0</v>
      </c>
      <c r="AF922" s="10"/>
      <c r="AG922" s="10"/>
      <c r="AH922" s="10"/>
      <c r="AI922" s="12">
        <f t="shared" si="240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57"/>
      <c r="D923" s="32"/>
      <c r="E923" s="32"/>
      <c r="F923" s="32"/>
      <c r="G923" s="32">
        <f t="shared" si="235"/>
        <v>0</v>
      </c>
      <c r="H923" s="10"/>
      <c r="I923" s="10"/>
      <c r="J923" s="10"/>
      <c r="K923" s="12">
        <f t="shared" si="236"/>
        <v>0</v>
      </c>
      <c r="M923" s="10">
        <v>32</v>
      </c>
      <c r="N923" s="30"/>
      <c r="O923" s="31"/>
      <c r="P923" s="47"/>
      <c r="Q923" s="31"/>
      <c r="R923" s="31"/>
      <c r="S923" s="32">
        <f t="shared" si="237"/>
        <v>0</v>
      </c>
      <c r="T923" s="10"/>
      <c r="U923" s="10"/>
      <c r="V923" s="10"/>
      <c r="W923" s="12">
        <f t="shared" si="23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39"/>
        <v>0</v>
      </c>
      <c r="AF923" s="10"/>
      <c r="AG923" s="10"/>
      <c r="AH923" s="10"/>
      <c r="AI923" s="12">
        <f t="shared" si="240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>
        <f t="shared" si="235"/>
        <v>0</v>
      </c>
      <c r="H924" s="10"/>
      <c r="I924" s="10"/>
      <c r="J924" s="10"/>
      <c r="K924" s="12">
        <f t="shared" si="236"/>
        <v>0</v>
      </c>
      <c r="M924" s="10">
        <v>33</v>
      </c>
      <c r="N924" s="30"/>
      <c r="O924" s="31"/>
      <c r="P924" s="47"/>
      <c r="Q924" s="31"/>
      <c r="R924" s="31"/>
      <c r="S924" s="32">
        <f t="shared" si="237"/>
        <v>0</v>
      </c>
      <c r="T924" s="10"/>
      <c r="U924" s="10"/>
      <c r="V924" s="10"/>
      <c r="W924" s="12">
        <f t="shared" si="23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39"/>
        <v>0</v>
      </c>
      <c r="AF924" s="10"/>
      <c r="AG924" s="10"/>
      <c r="AH924" s="10"/>
      <c r="AI924" s="12">
        <f t="shared" si="240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31"/>
      <c r="D925" s="32"/>
      <c r="E925" s="32"/>
      <c r="F925" s="32"/>
      <c r="G925" s="32">
        <f t="shared" si="235"/>
        <v>0</v>
      </c>
      <c r="H925" s="10"/>
      <c r="I925" s="10"/>
      <c r="J925" s="10"/>
      <c r="K925" s="12">
        <f t="shared" si="236"/>
        <v>0</v>
      </c>
      <c r="M925" s="10">
        <v>34</v>
      </c>
      <c r="N925" s="30"/>
      <c r="O925" s="31"/>
      <c r="P925" s="47"/>
      <c r="Q925" s="31"/>
      <c r="R925" s="31"/>
      <c r="S925" s="32">
        <f t="shared" si="237"/>
        <v>0</v>
      </c>
      <c r="T925" s="10"/>
      <c r="U925" s="10"/>
      <c r="V925" s="10"/>
      <c r="W925" s="12">
        <f t="shared" si="238"/>
        <v>0</v>
      </c>
      <c r="Y925" s="10">
        <v>34</v>
      </c>
      <c r="Z925" s="30"/>
      <c r="AA925" s="31"/>
      <c r="AB925" s="47"/>
      <c r="AC925" s="31"/>
      <c r="AD925" s="31"/>
      <c r="AE925" s="32">
        <f t="shared" si="239"/>
        <v>0</v>
      </c>
      <c r="AF925" s="10"/>
      <c r="AG925" s="10"/>
      <c r="AH925" s="10"/>
      <c r="AI925" s="12">
        <f t="shared" si="240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3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237"/>
        <v>0</v>
      </c>
      <c r="T926" s="10"/>
      <c r="U926" s="10"/>
      <c r="V926" s="10"/>
      <c r="W926" s="12">
        <f t="shared" si="23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39"/>
        <v>0</v>
      </c>
      <c r="AF926" s="10"/>
      <c r="AG926" s="10"/>
      <c r="AH926" s="10"/>
      <c r="AI926" s="12">
        <f t="shared" si="240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3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237"/>
        <v>0</v>
      </c>
      <c r="T927" s="10"/>
      <c r="U927" s="10"/>
      <c r="V927" s="10"/>
      <c r="W927" s="12">
        <f t="shared" si="23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39"/>
        <v>0</v>
      </c>
      <c r="AF927" s="10"/>
      <c r="AG927" s="10"/>
      <c r="AH927" s="10"/>
      <c r="AI927" s="12">
        <f t="shared" si="240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3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237"/>
        <v>0</v>
      </c>
      <c r="T928" s="10"/>
      <c r="U928" s="10"/>
      <c r="V928" s="10"/>
      <c r="W928" s="12">
        <f t="shared" si="23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39"/>
        <v>0</v>
      </c>
      <c r="AF928" s="10"/>
      <c r="AG928" s="10"/>
      <c r="AH928" s="10"/>
      <c r="AI928" s="12">
        <f t="shared" si="240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237"/>
        <v>0</v>
      </c>
      <c r="T929" s="10"/>
      <c r="U929" s="10"/>
      <c r="V929" s="10"/>
      <c r="W929" s="12">
        <f t="shared" si="23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39"/>
        <v>0</v>
      </c>
      <c r="AF929" s="10"/>
      <c r="AG929" s="10"/>
      <c r="AH929" s="10"/>
      <c r="AI929" s="12">
        <f t="shared" si="240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31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237"/>
        <v>0</v>
      </c>
      <c r="T930" s="10"/>
      <c r="U930" s="10"/>
      <c r="V930" s="10"/>
      <c r="W930" s="12">
        <f t="shared" si="23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39"/>
        <v>0</v>
      </c>
      <c r="AF930" s="10"/>
      <c r="AG930" s="10"/>
      <c r="AH930" s="10"/>
      <c r="AI930" s="12">
        <f t="shared" si="240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3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40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44">SUM(D932:E932)</f>
        <v>0</v>
      </c>
      <c r="H932" s="10"/>
      <c r="I932" s="10"/>
      <c r="J932" s="10"/>
      <c r="K932" s="12">
        <f t="shared" ref="K932" si="245">SUM(G932:J932)</f>
        <v>0</v>
      </c>
      <c r="M932" s="10"/>
      <c r="N932" s="30"/>
      <c r="O932" s="31"/>
      <c r="P932" s="47"/>
      <c r="Q932" s="31"/>
      <c r="R932" s="31"/>
      <c r="S932" s="32">
        <f t="shared" ref="S932" si="246">SUM(P932:Q932)</f>
        <v>0</v>
      </c>
      <c r="T932" s="10"/>
      <c r="U932" s="10"/>
      <c r="V932" s="10"/>
      <c r="W932" s="12">
        <f t="shared" si="238"/>
        <v>0</v>
      </c>
      <c r="Y932" s="10"/>
      <c r="Z932" s="30"/>
      <c r="AA932" s="31"/>
      <c r="AB932" s="47"/>
      <c r="AC932" s="31"/>
      <c r="AD932" s="31"/>
      <c r="AE932" s="32">
        <f t="shared" ref="AE932" si="247">SUM(AB932:AC932)</f>
        <v>0</v>
      </c>
      <c r="AF932" s="10"/>
      <c r="AG932" s="10"/>
      <c r="AH932" s="10"/>
      <c r="AI932" s="12">
        <f t="shared" si="240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3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40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163572.5</v>
      </c>
      <c r="E935" s="38">
        <f t="shared" ref="E935:F935" si="248">SUM(E892:E932)</f>
        <v>0</v>
      </c>
      <c r="F935" s="38">
        <f t="shared" si="248"/>
        <v>0</v>
      </c>
      <c r="G935" s="38">
        <f>SUM(G892:G934)</f>
        <v>163572.5</v>
      </c>
      <c r="H935" s="4"/>
      <c r="I935" s="39">
        <f>SUM(I892:I934)</f>
        <v>450</v>
      </c>
      <c r="J935" s="39">
        <f>SUM(J892:J934)</f>
        <v>0</v>
      </c>
      <c r="K935" s="40">
        <f>SUM(K892:K934)</f>
        <v>164022.5</v>
      </c>
      <c r="N935" s="57"/>
      <c r="O935" s="57"/>
      <c r="P935" s="38">
        <f>SUM(P892:P934)</f>
        <v>139341</v>
      </c>
      <c r="Q935" s="38">
        <f>SUM(Q892:Q916)</f>
        <v>-800</v>
      </c>
      <c r="R935" s="38">
        <f>SUM(R892:R916)</f>
        <v>0</v>
      </c>
      <c r="S935" s="38">
        <f>SUM(S892:S934)</f>
        <v>138541</v>
      </c>
      <c r="T935" s="4"/>
      <c r="U935" s="41">
        <f>SUM(U892:U934)</f>
        <v>150</v>
      </c>
      <c r="V935" s="41">
        <f>SUM(V892:V916)</f>
        <v>0</v>
      </c>
      <c r="W935" s="42">
        <f>SUM(W892:W934)</f>
        <v>138691</v>
      </c>
      <c r="Z935" s="57"/>
      <c r="AA935" s="57"/>
      <c r="AB935" s="38">
        <f>SUM(AB892:AB934)</f>
        <v>163632</v>
      </c>
      <c r="AC935" s="38">
        <f>SUM(AC892:AC916)</f>
        <v>-948</v>
      </c>
      <c r="AD935" s="38">
        <f>SUM(AD892:AD916)</f>
        <v>0</v>
      </c>
      <c r="AE935" s="38">
        <f>SUM(AE892:AE934)</f>
        <v>162684</v>
      </c>
      <c r="AF935" s="4"/>
      <c r="AG935" s="41">
        <f>SUM(AG892:AG934)</f>
        <v>0</v>
      </c>
      <c r="AH935" s="41">
        <f>SUM(AH892:AH916)</f>
        <v>-17760</v>
      </c>
      <c r="AI935" s="42">
        <f>SUM(AI892:AI934)</f>
        <v>144924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s="62"/>
      <c r="AL937" s="84"/>
      <c r="AM937" s="84"/>
      <c r="AN937" s="84"/>
      <c r="AO937" s="84"/>
      <c r="AP937" s="84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s="62"/>
      <c r="AL938" s="84"/>
      <c r="AM938" s="84"/>
      <c r="AN938" s="84"/>
      <c r="AO938" s="84"/>
      <c r="AP938" s="84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K939" s="62"/>
      <c r="AL939" s="84"/>
      <c r="AM939" s="84"/>
      <c r="AN939" s="84"/>
      <c r="AO939" s="84"/>
      <c r="AP939" s="84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63"/>
      <c r="AL940" s="84"/>
      <c r="AM940" s="84"/>
      <c r="AN940" s="84"/>
      <c r="AO940" s="84"/>
      <c r="AP940" s="84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K941" s="62"/>
      <c r="AL941" s="84"/>
      <c r="AM941" s="84"/>
      <c r="AN941" s="84"/>
      <c r="AO941" s="84"/>
      <c r="AP941" s="84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t="s">
        <v>42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42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42</v>
      </c>
      <c r="Z942" s="57"/>
      <c r="AA942" s="57"/>
      <c r="AB942" s="57"/>
      <c r="AC942" s="57"/>
      <c r="AD942" s="57"/>
      <c r="AE942" s="57"/>
      <c r="AG942" s="57" t="s">
        <v>16</v>
      </c>
      <c r="AH942" s="20">
        <v>3</v>
      </c>
      <c r="AK942" s="62"/>
      <c r="AL942" s="84"/>
      <c r="AM942" s="84"/>
      <c r="AN942" s="84"/>
      <c r="AO942" s="84"/>
      <c r="AP942" s="84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21" t="s">
        <v>88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88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88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35</v>
      </c>
      <c r="AI943" s="24"/>
      <c r="AK943" s="64"/>
      <c r="AL943" s="84"/>
      <c r="AM943" s="84"/>
      <c r="AN943" s="84"/>
      <c r="AO943" s="84"/>
      <c r="AP943" s="84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K944" s="62"/>
      <c r="AL944" s="84"/>
      <c r="AM944" s="84"/>
      <c r="AN944" s="84"/>
      <c r="AO944" s="84"/>
      <c r="AP944" s="84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B945" s="25"/>
      <c r="C945" s="26"/>
      <c r="D945" s="116" t="s">
        <v>18</v>
      </c>
      <c r="E945" s="116"/>
      <c r="F945" s="105"/>
      <c r="G945" s="27"/>
      <c r="I945" s="114" t="s">
        <v>19</v>
      </c>
      <c r="J945" s="115"/>
      <c r="K945" s="112" t="s">
        <v>20</v>
      </c>
      <c r="N945" s="25"/>
      <c r="O945" s="26"/>
      <c r="P945" s="116" t="s">
        <v>18</v>
      </c>
      <c r="Q945" s="116"/>
      <c r="R945" s="105"/>
      <c r="S945" s="27"/>
      <c r="U945" s="114" t="s">
        <v>19</v>
      </c>
      <c r="V945" s="115"/>
      <c r="W945" s="112" t="s">
        <v>20</v>
      </c>
      <c r="Z945" s="25"/>
      <c r="AA945" s="26"/>
      <c r="AB945" s="116" t="s">
        <v>18</v>
      </c>
      <c r="AC945" s="116"/>
      <c r="AD945" s="105"/>
      <c r="AE945" s="27"/>
      <c r="AG945" s="114" t="s">
        <v>19</v>
      </c>
      <c r="AH945" s="115"/>
      <c r="AI945" s="112" t="s">
        <v>20</v>
      </c>
      <c r="AK945" s="62"/>
      <c r="AL945" s="65"/>
      <c r="AM945" s="84"/>
      <c r="AN945" s="118"/>
      <c r="AO945" s="118"/>
      <c r="AP945" s="84"/>
      <c r="AQ945" s="84"/>
      <c r="AR945" s="62"/>
      <c r="AS945" s="118"/>
      <c r="AT945" s="118"/>
      <c r="AU945" s="117"/>
      <c r="AV945" s="62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79" t="s">
        <v>23</v>
      </c>
      <c r="E946" s="78" t="s">
        <v>24</v>
      </c>
      <c r="F946" s="80" t="s">
        <v>36</v>
      </c>
      <c r="G946" s="80" t="s">
        <v>25</v>
      </c>
      <c r="I946" s="29" t="s">
        <v>26</v>
      </c>
      <c r="J946" s="29" t="s">
        <v>27</v>
      </c>
      <c r="K946" s="113"/>
      <c r="N946" s="28" t="s">
        <v>21</v>
      </c>
      <c r="O946" s="28" t="s">
        <v>22</v>
      </c>
      <c r="P946" s="79" t="s">
        <v>23</v>
      </c>
      <c r="Q946" s="80" t="s">
        <v>24</v>
      </c>
      <c r="R946" s="80" t="s">
        <v>36</v>
      </c>
      <c r="S946" s="80" t="s">
        <v>25</v>
      </c>
      <c r="U946" s="29" t="s">
        <v>26</v>
      </c>
      <c r="V946" s="29" t="s">
        <v>27</v>
      </c>
      <c r="W946" s="113"/>
      <c r="Z946" s="28" t="s">
        <v>21</v>
      </c>
      <c r="AA946" s="28" t="s">
        <v>22</v>
      </c>
      <c r="AB946" s="79" t="s">
        <v>23</v>
      </c>
      <c r="AC946" s="80" t="s">
        <v>24</v>
      </c>
      <c r="AD946" s="80" t="s">
        <v>36</v>
      </c>
      <c r="AE946" s="80" t="s">
        <v>25</v>
      </c>
      <c r="AG946" s="29" t="s">
        <v>26</v>
      </c>
      <c r="AH946" s="29" t="s">
        <v>27</v>
      </c>
      <c r="AI946" s="113"/>
      <c r="AK946" s="62"/>
      <c r="AL946" s="84"/>
      <c r="AM946" s="84"/>
      <c r="AN946" s="81"/>
      <c r="AO946" s="83"/>
      <c r="AP946" s="83"/>
      <c r="AQ946" s="83"/>
      <c r="AR946" s="62"/>
      <c r="AS946" s="85"/>
      <c r="AT946" s="85"/>
      <c r="AU946" s="117"/>
      <c r="AV946" s="62"/>
      <c r="AW946" s="62"/>
      <c r="AX946" s="62"/>
      <c r="AY946" s="62"/>
      <c r="AZ946" s="62"/>
    </row>
    <row r="947" spans="1:52" x14ac:dyDescent="0.25">
      <c r="A947" s="10">
        <v>1</v>
      </c>
      <c r="B947" s="30" t="s">
        <v>89</v>
      </c>
      <c r="C947" s="31">
        <v>6137</v>
      </c>
      <c r="D947" s="32">
        <f>626+674+596+19</f>
        <v>1915</v>
      </c>
      <c r="E947" s="32"/>
      <c r="F947" s="32"/>
      <c r="G947" s="32">
        <f t="shared" ref="G947:G980" si="249">SUM(D947:E947)</f>
        <v>1915</v>
      </c>
      <c r="H947" s="12"/>
      <c r="I947" s="12">
        <v>36</v>
      </c>
      <c r="J947" s="12"/>
      <c r="K947" s="12">
        <f t="shared" ref="K947:K980" si="250">SUM(G947:J947)</f>
        <v>1951</v>
      </c>
      <c r="M947" s="10">
        <v>1</v>
      </c>
      <c r="N947" s="30" t="s">
        <v>89</v>
      </c>
      <c r="O947" s="31">
        <v>6027</v>
      </c>
      <c r="P947" s="32">
        <f>4382+614+1192+85.5</f>
        <v>6273.5</v>
      </c>
      <c r="Q947" s="32"/>
      <c r="R947" s="32"/>
      <c r="S947" s="32">
        <f>SUM(P947:Q947)</f>
        <v>6273.5</v>
      </c>
      <c r="T947" s="12"/>
      <c r="U947" s="12"/>
      <c r="V947" s="12"/>
      <c r="W947" s="12">
        <f>SUM(S947:V947)</f>
        <v>6273.5</v>
      </c>
      <c r="Y947" s="10">
        <v>1</v>
      </c>
      <c r="Z947" s="30" t="s">
        <v>89</v>
      </c>
      <c r="AA947" s="31">
        <v>6058</v>
      </c>
      <c r="AB947" s="32">
        <f>67608+1348+1145</f>
        <v>70101</v>
      </c>
      <c r="AC947" s="32"/>
      <c r="AD947" s="32"/>
      <c r="AE947" s="32">
        <f>SUM(AB947:AC947)</f>
        <v>70101</v>
      </c>
      <c r="AF947" s="12"/>
      <c r="AG947" s="12">
        <f>222+11988+390</f>
        <v>12600</v>
      </c>
      <c r="AH947" s="12"/>
      <c r="AI947" s="12">
        <f>SUM(AE947:AH947)</f>
        <v>82701</v>
      </c>
      <c r="AK947" s="62"/>
      <c r="AL947" s="66"/>
      <c r="AM947" s="84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10">
        <v>2</v>
      </c>
      <c r="B948" s="30" t="s">
        <v>89</v>
      </c>
      <c r="C948" s="31">
        <f>C947+1</f>
        <v>6138</v>
      </c>
      <c r="D948" s="32">
        <f>5634+1192+104</f>
        <v>6930</v>
      </c>
      <c r="E948" s="32"/>
      <c r="F948" s="32"/>
      <c r="G948" s="32">
        <f t="shared" si="249"/>
        <v>6930</v>
      </c>
      <c r="H948" s="12"/>
      <c r="I948" s="12"/>
      <c r="J948" s="12"/>
      <c r="K948" s="12">
        <f t="shared" si="250"/>
        <v>6930</v>
      </c>
      <c r="M948" s="10">
        <v>2</v>
      </c>
      <c r="N948" s="30" t="s">
        <v>89</v>
      </c>
      <c r="O948" s="31">
        <f>O947+1</f>
        <v>6028</v>
      </c>
      <c r="P948" s="32">
        <f>1252+19</f>
        <v>1271</v>
      </c>
      <c r="Q948" s="32"/>
      <c r="R948" s="32"/>
      <c r="S948" s="32">
        <f t="shared" ref="S948:S985" si="251">SUM(P948:Q948)</f>
        <v>1271</v>
      </c>
      <c r="T948" s="12"/>
      <c r="U948" s="12"/>
      <c r="V948" s="12"/>
      <c r="W948" s="12">
        <f t="shared" ref="W948:W988" si="252">SUM(S948:V948)</f>
        <v>1271</v>
      </c>
      <c r="Y948" s="10">
        <v>2</v>
      </c>
      <c r="Z948" s="30" t="s">
        <v>89</v>
      </c>
      <c r="AA948" s="31">
        <f>AA947+1</f>
        <v>6059</v>
      </c>
      <c r="AB948" s="32">
        <f>626*42+614*3+596*10+229</f>
        <v>34323</v>
      </c>
      <c r="AC948" s="32">
        <v>-336</v>
      </c>
      <c r="AD948" s="32"/>
      <c r="AE948" s="32">
        <f t="shared" ref="AE948:AE985" si="253">SUM(AB948:AC948)</f>
        <v>33987</v>
      </c>
      <c r="AF948" s="12"/>
      <c r="AG948" s="12"/>
      <c r="AH948" s="12"/>
      <c r="AI948" s="12">
        <f t="shared" ref="AI948:AI988" si="254">SUM(AE948:AH948)</f>
        <v>33987</v>
      </c>
      <c r="AK948" s="62"/>
      <c r="AL948" s="66"/>
      <c r="AM948" s="84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10">
        <v>3</v>
      </c>
      <c r="B949" s="30" t="s">
        <v>89</v>
      </c>
      <c r="C949" s="31">
        <f t="shared" ref="C949:C973" si="255">C948+1</f>
        <v>6139</v>
      </c>
      <c r="D949" s="33">
        <f>1252+19</f>
        <v>1271</v>
      </c>
      <c r="E949" s="33"/>
      <c r="F949" s="33"/>
      <c r="G949" s="33">
        <f t="shared" si="249"/>
        <v>1271</v>
      </c>
      <c r="H949" s="34"/>
      <c r="I949" s="34"/>
      <c r="J949" s="34"/>
      <c r="K949" s="34">
        <f t="shared" si="250"/>
        <v>1271</v>
      </c>
      <c r="M949" s="10">
        <v>3</v>
      </c>
      <c r="N949" s="30" t="s">
        <v>89</v>
      </c>
      <c r="O949" s="31">
        <f t="shared" ref="O949:O961" si="256">O948+1</f>
        <v>6029</v>
      </c>
      <c r="P949" s="32">
        <f>626+614+596+19</f>
        <v>1855</v>
      </c>
      <c r="Q949" s="32"/>
      <c r="R949" s="32"/>
      <c r="S949" s="32">
        <f t="shared" si="251"/>
        <v>1855</v>
      </c>
      <c r="T949" s="12"/>
      <c r="U949" s="12"/>
      <c r="V949" s="12"/>
      <c r="W949" s="12">
        <f t="shared" si="252"/>
        <v>1855</v>
      </c>
      <c r="Y949" s="10">
        <v>3</v>
      </c>
      <c r="Z949" s="30" t="s">
        <v>89</v>
      </c>
      <c r="AA949" s="31">
        <f t="shared" ref="AA949" si="257">AA948+1</f>
        <v>6060</v>
      </c>
      <c r="AB949" s="33">
        <f>6260+1842+5960+852*2+1005*5+229+650*2</f>
        <v>22320</v>
      </c>
      <c r="AC949" s="33"/>
      <c r="AD949" s="32"/>
      <c r="AE949" s="32">
        <f t="shared" si="253"/>
        <v>22320</v>
      </c>
      <c r="AF949" s="12"/>
      <c r="AG949" s="12">
        <f>480+333+108</f>
        <v>921</v>
      </c>
      <c r="AH949" s="12"/>
      <c r="AI949" s="12">
        <f t="shared" si="254"/>
        <v>23241</v>
      </c>
      <c r="AK949" s="62"/>
      <c r="AL949" s="66"/>
      <c r="AM949" s="84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10">
        <v>4</v>
      </c>
      <c r="B950" s="30" t="s">
        <v>89</v>
      </c>
      <c r="C950" s="31">
        <f t="shared" si="255"/>
        <v>6140</v>
      </c>
      <c r="D950" s="32">
        <f>3756+614+57</f>
        <v>4427</v>
      </c>
      <c r="E950" s="32"/>
      <c r="F950" s="32"/>
      <c r="G950" s="32">
        <f t="shared" si="249"/>
        <v>4427</v>
      </c>
      <c r="H950" s="12"/>
      <c r="I950" s="12"/>
      <c r="J950" s="12"/>
      <c r="K950" s="12">
        <f t="shared" si="250"/>
        <v>4427</v>
      </c>
      <c r="M950" s="10">
        <v>4</v>
      </c>
      <c r="N950" s="30" t="s">
        <v>89</v>
      </c>
      <c r="O950" s="31">
        <f t="shared" si="256"/>
        <v>6030</v>
      </c>
      <c r="P950" s="32">
        <f>3130+614+674</f>
        <v>4418</v>
      </c>
      <c r="Q950" s="32"/>
      <c r="R950" s="32"/>
      <c r="S950" s="32">
        <f t="shared" si="251"/>
        <v>4418</v>
      </c>
      <c r="T950" s="12"/>
      <c r="U950" s="12"/>
      <c r="V950" s="12"/>
      <c r="W950" s="12">
        <f t="shared" si="252"/>
        <v>4418</v>
      </c>
      <c r="Y950" s="10">
        <v>4</v>
      </c>
      <c r="Z950" s="30"/>
      <c r="AA950" s="11" t="s">
        <v>28</v>
      </c>
      <c r="AB950" s="32"/>
      <c r="AC950" s="32"/>
      <c r="AD950" s="32"/>
      <c r="AE950" s="32">
        <f t="shared" si="253"/>
        <v>0</v>
      </c>
      <c r="AF950" s="12"/>
      <c r="AH950" s="12"/>
      <c r="AI950" s="12">
        <f t="shared" si="254"/>
        <v>0</v>
      </c>
      <c r="AK950" s="62"/>
      <c r="AL950" s="66"/>
      <c r="AM950" s="84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10">
        <v>5</v>
      </c>
      <c r="B951" s="30" t="s">
        <v>89</v>
      </c>
      <c r="C951" s="31">
        <f t="shared" si="255"/>
        <v>6141</v>
      </c>
      <c r="D951" s="32">
        <f>7512+1228+114</f>
        <v>8854</v>
      </c>
      <c r="E951" s="32"/>
      <c r="F951" s="32"/>
      <c r="G951" s="32">
        <f t="shared" si="249"/>
        <v>8854</v>
      </c>
      <c r="H951" s="12"/>
      <c r="I951" s="12"/>
      <c r="J951" s="12"/>
      <c r="K951" s="12">
        <f t="shared" si="250"/>
        <v>8854</v>
      </c>
      <c r="M951" s="10">
        <v>5</v>
      </c>
      <c r="N951" s="30" t="s">
        <v>89</v>
      </c>
      <c r="O951" s="31">
        <f t="shared" si="256"/>
        <v>6031</v>
      </c>
      <c r="P951" s="32">
        <f>3756+596+66.5</f>
        <v>4418.5</v>
      </c>
      <c r="Q951" s="32"/>
      <c r="R951" s="32"/>
      <c r="S951" s="32">
        <f t="shared" si="251"/>
        <v>4418.5</v>
      </c>
      <c r="T951" s="12"/>
      <c r="U951" s="12"/>
      <c r="V951" s="12"/>
      <c r="W951" s="12">
        <f t="shared" si="252"/>
        <v>4418.5</v>
      </c>
      <c r="Y951" s="10">
        <v>5</v>
      </c>
      <c r="Z951" s="30"/>
      <c r="AA951" s="31"/>
      <c r="AB951" s="32"/>
      <c r="AC951" s="32"/>
      <c r="AD951" s="32"/>
      <c r="AE951" s="32">
        <f t="shared" si="253"/>
        <v>0</v>
      </c>
      <c r="AF951" s="12"/>
      <c r="AG951" s="12"/>
      <c r="AH951" s="12"/>
      <c r="AI951" s="12">
        <f t="shared" si="254"/>
        <v>0</v>
      </c>
      <c r="AK951" s="62"/>
      <c r="AL951" s="66"/>
      <c r="AM951" s="84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10">
        <v>6</v>
      </c>
      <c r="B952" s="30" t="s">
        <v>89</v>
      </c>
      <c r="C952" s="31">
        <f t="shared" si="255"/>
        <v>6142</v>
      </c>
      <c r="D952" s="32">
        <f>1878+674+28</f>
        <v>2580</v>
      </c>
      <c r="E952" s="32"/>
      <c r="F952" s="32"/>
      <c r="G952" s="32">
        <f t="shared" si="249"/>
        <v>2580</v>
      </c>
      <c r="H952" s="12"/>
      <c r="I952" s="12"/>
      <c r="J952" s="12"/>
      <c r="K952" s="12">
        <f t="shared" si="250"/>
        <v>2580</v>
      </c>
      <c r="M952" s="10">
        <v>6</v>
      </c>
      <c r="N952" s="30" t="s">
        <v>89</v>
      </c>
      <c r="O952" s="31">
        <f t="shared" si="256"/>
        <v>6032</v>
      </c>
      <c r="P952" s="32">
        <f>626+9.5</f>
        <v>635.5</v>
      </c>
      <c r="Q952" s="32"/>
      <c r="R952" s="32"/>
      <c r="S952" s="32">
        <f t="shared" si="251"/>
        <v>635.5</v>
      </c>
      <c r="T952" s="12"/>
      <c r="U952" s="12"/>
      <c r="V952" s="10"/>
      <c r="W952" s="12">
        <f t="shared" si="252"/>
        <v>635.5</v>
      </c>
      <c r="Y952" s="10">
        <v>6</v>
      </c>
      <c r="Z952" s="30"/>
      <c r="AA952" s="31"/>
      <c r="AB952" s="32"/>
      <c r="AC952" s="32"/>
      <c r="AD952" s="32"/>
      <c r="AE952" s="32">
        <f t="shared" si="253"/>
        <v>0</v>
      </c>
      <c r="AF952" s="12"/>
      <c r="AG952" s="12"/>
      <c r="AH952" s="10"/>
      <c r="AI952" s="12">
        <f t="shared" si="254"/>
        <v>0</v>
      </c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10">
        <v>7</v>
      </c>
      <c r="B953" s="30" t="s">
        <v>89</v>
      </c>
      <c r="C953" s="31">
        <f t="shared" si="255"/>
        <v>6143</v>
      </c>
      <c r="D953" s="32">
        <f>1878+28</f>
        <v>1906</v>
      </c>
      <c r="E953" s="32"/>
      <c r="F953" s="32"/>
      <c r="G953" s="32">
        <f t="shared" si="249"/>
        <v>1906</v>
      </c>
      <c r="H953" s="12"/>
      <c r="I953" s="12"/>
      <c r="J953" s="12"/>
      <c r="K953" s="12">
        <f t="shared" si="250"/>
        <v>1906</v>
      </c>
      <c r="M953" s="10">
        <v>7</v>
      </c>
      <c r="N953" s="30" t="s">
        <v>89</v>
      </c>
      <c r="O953" s="31">
        <f t="shared" si="256"/>
        <v>6033</v>
      </c>
      <c r="P953" s="32">
        <f>3130+596+57</f>
        <v>3783</v>
      </c>
      <c r="Q953" s="32"/>
      <c r="R953" s="32"/>
      <c r="S953" s="32">
        <f t="shared" si="251"/>
        <v>3783</v>
      </c>
      <c r="T953" s="12"/>
      <c r="U953" s="12"/>
      <c r="V953" s="12"/>
      <c r="W953" s="12">
        <f t="shared" si="252"/>
        <v>3783</v>
      </c>
      <c r="Y953" s="10">
        <v>7</v>
      </c>
      <c r="Z953" s="30"/>
      <c r="AA953" s="31"/>
      <c r="AB953" s="32"/>
      <c r="AC953" s="32"/>
      <c r="AD953" s="32"/>
      <c r="AE953" s="32">
        <f t="shared" si="253"/>
        <v>0</v>
      </c>
      <c r="AF953" s="12"/>
      <c r="AG953" s="58"/>
      <c r="AH953" s="12"/>
      <c r="AI953" s="12">
        <f t="shared" si="254"/>
        <v>0</v>
      </c>
      <c r="AK953" s="62"/>
      <c r="AL953" s="66"/>
      <c r="AM953" s="84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10">
        <v>8</v>
      </c>
      <c r="B954" s="30" t="s">
        <v>89</v>
      </c>
      <c r="C954" s="31">
        <f t="shared" si="255"/>
        <v>6144</v>
      </c>
      <c r="D954" s="32">
        <f>1252+19</f>
        <v>1271</v>
      </c>
      <c r="E954" s="32"/>
      <c r="F954" s="32"/>
      <c r="G954" s="32">
        <f t="shared" si="249"/>
        <v>1271</v>
      </c>
      <c r="H954" s="12"/>
      <c r="I954" s="12"/>
      <c r="J954" s="12"/>
      <c r="K954" s="12">
        <f t="shared" si="250"/>
        <v>1271</v>
      </c>
      <c r="M954" s="10">
        <v>8</v>
      </c>
      <c r="N954" s="30" t="s">
        <v>89</v>
      </c>
      <c r="O954" s="31">
        <f t="shared" si="256"/>
        <v>6034</v>
      </c>
      <c r="P954" s="32">
        <f>5634+1228+1788+114</f>
        <v>8764</v>
      </c>
      <c r="Q954" s="32"/>
      <c r="R954" s="32"/>
      <c r="S954" s="32">
        <f t="shared" si="251"/>
        <v>8764</v>
      </c>
      <c r="T954" s="12"/>
      <c r="U954" s="12"/>
      <c r="V954" s="12"/>
      <c r="W954" s="12">
        <f t="shared" si="252"/>
        <v>8764</v>
      </c>
      <c r="Y954" s="10">
        <v>8</v>
      </c>
      <c r="Z954" s="30"/>
      <c r="AA954" s="31"/>
      <c r="AB954" s="32"/>
      <c r="AC954" s="32"/>
      <c r="AE954" s="32">
        <f t="shared" si="253"/>
        <v>0</v>
      </c>
      <c r="AF954" s="12"/>
      <c r="AG954" s="12"/>
      <c r="AH954" s="12"/>
      <c r="AI954" s="12">
        <f t="shared" si="254"/>
        <v>0</v>
      </c>
      <c r="AK954" s="62"/>
      <c r="AL954" s="66"/>
      <c r="AM954" s="84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10">
        <v>9</v>
      </c>
      <c r="B955" s="30" t="s">
        <v>89</v>
      </c>
      <c r="C955" s="31">
        <f t="shared" si="255"/>
        <v>6145</v>
      </c>
      <c r="D955" s="32">
        <f>1878+2384+502.5+416+66.5</f>
        <v>5247</v>
      </c>
      <c r="E955" s="32"/>
      <c r="F955" s="32"/>
      <c r="G955" s="32">
        <f t="shared" si="249"/>
        <v>5247</v>
      </c>
      <c r="H955" s="12"/>
      <c r="I955" s="12"/>
      <c r="J955" s="12"/>
      <c r="K955" s="12">
        <f t="shared" si="250"/>
        <v>5247</v>
      </c>
      <c r="M955" s="10">
        <v>9</v>
      </c>
      <c r="N955" s="30" t="s">
        <v>89</v>
      </c>
      <c r="O955" s="31">
        <f t="shared" si="256"/>
        <v>6035</v>
      </c>
      <c r="P955" s="32">
        <f>1252+1192+38</f>
        <v>2482</v>
      </c>
      <c r="Q955" s="32"/>
      <c r="R955" s="32"/>
      <c r="S955" s="32">
        <f t="shared" si="251"/>
        <v>2482</v>
      </c>
      <c r="T955" s="12"/>
      <c r="U955" s="12"/>
      <c r="V955" s="12"/>
      <c r="W955" s="12">
        <f t="shared" si="252"/>
        <v>2482</v>
      </c>
      <c r="Y955" s="10">
        <v>9</v>
      </c>
      <c r="Z955" s="30"/>
      <c r="AA955" s="31"/>
      <c r="AC955" s="32"/>
      <c r="AD955" s="32"/>
      <c r="AE955" s="32">
        <f t="shared" si="253"/>
        <v>0</v>
      </c>
      <c r="AF955" s="12"/>
      <c r="AH955" s="12"/>
      <c r="AI955" s="12">
        <f t="shared" si="254"/>
        <v>0</v>
      </c>
      <c r="AK955" s="62"/>
      <c r="AL955" s="66"/>
      <c r="AM955" s="84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10">
        <v>10</v>
      </c>
      <c r="B956" s="30" t="s">
        <v>89</v>
      </c>
      <c r="C956" s="31">
        <f t="shared" si="255"/>
        <v>6146</v>
      </c>
      <c r="D956" s="32">
        <f>6260+674+95</f>
        <v>7029</v>
      </c>
      <c r="E956" s="32"/>
      <c r="F956" s="32"/>
      <c r="G956" s="32">
        <f t="shared" si="249"/>
        <v>7029</v>
      </c>
      <c r="H956" s="12"/>
      <c r="I956" s="12"/>
      <c r="J956" s="12"/>
      <c r="K956" s="12">
        <f t="shared" si="250"/>
        <v>7029</v>
      </c>
      <c r="M956" s="10">
        <v>10</v>
      </c>
      <c r="N956" s="30" t="s">
        <v>89</v>
      </c>
      <c r="O956" s="31">
        <f t="shared" si="256"/>
        <v>6036</v>
      </c>
      <c r="P956" s="32">
        <f>3130+596+57</f>
        <v>3783</v>
      </c>
      <c r="Q956" s="32"/>
      <c r="R956" s="32"/>
      <c r="S956" s="32">
        <f t="shared" si="251"/>
        <v>3783</v>
      </c>
      <c r="T956" s="12"/>
      <c r="U956" s="12"/>
      <c r="V956" s="12"/>
      <c r="W956" s="12">
        <f t="shared" si="252"/>
        <v>3783</v>
      </c>
      <c r="Y956" s="10">
        <v>10</v>
      </c>
      <c r="Z956" s="30"/>
      <c r="AA956" s="31"/>
      <c r="AB956" s="32"/>
      <c r="AC956" s="32"/>
      <c r="AD956" s="32"/>
      <c r="AE956" s="32">
        <f t="shared" si="253"/>
        <v>0</v>
      </c>
      <c r="AF956" s="12"/>
      <c r="AG956" s="12"/>
      <c r="AH956" s="12"/>
      <c r="AI956" s="12">
        <f t="shared" si="254"/>
        <v>0</v>
      </c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10">
        <v>11</v>
      </c>
      <c r="B957" s="30" t="s">
        <v>89</v>
      </c>
      <c r="C957" s="31">
        <f t="shared" si="255"/>
        <v>6147</v>
      </c>
      <c r="D957" s="32">
        <f>3130+47</f>
        <v>3177</v>
      </c>
      <c r="E957" s="32"/>
      <c r="F957" s="32"/>
      <c r="G957" s="32">
        <f t="shared" si="249"/>
        <v>3177</v>
      </c>
      <c r="H957" s="12"/>
      <c r="I957" s="12"/>
      <c r="J957" s="12"/>
      <c r="K957" s="12">
        <f t="shared" si="250"/>
        <v>3177</v>
      </c>
      <c r="M957" s="10">
        <v>11</v>
      </c>
      <c r="N957" s="30" t="s">
        <v>89</v>
      </c>
      <c r="O957" s="31">
        <f t="shared" si="256"/>
        <v>6037</v>
      </c>
      <c r="P957" s="32">
        <f>3130+47.5</f>
        <v>3177.5</v>
      </c>
      <c r="Q957" s="32"/>
      <c r="R957" s="32"/>
      <c r="S957" s="32">
        <f t="shared" si="251"/>
        <v>3177.5</v>
      </c>
      <c r="T957" s="12"/>
      <c r="U957" s="12"/>
      <c r="V957" s="12"/>
      <c r="W957" s="12">
        <f t="shared" si="252"/>
        <v>3177.5</v>
      </c>
      <c r="Y957" s="10">
        <v>11</v>
      </c>
      <c r="Z957" s="30"/>
      <c r="AA957" s="31"/>
      <c r="AB957" s="32"/>
      <c r="AC957" s="32"/>
      <c r="AD957" s="32"/>
      <c r="AE957" s="32">
        <f t="shared" si="253"/>
        <v>0</v>
      </c>
      <c r="AF957" s="12"/>
      <c r="AG957" s="12"/>
      <c r="AH957" s="12"/>
      <c r="AI957" s="12">
        <f t="shared" si="254"/>
        <v>0</v>
      </c>
      <c r="AK957" s="62"/>
      <c r="AL957" s="66"/>
      <c r="AM957" s="84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10">
        <v>12</v>
      </c>
      <c r="B958" s="30" t="s">
        <v>89</v>
      </c>
      <c r="C958" s="31">
        <f t="shared" si="255"/>
        <v>6148</v>
      </c>
      <c r="D958" s="32">
        <f>15650+674+2980+229</f>
        <v>19533</v>
      </c>
      <c r="E958" s="32"/>
      <c r="F958" s="32"/>
      <c r="G958" s="32">
        <f t="shared" si="249"/>
        <v>19533</v>
      </c>
      <c r="H958" s="12"/>
      <c r="I958" s="12"/>
      <c r="J958" s="10"/>
      <c r="K958" s="12">
        <f t="shared" si="250"/>
        <v>19533</v>
      </c>
      <c r="M958" s="10">
        <v>12</v>
      </c>
      <c r="N958" s="30" t="s">
        <v>89</v>
      </c>
      <c r="O958" s="31">
        <f t="shared" si="256"/>
        <v>6038</v>
      </c>
      <c r="P958" s="32">
        <f>626*7+674</f>
        <v>5056</v>
      </c>
      <c r="Q958" s="32"/>
      <c r="R958" s="32"/>
      <c r="S958" s="32">
        <f t="shared" si="251"/>
        <v>5056</v>
      </c>
      <c r="T958" s="12"/>
      <c r="U958" s="12"/>
      <c r="V958" s="12"/>
      <c r="W958" s="12">
        <f t="shared" si="252"/>
        <v>5056</v>
      </c>
      <c r="Y958" s="10">
        <v>12</v>
      </c>
      <c r="Z958" s="30"/>
      <c r="AA958" s="31"/>
      <c r="AB958" s="32"/>
      <c r="AC958" s="32"/>
      <c r="AD958" s="32"/>
      <c r="AE958" s="32">
        <f t="shared" si="253"/>
        <v>0</v>
      </c>
      <c r="AF958" s="12"/>
      <c r="AG958" s="12"/>
      <c r="AH958" s="12"/>
      <c r="AI958" s="12">
        <f t="shared" si="254"/>
        <v>0</v>
      </c>
      <c r="AK958" s="62"/>
      <c r="AL958" s="66"/>
      <c r="AM958" s="84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10">
        <v>13</v>
      </c>
      <c r="B959" s="30" t="s">
        <v>89</v>
      </c>
      <c r="C959" s="31">
        <f t="shared" si="255"/>
        <v>6149</v>
      </c>
      <c r="D959" s="32">
        <f>1878+596+38</f>
        <v>2512</v>
      </c>
      <c r="E959" s="32"/>
      <c r="F959" s="32"/>
      <c r="G959" s="32">
        <f t="shared" si="249"/>
        <v>2512</v>
      </c>
      <c r="H959" s="12"/>
      <c r="I959" s="12"/>
      <c r="J959" s="12"/>
      <c r="K959" s="12">
        <f t="shared" si="250"/>
        <v>2512</v>
      </c>
      <c r="M959" s="10">
        <v>13</v>
      </c>
      <c r="N959" s="30" t="s">
        <v>89</v>
      </c>
      <c r="O959" s="31">
        <f t="shared" si="256"/>
        <v>6039</v>
      </c>
      <c r="P959" s="32">
        <f>31300+1228+5960+229</f>
        <v>38717</v>
      </c>
      <c r="Q959" s="32"/>
      <c r="R959" s="32"/>
      <c r="S959" s="32">
        <f t="shared" si="251"/>
        <v>38717</v>
      </c>
      <c r="T959" s="12"/>
      <c r="U959" s="12"/>
      <c r="V959" s="12"/>
      <c r="W959" s="12">
        <f t="shared" si="252"/>
        <v>38717</v>
      </c>
      <c r="Y959" s="10">
        <v>13</v>
      </c>
      <c r="Z959" s="30"/>
      <c r="AA959" s="31"/>
      <c r="AB959" s="32"/>
      <c r="AC959" s="32"/>
      <c r="AD959" s="32"/>
      <c r="AE959" s="32">
        <f t="shared" si="253"/>
        <v>0</v>
      </c>
      <c r="AF959" s="12"/>
      <c r="AG959" s="12"/>
      <c r="AH959" s="12"/>
      <c r="AI959" s="12">
        <f t="shared" si="254"/>
        <v>0</v>
      </c>
      <c r="AK959" s="62"/>
      <c r="AL959" s="66"/>
      <c r="AM959" s="84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10">
        <v>14</v>
      </c>
      <c r="B960" s="30" t="s">
        <v>89</v>
      </c>
      <c r="C960" s="31">
        <f t="shared" si="255"/>
        <v>6150</v>
      </c>
      <c r="D960" s="32">
        <f>2504+38</f>
        <v>2542</v>
      </c>
      <c r="E960" s="32"/>
      <c r="F960" s="32"/>
      <c r="G960" s="32">
        <f t="shared" si="249"/>
        <v>2542</v>
      </c>
      <c r="H960" s="12"/>
      <c r="I960" s="12"/>
      <c r="J960" s="12"/>
      <c r="K960" s="12">
        <f t="shared" si="250"/>
        <v>2542</v>
      </c>
      <c r="M960" s="10">
        <v>14</v>
      </c>
      <c r="N960" s="30" t="s">
        <v>89</v>
      </c>
      <c r="O960" s="31">
        <f t="shared" si="256"/>
        <v>6040</v>
      </c>
      <c r="P960" s="32">
        <f>626*216+1145</f>
        <v>136361</v>
      </c>
      <c r="Q960" s="32">
        <v>-1989</v>
      </c>
      <c r="R960" s="32"/>
      <c r="S960" s="32">
        <f t="shared" si="251"/>
        <v>134372</v>
      </c>
      <c r="T960" s="12"/>
      <c r="U960" s="12">
        <v>234</v>
      </c>
      <c r="V960" s="12">
        <f>-1776+-210</f>
        <v>-1986</v>
      </c>
      <c r="W960" s="12">
        <f t="shared" si="252"/>
        <v>132620</v>
      </c>
      <c r="Y960" s="10">
        <v>14</v>
      </c>
      <c r="Z960" s="30"/>
      <c r="AA960" s="31"/>
      <c r="AB960" s="32"/>
      <c r="AC960" s="32"/>
      <c r="AD960" s="32"/>
      <c r="AE960" s="32">
        <f t="shared" si="253"/>
        <v>0</v>
      </c>
      <c r="AF960" s="12"/>
      <c r="AG960" s="12"/>
      <c r="AH960" s="12"/>
      <c r="AI960" s="12">
        <f t="shared" si="254"/>
        <v>0</v>
      </c>
      <c r="AK960" s="62"/>
      <c r="AL960" s="66"/>
      <c r="AM960" s="84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10">
        <v>15</v>
      </c>
      <c r="B961" s="30" t="s">
        <v>89</v>
      </c>
      <c r="C961" s="31">
        <f t="shared" si="255"/>
        <v>6151</v>
      </c>
      <c r="D961" s="32">
        <f>2504+38</f>
        <v>2542</v>
      </c>
      <c r="E961" s="32"/>
      <c r="F961" s="32"/>
      <c r="G961" s="32">
        <f t="shared" si="249"/>
        <v>2542</v>
      </c>
      <c r="H961" s="12"/>
      <c r="I961" s="12"/>
      <c r="J961" s="12"/>
      <c r="K961" s="12">
        <f t="shared" si="250"/>
        <v>2542</v>
      </c>
      <c r="M961" s="10">
        <v>15</v>
      </c>
      <c r="N961" s="30" t="s">
        <v>89</v>
      </c>
      <c r="O961" s="31">
        <f t="shared" si="256"/>
        <v>6041</v>
      </c>
      <c r="P961" s="32">
        <f>626*187+614*5+1175+2010+1664+1582+1950</f>
        <v>128513</v>
      </c>
      <c r="Q961" s="32">
        <v>-1863</v>
      </c>
      <c r="R961" s="32"/>
      <c r="S961" s="32">
        <f t="shared" si="251"/>
        <v>126650</v>
      </c>
      <c r="T961" s="12"/>
      <c r="U961" s="12">
        <f>240+312</f>
        <v>552</v>
      </c>
      <c r="V961" s="12">
        <f>-7437+-168+-504+-210</f>
        <v>-8319</v>
      </c>
      <c r="W961" s="12">
        <f t="shared" si="252"/>
        <v>118883</v>
      </c>
      <c r="Y961" s="10">
        <v>15</v>
      </c>
      <c r="Z961" s="30"/>
      <c r="AA961" s="31"/>
      <c r="AB961" s="32"/>
      <c r="AC961" s="32"/>
      <c r="AD961" s="32"/>
      <c r="AE961" s="32">
        <f t="shared" si="253"/>
        <v>0</v>
      </c>
      <c r="AF961" s="12"/>
      <c r="AG961" s="12"/>
      <c r="AH961" s="12"/>
      <c r="AI961" s="12">
        <f t="shared" si="254"/>
        <v>0</v>
      </c>
      <c r="AK961" s="62"/>
      <c r="AL961" s="66"/>
      <c r="AM961" s="84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10">
        <v>16</v>
      </c>
      <c r="B962" s="30" t="s">
        <v>89</v>
      </c>
      <c r="C962" s="31">
        <f t="shared" si="255"/>
        <v>6152</v>
      </c>
      <c r="D962" s="32">
        <f>626+9.5</f>
        <v>635.5</v>
      </c>
      <c r="E962" s="32"/>
      <c r="F962" s="32"/>
      <c r="G962" s="32">
        <f t="shared" si="249"/>
        <v>635.5</v>
      </c>
      <c r="H962" s="12"/>
      <c r="I962" s="12"/>
      <c r="J962" s="12"/>
      <c r="K962" s="12">
        <f t="shared" si="250"/>
        <v>635.5</v>
      </c>
      <c r="M962" s="10">
        <v>16</v>
      </c>
      <c r="N962" s="30"/>
      <c r="O962" s="11" t="s">
        <v>28</v>
      </c>
      <c r="P962" s="32"/>
      <c r="Q962" s="32"/>
      <c r="R962" s="32"/>
      <c r="S962" s="32">
        <f t="shared" si="251"/>
        <v>0</v>
      </c>
      <c r="T962" s="12"/>
      <c r="U962" s="12"/>
      <c r="V962" s="12"/>
      <c r="W962" s="12">
        <f t="shared" si="252"/>
        <v>0</v>
      </c>
      <c r="Y962" s="10">
        <v>16</v>
      </c>
      <c r="Z962" s="30"/>
      <c r="AB962" s="32"/>
      <c r="AC962" s="32"/>
      <c r="AD962" s="32"/>
      <c r="AE962" s="32">
        <f t="shared" si="253"/>
        <v>0</v>
      </c>
      <c r="AF962" s="12"/>
      <c r="AG962" s="12"/>
      <c r="AH962" s="12"/>
      <c r="AI962" s="12">
        <f t="shared" si="254"/>
        <v>0</v>
      </c>
      <c r="AK962" s="62"/>
      <c r="AL962" s="66"/>
      <c r="AM962" s="84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10">
        <v>17</v>
      </c>
      <c r="B963" s="30" t="s">
        <v>89</v>
      </c>
      <c r="C963" s="31">
        <f t="shared" si="255"/>
        <v>6153</v>
      </c>
      <c r="D963" s="32">
        <f>6260+1192+114</f>
        <v>7566</v>
      </c>
      <c r="E963" s="32"/>
      <c r="F963" s="32"/>
      <c r="G963" s="32">
        <f t="shared" si="249"/>
        <v>7566</v>
      </c>
      <c r="H963" s="12"/>
      <c r="I963" s="12"/>
      <c r="J963" s="12"/>
      <c r="K963" s="12">
        <f t="shared" si="250"/>
        <v>7566</v>
      </c>
      <c r="M963" s="10">
        <v>17</v>
      </c>
      <c r="N963" s="30"/>
      <c r="O963" s="31"/>
      <c r="P963" s="35"/>
      <c r="Q963" s="32"/>
      <c r="R963" s="32"/>
      <c r="S963" s="32">
        <f t="shared" si="251"/>
        <v>0</v>
      </c>
      <c r="T963" s="12"/>
      <c r="U963" s="12"/>
      <c r="V963" s="12"/>
      <c r="W963" s="12">
        <f t="shared" si="252"/>
        <v>0</v>
      </c>
      <c r="Y963" s="10">
        <v>17</v>
      </c>
      <c r="Z963" s="30"/>
      <c r="AA963" s="31"/>
      <c r="AB963" s="35"/>
      <c r="AC963" s="32"/>
      <c r="AD963" s="32"/>
      <c r="AE963" s="32">
        <f t="shared" si="253"/>
        <v>0</v>
      </c>
      <c r="AF963" s="12"/>
      <c r="AG963" s="12"/>
      <c r="AH963" s="12"/>
      <c r="AI963" s="12">
        <f t="shared" si="254"/>
        <v>0</v>
      </c>
      <c r="AK963" s="62"/>
      <c r="AL963" s="66"/>
      <c r="AM963" s="84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10">
        <v>18</v>
      </c>
      <c r="B964" s="30" t="s">
        <v>89</v>
      </c>
      <c r="C964" s="31">
        <f t="shared" si="255"/>
        <v>6154</v>
      </c>
      <c r="D964" s="32">
        <f>2504+674</f>
        <v>3178</v>
      </c>
      <c r="E964" s="32"/>
      <c r="F964" s="32"/>
      <c r="G964" s="32">
        <f t="shared" si="249"/>
        <v>3178</v>
      </c>
      <c r="H964" s="12"/>
      <c r="I964" s="12"/>
      <c r="J964" s="12"/>
      <c r="K964" s="12">
        <f t="shared" si="250"/>
        <v>3178</v>
      </c>
      <c r="M964" s="10">
        <v>18</v>
      </c>
      <c r="N964" s="30"/>
      <c r="O964" s="31"/>
      <c r="P964" s="32"/>
      <c r="Q964" s="32"/>
      <c r="R964" s="32"/>
      <c r="S964" s="32">
        <f t="shared" si="251"/>
        <v>0</v>
      </c>
      <c r="T964" s="12"/>
      <c r="U964" s="12"/>
      <c r="V964" s="12"/>
      <c r="W964" s="12">
        <f t="shared" si="252"/>
        <v>0</v>
      </c>
      <c r="Y964" s="10">
        <v>18</v>
      </c>
      <c r="Z964" s="30"/>
      <c r="AA964" s="31"/>
      <c r="AB964" s="32"/>
      <c r="AC964" s="32"/>
      <c r="AD964" s="32"/>
      <c r="AE964" s="32">
        <f t="shared" si="253"/>
        <v>0</v>
      </c>
      <c r="AF964" s="12"/>
      <c r="AG964" s="12"/>
      <c r="AH964" s="12"/>
      <c r="AI964" s="12">
        <f t="shared" si="254"/>
        <v>0</v>
      </c>
      <c r="AK964" s="62"/>
      <c r="AL964" s="66"/>
      <c r="AM964" s="84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10">
        <v>19</v>
      </c>
      <c r="B965" s="30" t="s">
        <v>89</v>
      </c>
      <c r="C965" s="31">
        <f t="shared" si="255"/>
        <v>6155</v>
      </c>
      <c r="D965" s="32">
        <f>7512+114</f>
        <v>7626</v>
      </c>
      <c r="E965" s="32"/>
      <c r="F965" s="32"/>
      <c r="G965" s="32">
        <f t="shared" si="249"/>
        <v>7626</v>
      </c>
      <c r="H965" s="12"/>
      <c r="I965" s="12"/>
      <c r="J965" s="12"/>
      <c r="K965" s="12">
        <f t="shared" si="250"/>
        <v>7626</v>
      </c>
      <c r="M965" s="10">
        <v>19</v>
      </c>
      <c r="N965" s="30"/>
      <c r="O965" s="31"/>
      <c r="P965" s="32"/>
      <c r="Q965" s="32"/>
      <c r="R965" s="32"/>
      <c r="S965" s="32">
        <f t="shared" si="251"/>
        <v>0</v>
      </c>
      <c r="T965" s="12"/>
      <c r="U965" s="12"/>
      <c r="V965" s="12"/>
      <c r="W965" s="12">
        <f t="shared" si="252"/>
        <v>0</v>
      </c>
      <c r="Y965" s="10">
        <v>19</v>
      </c>
      <c r="Z965" s="30"/>
      <c r="AA965" s="31"/>
      <c r="AB965" s="32"/>
      <c r="AC965" s="32"/>
      <c r="AD965" s="32"/>
      <c r="AE965" s="32">
        <f t="shared" si="253"/>
        <v>0</v>
      </c>
      <c r="AF965" s="12"/>
      <c r="AG965" s="12"/>
      <c r="AH965" s="12"/>
      <c r="AI965" s="12">
        <f t="shared" si="254"/>
        <v>0</v>
      </c>
      <c r="AK965" s="62"/>
      <c r="AL965" s="66"/>
      <c r="AM965" s="84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10">
        <v>20</v>
      </c>
      <c r="B966" s="30" t="s">
        <v>89</v>
      </c>
      <c r="C966" s="31">
        <f t="shared" si="255"/>
        <v>6156</v>
      </c>
      <c r="D966" s="32">
        <f>11268+1788+199</f>
        <v>13255</v>
      </c>
      <c r="E966" s="32"/>
      <c r="F966" s="32"/>
      <c r="G966" s="32">
        <f t="shared" si="249"/>
        <v>13255</v>
      </c>
      <c r="H966" s="12"/>
      <c r="I966" s="12">
        <v>4.5</v>
      </c>
      <c r="J966" s="12"/>
      <c r="K966" s="12">
        <f t="shared" si="250"/>
        <v>13259.5</v>
      </c>
      <c r="M966" s="10">
        <v>20</v>
      </c>
      <c r="N966" s="30"/>
      <c r="O966" s="31"/>
      <c r="P966" s="32"/>
      <c r="Q966" s="32"/>
      <c r="R966" s="32"/>
      <c r="S966" s="32">
        <f t="shared" si="251"/>
        <v>0</v>
      </c>
      <c r="T966" s="12"/>
      <c r="U966" s="12"/>
      <c r="V966" s="12"/>
      <c r="W966" s="12">
        <f t="shared" si="252"/>
        <v>0</v>
      </c>
      <c r="Y966" s="10">
        <v>20</v>
      </c>
      <c r="Z966" s="30"/>
      <c r="AA966" s="31"/>
      <c r="AB966" s="32"/>
      <c r="AC966" s="32"/>
      <c r="AD966" s="32"/>
      <c r="AE966" s="32">
        <f t="shared" si="253"/>
        <v>0</v>
      </c>
      <c r="AF966" s="12"/>
      <c r="AG966" s="12"/>
      <c r="AH966" s="12"/>
      <c r="AI966" s="12">
        <f t="shared" si="254"/>
        <v>0</v>
      </c>
      <c r="AK966" s="62"/>
      <c r="AL966" s="66"/>
      <c r="AM966" s="84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10">
        <v>21</v>
      </c>
      <c r="B967" s="30" t="s">
        <v>89</v>
      </c>
      <c r="C967" s="31">
        <f t="shared" si="255"/>
        <v>6157</v>
      </c>
      <c r="D967" s="32">
        <f>36934+1348</f>
        <v>38282</v>
      </c>
      <c r="E967" s="32"/>
      <c r="F967" s="32"/>
      <c r="G967" s="32">
        <f t="shared" si="249"/>
        <v>38282</v>
      </c>
      <c r="H967" s="10"/>
      <c r="I967" s="10"/>
      <c r="J967" s="10"/>
      <c r="K967" s="12">
        <f t="shared" si="250"/>
        <v>38282</v>
      </c>
      <c r="M967" s="10">
        <v>21</v>
      </c>
      <c r="N967" s="30"/>
      <c r="O967" s="31"/>
      <c r="P967" s="46"/>
      <c r="Q967" s="32"/>
      <c r="R967" s="31"/>
      <c r="S967" s="32">
        <f t="shared" si="251"/>
        <v>0</v>
      </c>
      <c r="T967" s="10"/>
      <c r="U967" s="10"/>
      <c r="V967" s="10"/>
      <c r="W967" s="12">
        <f t="shared" si="252"/>
        <v>0</v>
      </c>
      <c r="Y967" s="10">
        <v>21</v>
      </c>
      <c r="Z967" s="30"/>
      <c r="AB967" s="46"/>
      <c r="AC967" s="31"/>
      <c r="AD967" s="31"/>
      <c r="AE967" s="32">
        <f t="shared" si="253"/>
        <v>0</v>
      </c>
      <c r="AF967" s="10"/>
      <c r="AG967" s="10"/>
      <c r="AH967" s="10"/>
      <c r="AI967" s="12">
        <f t="shared" si="254"/>
        <v>0</v>
      </c>
      <c r="AK967" s="62"/>
      <c r="AL967" s="66"/>
      <c r="AM967" s="84"/>
      <c r="AN967" s="67"/>
      <c r="AO967" s="84"/>
      <c r="AP967" s="84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10">
        <v>22</v>
      </c>
      <c r="B968" s="30" t="s">
        <v>89</v>
      </c>
      <c r="C968" s="31">
        <f t="shared" si="255"/>
        <v>6158</v>
      </c>
      <c r="D968" s="32">
        <f>500</f>
        <v>500</v>
      </c>
      <c r="E968" s="32"/>
      <c r="F968" s="32"/>
      <c r="G968" s="32">
        <f t="shared" si="249"/>
        <v>500</v>
      </c>
      <c r="H968" s="10"/>
      <c r="I968" s="10">
        <v>18</v>
      </c>
      <c r="J968" s="10"/>
      <c r="K968" s="12">
        <f t="shared" si="250"/>
        <v>518</v>
      </c>
      <c r="M968" s="10">
        <v>22</v>
      </c>
      <c r="N968" s="30"/>
      <c r="O968" s="31"/>
      <c r="P968" s="45"/>
      <c r="Q968" s="32"/>
      <c r="R968" s="31"/>
      <c r="S968" s="32">
        <f t="shared" si="251"/>
        <v>0</v>
      </c>
      <c r="T968" s="10"/>
      <c r="U968" s="10"/>
      <c r="V968" s="10"/>
      <c r="W968" s="12">
        <f t="shared" si="252"/>
        <v>0</v>
      </c>
      <c r="Y968" s="10">
        <v>22</v>
      </c>
      <c r="Z968" s="30"/>
      <c r="AA968" s="31"/>
      <c r="AB968" s="45"/>
      <c r="AC968" s="31"/>
      <c r="AD968" s="31"/>
      <c r="AE968" s="32">
        <f t="shared" si="253"/>
        <v>0</v>
      </c>
      <c r="AF968" s="10"/>
      <c r="AG968" s="10"/>
      <c r="AH968" s="10"/>
      <c r="AI968" s="12">
        <f t="shared" si="254"/>
        <v>0</v>
      </c>
      <c r="AK968" s="62"/>
      <c r="AL968" s="66"/>
      <c r="AM968" s="84"/>
      <c r="AN968" s="68"/>
      <c r="AO968" s="84"/>
      <c r="AP968" s="84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10">
        <v>23</v>
      </c>
      <c r="B969" s="30" t="s">
        <v>89</v>
      </c>
      <c r="C969" s="31">
        <f t="shared" si="255"/>
        <v>6159</v>
      </c>
      <c r="D969" s="32">
        <f>4382+596+76</f>
        <v>5054</v>
      </c>
      <c r="E969" s="32"/>
      <c r="F969" s="32"/>
      <c r="G969" s="32">
        <f t="shared" si="249"/>
        <v>5054</v>
      </c>
      <c r="H969" s="10"/>
      <c r="I969" s="10"/>
      <c r="J969" s="12"/>
      <c r="K969" s="12">
        <f t="shared" si="250"/>
        <v>5054</v>
      </c>
      <c r="M969" s="10">
        <v>23</v>
      </c>
      <c r="N969" s="30"/>
      <c r="O969" s="31"/>
      <c r="P969" s="47"/>
      <c r="Q969" s="32"/>
      <c r="S969" s="32">
        <f t="shared" si="251"/>
        <v>0</v>
      </c>
      <c r="T969" s="10"/>
      <c r="U969" s="10"/>
      <c r="V969" s="10"/>
      <c r="W969" s="12">
        <f t="shared" si="252"/>
        <v>0</v>
      </c>
      <c r="Y969" s="10">
        <v>23</v>
      </c>
      <c r="Z969" s="30"/>
      <c r="AA969" s="31"/>
      <c r="AB969" s="47"/>
      <c r="AC969" s="31"/>
      <c r="AE969" s="32">
        <f t="shared" si="253"/>
        <v>0</v>
      </c>
      <c r="AF969" s="10"/>
      <c r="AG969" s="10"/>
      <c r="AH969" s="10"/>
      <c r="AI969" s="12">
        <f t="shared" si="254"/>
        <v>0</v>
      </c>
      <c r="AK969" s="62"/>
      <c r="AL969" s="66"/>
      <c r="AM969" s="84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10">
        <v>24</v>
      </c>
      <c r="B970" s="30" t="s">
        <v>89</v>
      </c>
      <c r="C970" s="31">
        <f t="shared" si="255"/>
        <v>6160</v>
      </c>
      <c r="D970" s="32">
        <f>10016+832+152</f>
        <v>11000</v>
      </c>
      <c r="E970" s="32"/>
      <c r="F970" s="32"/>
      <c r="G970" s="32">
        <f t="shared" si="249"/>
        <v>11000</v>
      </c>
      <c r="H970" s="10"/>
      <c r="I970" s="10">
        <v>27</v>
      </c>
      <c r="J970" s="10"/>
      <c r="K970" s="12">
        <f t="shared" si="250"/>
        <v>11027</v>
      </c>
      <c r="M970" s="10">
        <v>24</v>
      </c>
      <c r="N970" s="30"/>
      <c r="O970" s="31"/>
      <c r="P970" s="47"/>
      <c r="Q970" s="32"/>
      <c r="R970" s="31"/>
      <c r="S970" s="32">
        <f t="shared" si="251"/>
        <v>0</v>
      </c>
      <c r="T970" s="10"/>
      <c r="U970" s="10"/>
      <c r="V970" s="10"/>
      <c r="W970" s="12">
        <f t="shared" si="252"/>
        <v>0</v>
      </c>
      <c r="Y970" s="10">
        <v>24</v>
      </c>
      <c r="Z970" s="30"/>
      <c r="AA970" s="31"/>
      <c r="AB970" s="47"/>
      <c r="AC970" s="31"/>
      <c r="AD970" s="31"/>
      <c r="AE970" s="32">
        <f t="shared" si="253"/>
        <v>0</v>
      </c>
      <c r="AF970" s="10"/>
      <c r="AG970" s="10"/>
      <c r="AH970" s="10"/>
      <c r="AI970" s="12">
        <f t="shared" si="254"/>
        <v>0</v>
      </c>
      <c r="AK970" s="62"/>
      <c r="AL970" s="66"/>
      <c r="AM970" s="84"/>
      <c r="AN970" s="69"/>
      <c r="AO970" s="84"/>
      <c r="AP970" s="84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10">
        <v>25</v>
      </c>
      <c r="B971" s="30" t="s">
        <v>89</v>
      </c>
      <c r="C971" s="31">
        <f t="shared" si="255"/>
        <v>6161</v>
      </c>
      <c r="D971" s="32">
        <f>7512+1228+674+2980+500</f>
        <v>12894</v>
      </c>
      <c r="E971" s="32"/>
      <c r="F971" s="32"/>
      <c r="G971" s="32">
        <f t="shared" si="249"/>
        <v>12894</v>
      </c>
      <c r="H971" s="10"/>
      <c r="I971" s="10"/>
      <c r="J971" s="10"/>
      <c r="K971" s="12">
        <f t="shared" si="250"/>
        <v>12894</v>
      </c>
      <c r="M971" s="10">
        <v>25</v>
      </c>
      <c r="N971" s="30"/>
      <c r="O971" s="31"/>
      <c r="P971" s="47"/>
      <c r="Q971" s="32"/>
      <c r="R971" s="31"/>
      <c r="S971" s="32">
        <f t="shared" si="251"/>
        <v>0</v>
      </c>
      <c r="T971" s="10"/>
      <c r="U971" s="10"/>
      <c r="V971" s="10"/>
      <c r="W971" s="12">
        <f t="shared" si="252"/>
        <v>0</v>
      </c>
      <c r="Y971" s="10">
        <v>25</v>
      </c>
      <c r="Z971" s="30"/>
      <c r="AA971" s="31"/>
      <c r="AB971" s="47"/>
      <c r="AC971" s="31"/>
      <c r="AD971" s="31"/>
      <c r="AE971" s="32">
        <f t="shared" si="253"/>
        <v>0</v>
      </c>
      <c r="AF971" s="10"/>
      <c r="AG971" s="10"/>
      <c r="AH971" s="10"/>
      <c r="AI971" s="12">
        <f t="shared" si="254"/>
        <v>0</v>
      </c>
      <c r="AK971" s="62"/>
      <c r="AL971" s="66"/>
      <c r="AM971" s="84"/>
      <c r="AN971" s="69"/>
      <c r="AO971" s="84"/>
      <c r="AP971" s="84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10">
        <v>26</v>
      </c>
      <c r="B972" s="30" t="s">
        <v>89</v>
      </c>
      <c r="C972" s="31">
        <f t="shared" si="255"/>
        <v>6162</v>
      </c>
      <c r="D972" s="32">
        <f>10642+2980+229</f>
        <v>13851</v>
      </c>
      <c r="E972" s="32"/>
      <c r="F972" s="32"/>
      <c r="G972" s="32">
        <f t="shared" si="249"/>
        <v>13851</v>
      </c>
      <c r="H972" s="10"/>
      <c r="I972" s="10"/>
      <c r="J972" s="10"/>
      <c r="K972" s="12">
        <f t="shared" si="250"/>
        <v>13851</v>
      </c>
      <c r="M972" s="10">
        <v>26</v>
      </c>
      <c r="N972" s="30"/>
      <c r="P972" s="47"/>
      <c r="Q972" s="32"/>
      <c r="R972" s="31"/>
      <c r="S972" s="32">
        <f t="shared" si="251"/>
        <v>0</v>
      </c>
      <c r="T972" s="10"/>
      <c r="U972" s="10"/>
      <c r="V972" s="10"/>
      <c r="W972" s="12">
        <f t="shared" si="252"/>
        <v>0</v>
      </c>
      <c r="Y972" s="10">
        <v>26</v>
      </c>
      <c r="Z972" s="30"/>
      <c r="AB972" s="47"/>
      <c r="AC972" s="31"/>
      <c r="AD972" s="31"/>
      <c r="AE972" s="32">
        <f t="shared" si="253"/>
        <v>0</v>
      </c>
      <c r="AF972" s="10"/>
      <c r="AG972" s="10"/>
      <c r="AH972" s="10"/>
      <c r="AI972" s="12">
        <f t="shared" si="254"/>
        <v>0</v>
      </c>
      <c r="AK972" s="62"/>
      <c r="AL972" s="66"/>
      <c r="AM972" s="84"/>
      <c r="AN972" s="69"/>
      <c r="AO972" s="84"/>
      <c r="AP972" s="84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10">
        <v>27</v>
      </c>
      <c r="B973" s="30" t="s">
        <v>89</v>
      </c>
      <c r="C973" s="31">
        <f t="shared" si="255"/>
        <v>6163</v>
      </c>
      <c r="D973" s="32">
        <f>5008+674+1788</f>
        <v>7470</v>
      </c>
      <c r="E973" s="32"/>
      <c r="F973" s="32"/>
      <c r="G973" s="32">
        <f t="shared" si="249"/>
        <v>7470</v>
      </c>
      <c r="H973" s="10"/>
      <c r="I973" s="10"/>
      <c r="J973" s="10"/>
      <c r="K973" s="12">
        <f t="shared" si="250"/>
        <v>7470</v>
      </c>
      <c r="M973" s="10">
        <v>27</v>
      </c>
      <c r="N973" s="30"/>
      <c r="O973" s="31"/>
      <c r="P973" s="47"/>
      <c r="Q973" s="31"/>
      <c r="R973" s="31"/>
      <c r="S973" s="32">
        <f t="shared" si="251"/>
        <v>0</v>
      </c>
      <c r="T973" s="10"/>
      <c r="U973" s="10"/>
      <c r="V973" s="10"/>
      <c r="W973" s="12">
        <f t="shared" si="252"/>
        <v>0</v>
      </c>
      <c r="Y973" s="10">
        <v>27</v>
      </c>
      <c r="Z973" s="30"/>
      <c r="AA973" s="31"/>
      <c r="AB973" s="47"/>
      <c r="AC973" s="31"/>
      <c r="AD973" s="31"/>
      <c r="AE973" s="32">
        <f t="shared" si="253"/>
        <v>0</v>
      </c>
      <c r="AF973" s="10"/>
      <c r="AG973" s="10"/>
      <c r="AH973" s="10"/>
      <c r="AI973" s="12">
        <f t="shared" si="254"/>
        <v>0</v>
      </c>
      <c r="AK973" s="62"/>
      <c r="AL973" s="66"/>
      <c r="AM973" s="84"/>
      <c r="AN973" s="69"/>
      <c r="AO973" s="84"/>
      <c r="AP973" s="84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11" t="s">
        <v>28</v>
      </c>
      <c r="D974" s="32"/>
      <c r="E974" s="32"/>
      <c r="F974" s="32"/>
      <c r="G974" s="32">
        <f t="shared" si="249"/>
        <v>0</v>
      </c>
      <c r="H974" s="10"/>
      <c r="I974" s="10"/>
      <c r="J974" s="10"/>
      <c r="K974" s="12">
        <f t="shared" si="250"/>
        <v>0</v>
      </c>
      <c r="M974" s="10">
        <v>28</v>
      </c>
      <c r="N974" s="30"/>
      <c r="O974" s="31"/>
      <c r="P974" s="47"/>
      <c r="Q974" s="31"/>
      <c r="R974" s="31"/>
      <c r="S974" s="32">
        <f t="shared" si="251"/>
        <v>0</v>
      </c>
      <c r="T974" s="10"/>
      <c r="U974" s="10"/>
      <c r="V974" s="10"/>
      <c r="W974" s="12">
        <f t="shared" si="252"/>
        <v>0</v>
      </c>
      <c r="Y974" s="10">
        <v>28</v>
      </c>
      <c r="Z974" s="30"/>
      <c r="AA974" s="31"/>
      <c r="AB974" s="47"/>
      <c r="AC974" s="31"/>
      <c r="AD974" s="31"/>
      <c r="AE974" s="32">
        <f t="shared" si="253"/>
        <v>0</v>
      </c>
      <c r="AF974" s="10"/>
      <c r="AG974" s="10"/>
      <c r="AH974" s="10"/>
      <c r="AI974" s="12">
        <f t="shared" si="254"/>
        <v>0</v>
      </c>
      <c r="AK974" s="62"/>
      <c r="AL974" s="66"/>
      <c r="AM974" s="84"/>
      <c r="AN974" s="69"/>
      <c r="AO974" s="84"/>
      <c r="AP974" s="84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>
        <f t="shared" si="249"/>
        <v>0</v>
      </c>
      <c r="H975" s="10"/>
      <c r="I975" s="10"/>
      <c r="J975" s="10"/>
      <c r="K975" s="12">
        <f t="shared" si="250"/>
        <v>0</v>
      </c>
      <c r="M975" s="10">
        <v>29</v>
      </c>
      <c r="N975" s="30"/>
      <c r="O975" s="31"/>
      <c r="P975" s="47"/>
      <c r="Q975" s="31"/>
      <c r="R975" s="31"/>
      <c r="S975" s="32">
        <f t="shared" si="251"/>
        <v>0</v>
      </c>
      <c r="T975" s="10"/>
      <c r="U975" s="10"/>
      <c r="V975" s="10"/>
      <c r="W975" s="12">
        <f t="shared" si="252"/>
        <v>0</v>
      </c>
      <c r="Y975" s="10">
        <v>29</v>
      </c>
      <c r="Z975" s="30"/>
      <c r="AA975" s="31"/>
      <c r="AB975" s="47"/>
      <c r="AC975" s="31"/>
      <c r="AD975" s="31"/>
      <c r="AE975" s="32">
        <f t="shared" si="253"/>
        <v>0</v>
      </c>
      <c r="AF975" s="10"/>
      <c r="AG975" s="10"/>
      <c r="AH975" s="10"/>
      <c r="AI975" s="12">
        <f t="shared" si="254"/>
        <v>0</v>
      </c>
      <c r="AK975" s="62"/>
      <c r="AL975" s="66"/>
      <c r="AM975" s="84"/>
      <c r="AN975" s="69"/>
      <c r="AO975" s="84"/>
      <c r="AP975" s="84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>
        <f t="shared" si="249"/>
        <v>0</v>
      </c>
      <c r="H976" s="10"/>
      <c r="I976" s="10"/>
      <c r="J976" s="10"/>
      <c r="K976" s="12">
        <f t="shared" si="250"/>
        <v>0</v>
      </c>
      <c r="M976" s="10">
        <v>30</v>
      </c>
      <c r="N976" s="30"/>
      <c r="O976" s="31"/>
      <c r="P976" s="47"/>
      <c r="Q976" s="31"/>
      <c r="R976" s="31"/>
      <c r="S976" s="32">
        <f t="shared" si="251"/>
        <v>0</v>
      </c>
      <c r="T976" s="10"/>
      <c r="U976" s="10"/>
      <c r="V976" s="10"/>
      <c r="W976" s="12">
        <f t="shared" si="252"/>
        <v>0</v>
      </c>
      <c r="Y976" s="10">
        <v>30</v>
      </c>
      <c r="Z976" s="30"/>
      <c r="AA976" s="31"/>
      <c r="AB976" s="47"/>
      <c r="AC976" s="31"/>
      <c r="AD976" s="31"/>
      <c r="AE976" s="32">
        <f t="shared" si="253"/>
        <v>0</v>
      </c>
      <c r="AF976" s="10"/>
      <c r="AG976" s="10"/>
      <c r="AH976" s="10"/>
      <c r="AI976" s="12">
        <f t="shared" si="254"/>
        <v>0</v>
      </c>
      <c r="AK976" s="62"/>
      <c r="AL976" s="66"/>
      <c r="AM976" s="84"/>
      <c r="AN976" s="69"/>
      <c r="AO976" s="84"/>
      <c r="AP976" s="84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10">
        <v>31</v>
      </c>
      <c r="B977" s="30"/>
      <c r="C977" s="31"/>
      <c r="D977" s="32"/>
      <c r="E977" s="32"/>
      <c r="F977" s="32"/>
      <c r="G977" s="32">
        <f t="shared" si="249"/>
        <v>0</v>
      </c>
      <c r="H977" s="10"/>
      <c r="I977" s="10"/>
      <c r="J977" s="10"/>
      <c r="K977" s="12">
        <f t="shared" si="250"/>
        <v>0</v>
      </c>
      <c r="M977" s="10">
        <v>31</v>
      </c>
      <c r="N977" s="30"/>
      <c r="O977" s="31"/>
      <c r="P977" s="47"/>
      <c r="Q977" s="31"/>
      <c r="R977" s="31"/>
      <c r="S977" s="32">
        <f t="shared" si="251"/>
        <v>0</v>
      </c>
      <c r="T977" s="10"/>
      <c r="U977" s="10"/>
      <c r="V977" s="10"/>
      <c r="W977" s="12">
        <f t="shared" si="252"/>
        <v>0</v>
      </c>
      <c r="Y977" s="10">
        <v>31</v>
      </c>
      <c r="Z977" s="30"/>
      <c r="AA977" s="31"/>
      <c r="AB977" s="47"/>
      <c r="AC977" s="31"/>
      <c r="AD977" s="31"/>
      <c r="AE977" s="32">
        <f t="shared" si="253"/>
        <v>0</v>
      </c>
      <c r="AF977" s="10"/>
      <c r="AG977" s="10"/>
      <c r="AH977" s="10"/>
      <c r="AI977" s="12">
        <f t="shared" si="254"/>
        <v>0</v>
      </c>
      <c r="AK977" s="62"/>
      <c r="AL977" s="66"/>
      <c r="AM977" s="62"/>
      <c r="AN977" s="69"/>
      <c r="AO977" s="84"/>
      <c r="AP977" s="84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10">
        <v>32</v>
      </c>
      <c r="B978" s="30"/>
      <c r="D978" s="32"/>
      <c r="E978" s="32"/>
      <c r="F978" s="32"/>
      <c r="G978" s="32">
        <f t="shared" si="249"/>
        <v>0</v>
      </c>
      <c r="H978" s="10"/>
      <c r="I978" s="10"/>
      <c r="J978" s="10"/>
      <c r="K978" s="12">
        <f t="shared" si="250"/>
        <v>0</v>
      </c>
      <c r="M978" s="10">
        <v>32</v>
      </c>
      <c r="N978" s="30"/>
      <c r="O978" s="31"/>
      <c r="P978" s="47"/>
      <c r="Q978" s="31"/>
      <c r="R978" s="31"/>
      <c r="S978" s="32">
        <f t="shared" si="251"/>
        <v>0</v>
      </c>
      <c r="T978" s="10"/>
      <c r="U978" s="10"/>
      <c r="V978" s="10"/>
      <c r="W978" s="12">
        <f t="shared" si="252"/>
        <v>0</v>
      </c>
      <c r="Y978" s="10">
        <v>32</v>
      </c>
      <c r="Z978" s="30"/>
      <c r="AA978" s="31"/>
      <c r="AB978" s="47"/>
      <c r="AC978" s="31"/>
      <c r="AD978" s="31"/>
      <c r="AE978" s="32">
        <f t="shared" si="253"/>
        <v>0</v>
      </c>
      <c r="AF978" s="10"/>
      <c r="AG978" s="10"/>
      <c r="AH978" s="10"/>
      <c r="AI978" s="12">
        <f t="shared" si="254"/>
        <v>0</v>
      </c>
      <c r="AK978" s="62"/>
      <c r="AL978" s="66"/>
      <c r="AM978" s="84"/>
      <c r="AN978" s="69"/>
      <c r="AO978" s="84"/>
      <c r="AP978" s="84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31"/>
      <c r="D979" s="32"/>
      <c r="E979" s="32"/>
      <c r="F979" s="32"/>
      <c r="G979" s="32">
        <f t="shared" si="249"/>
        <v>0</v>
      </c>
      <c r="H979" s="10"/>
      <c r="I979" s="10"/>
      <c r="J979" s="10"/>
      <c r="K979" s="12">
        <f t="shared" si="250"/>
        <v>0</v>
      </c>
      <c r="M979" s="10">
        <v>33</v>
      </c>
      <c r="N979" s="30"/>
      <c r="O979" s="31"/>
      <c r="P979" s="47"/>
      <c r="Q979" s="31"/>
      <c r="R979" s="31"/>
      <c r="S979" s="32">
        <f t="shared" si="251"/>
        <v>0</v>
      </c>
      <c r="T979" s="10"/>
      <c r="U979" s="10"/>
      <c r="V979" s="10"/>
      <c r="W979" s="12">
        <f t="shared" si="252"/>
        <v>0</v>
      </c>
      <c r="Y979" s="10">
        <v>33</v>
      </c>
      <c r="Z979" s="30"/>
      <c r="AA979" s="31"/>
      <c r="AB979" s="47"/>
      <c r="AC979" s="31"/>
      <c r="AD979" s="31"/>
      <c r="AE979" s="32">
        <f t="shared" si="253"/>
        <v>0</v>
      </c>
      <c r="AF979" s="10"/>
      <c r="AG979" s="10"/>
      <c r="AH979" s="10"/>
      <c r="AI979" s="12">
        <f t="shared" si="254"/>
        <v>0</v>
      </c>
      <c r="AK979" s="62"/>
      <c r="AL979" s="66"/>
      <c r="AM979" s="84"/>
      <c r="AN979" s="69"/>
      <c r="AO979" s="84"/>
      <c r="AP979" s="84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10"/>
      <c r="B980" s="30"/>
      <c r="C980" s="31"/>
      <c r="D980" s="32"/>
      <c r="E980" s="32"/>
      <c r="F980" s="32"/>
      <c r="G980" s="32">
        <f t="shared" si="249"/>
        <v>0</v>
      </c>
      <c r="H980" s="10"/>
      <c r="I980" s="10"/>
      <c r="J980" s="10"/>
      <c r="K980" s="12">
        <f t="shared" si="250"/>
        <v>0</v>
      </c>
      <c r="M980" s="10">
        <v>34</v>
      </c>
      <c r="N980" s="30"/>
      <c r="O980" s="31"/>
      <c r="P980" s="47"/>
      <c r="Q980" s="31"/>
      <c r="R980" s="31"/>
      <c r="S980" s="32">
        <f t="shared" si="251"/>
        <v>0</v>
      </c>
      <c r="T980" s="10"/>
      <c r="U980" s="10"/>
      <c r="V980" s="10"/>
      <c r="W980" s="12">
        <f t="shared" si="252"/>
        <v>0</v>
      </c>
      <c r="Y980" s="10">
        <v>34</v>
      </c>
      <c r="Z980" s="30"/>
      <c r="AA980" s="31"/>
      <c r="AB980" s="47"/>
      <c r="AC980" s="31"/>
      <c r="AD980" s="31"/>
      <c r="AE980" s="32">
        <f t="shared" si="253"/>
        <v>0</v>
      </c>
      <c r="AF980" s="10"/>
      <c r="AG980" s="10"/>
      <c r="AH980" s="10"/>
      <c r="AI980" s="12">
        <f t="shared" si="254"/>
        <v>0</v>
      </c>
      <c r="AK980" s="62"/>
      <c r="AL980" s="66"/>
      <c r="AM980" s="62"/>
      <c r="AN980" s="69"/>
      <c r="AO980" s="84"/>
      <c r="AP980" s="84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10"/>
      <c r="B981" s="30"/>
      <c r="C981" s="31"/>
      <c r="D981" s="32"/>
      <c r="E981" s="32"/>
      <c r="F981" s="32"/>
      <c r="G981" s="32"/>
      <c r="H981" s="10"/>
      <c r="I981" s="10"/>
      <c r="J981" s="10"/>
      <c r="K981" s="12"/>
      <c r="M981" s="10">
        <v>35</v>
      </c>
      <c r="N981" s="30"/>
      <c r="O981" s="31"/>
      <c r="P981" s="47"/>
      <c r="Q981" s="31"/>
      <c r="R981" s="31"/>
      <c r="S981" s="32">
        <f t="shared" si="251"/>
        <v>0</v>
      </c>
      <c r="T981" s="10"/>
      <c r="U981" s="10"/>
      <c r="V981" s="10"/>
      <c r="W981" s="12">
        <f t="shared" si="252"/>
        <v>0</v>
      </c>
      <c r="Y981" s="10">
        <v>35</v>
      </c>
      <c r="Z981" s="30"/>
      <c r="AA981" s="31"/>
      <c r="AB981" s="47"/>
      <c r="AC981" s="31"/>
      <c r="AD981" s="31"/>
      <c r="AE981" s="32">
        <f t="shared" si="253"/>
        <v>0</v>
      </c>
      <c r="AF981" s="10"/>
      <c r="AG981" s="10"/>
      <c r="AH981" s="10"/>
      <c r="AI981" s="12">
        <f t="shared" si="254"/>
        <v>0</v>
      </c>
      <c r="AK981" s="62"/>
      <c r="AL981" s="66"/>
      <c r="AM981" s="84"/>
      <c r="AN981" s="69"/>
      <c r="AO981" s="84"/>
      <c r="AP981" s="84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10"/>
      <c r="B982" s="30"/>
      <c r="C982" s="31"/>
      <c r="D982" s="32"/>
      <c r="E982" s="32"/>
      <c r="F982" s="32"/>
      <c r="G982" s="32"/>
      <c r="H982" s="10"/>
      <c r="I982" s="10"/>
      <c r="J982" s="10"/>
      <c r="K982" s="12"/>
      <c r="M982" s="10">
        <v>36</v>
      </c>
      <c r="N982" s="30"/>
      <c r="O982" s="31"/>
      <c r="P982" s="47"/>
      <c r="Q982" s="31"/>
      <c r="R982" s="31"/>
      <c r="S982" s="32">
        <f t="shared" si="251"/>
        <v>0</v>
      </c>
      <c r="T982" s="10"/>
      <c r="U982" s="10"/>
      <c r="V982" s="10"/>
      <c r="W982" s="12">
        <f t="shared" si="252"/>
        <v>0</v>
      </c>
      <c r="Y982" s="10">
        <v>36</v>
      </c>
      <c r="Z982" s="30"/>
      <c r="AA982" s="31"/>
      <c r="AB982" s="47"/>
      <c r="AC982" s="31"/>
      <c r="AD982" s="31"/>
      <c r="AE982" s="32">
        <f t="shared" si="253"/>
        <v>0</v>
      </c>
      <c r="AF982" s="10"/>
      <c r="AG982" s="10"/>
      <c r="AH982" s="10"/>
      <c r="AI982" s="12">
        <f t="shared" si="254"/>
        <v>0</v>
      </c>
      <c r="AK982" s="62"/>
      <c r="AL982" s="66"/>
      <c r="AM982" s="84"/>
      <c r="AN982" s="69"/>
      <c r="AO982" s="84"/>
      <c r="AP982" s="84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10"/>
      <c r="B983" s="30"/>
      <c r="C983" s="31"/>
      <c r="D983" s="32"/>
      <c r="E983" s="32"/>
      <c r="F983" s="32"/>
      <c r="G983" s="32"/>
      <c r="H983" s="10"/>
      <c r="I983" s="10"/>
      <c r="J983" s="10"/>
      <c r="K983" s="12"/>
      <c r="M983" s="10">
        <v>37</v>
      </c>
      <c r="N983" s="30"/>
      <c r="P983" s="47"/>
      <c r="Q983" s="31"/>
      <c r="R983" s="31"/>
      <c r="S983" s="32">
        <f t="shared" si="251"/>
        <v>0</v>
      </c>
      <c r="T983" s="10"/>
      <c r="U983" s="10"/>
      <c r="V983" s="10"/>
      <c r="W983" s="12">
        <f t="shared" si="252"/>
        <v>0</v>
      </c>
      <c r="Y983" s="10">
        <v>37</v>
      </c>
      <c r="Z983" s="30"/>
      <c r="AA983" s="31"/>
      <c r="AB983" s="47"/>
      <c r="AC983" s="31"/>
      <c r="AD983" s="31"/>
      <c r="AE983" s="32">
        <f t="shared" si="253"/>
        <v>0</v>
      </c>
      <c r="AF983" s="10"/>
      <c r="AG983" s="10"/>
      <c r="AH983" s="10"/>
      <c r="AI983" s="12">
        <f t="shared" si="254"/>
        <v>0</v>
      </c>
      <c r="AK983" s="62"/>
      <c r="AL983" s="66"/>
      <c r="AM983" s="84"/>
      <c r="AN983" s="69"/>
      <c r="AO983" s="84"/>
      <c r="AP983" s="84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10"/>
      <c r="B984" s="30"/>
      <c r="C984" s="31"/>
      <c r="D984" s="32"/>
      <c r="E984" s="32"/>
      <c r="F984" s="32"/>
      <c r="G984" s="32"/>
      <c r="H984" s="10"/>
      <c r="I984" s="10"/>
      <c r="J984" s="10"/>
      <c r="K984" s="12"/>
      <c r="M984" s="10">
        <v>38</v>
      </c>
      <c r="N984" s="30"/>
      <c r="O984" s="31"/>
      <c r="P984" s="47"/>
      <c r="Q984" s="31"/>
      <c r="R984" s="31"/>
      <c r="S984" s="32">
        <f t="shared" si="251"/>
        <v>0</v>
      </c>
      <c r="T984" s="10"/>
      <c r="U984" s="10"/>
      <c r="V984" s="10"/>
      <c r="W984" s="12">
        <f t="shared" si="252"/>
        <v>0</v>
      </c>
      <c r="Y984" s="10">
        <v>38</v>
      </c>
      <c r="Z984" s="30"/>
      <c r="AA984" s="31"/>
      <c r="AB984" s="47"/>
      <c r="AC984" s="31"/>
      <c r="AD984" s="31"/>
      <c r="AE984" s="32">
        <f t="shared" si="253"/>
        <v>0</v>
      </c>
      <c r="AF984" s="10"/>
      <c r="AG984" s="10"/>
      <c r="AH984" s="10"/>
      <c r="AI984" s="12">
        <f t="shared" si="254"/>
        <v>0</v>
      </c>
      <c r="AK984" s="62"/>
      <c r="AL984" s="66"/>
      <c r="AM984" s="84"/>
      <c r="AN984" s="69"/>
      <c r="AO984" s="84"/>
      <c r="AP984" s="84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10"/>
      <c r="B985" s="30"/>
      <c r="C985" s="31"/>
      <c r="D985" s="32"/>
      <c r="E985" s="32"/>
      <c r="F985" s="32"/>
      <c r="G985" s="32"/>
      <c r="H985" s="10"/>
      <c r="I985" s="10"/>
      <c r="J985" s="10"/>
      <c r="K985" s="12"/>
      <c r="M985" s="10">
        <v>39</v>
      </c>
      <c r="N985" s="30"/>
      <c r="O985" s="31"/>
      <c r="P985" s="47"/>
      <c r="Q985" s="31"/>
      <c r="R985" s="31"/>
      <c r="S985" s="32">
        <f t="shared" si="251"/>
        <v>0</v>
      </c>
      <c r="T985" s="10"/>
      <c r="U985" s="10"/>
      <c r="V985" s="10"/>
      <c r="W985" s="12">
        <f t="shared" si="252"/>
        <v>0</v>
      </c>
      <c r="Y985" s="10">
        <v>39</v>
      </c>
      <c r="Z985" s="30"/>
      <c r="AA985" s="31"/>
      <c r="AB985" s="47"/>
      <c r="AC985" s="31"/>
      <c r="AD985" s="31"/>
      <c r="AE985" s="32">
        <f t="shared" si="253"/>
        <v>0</v>
      </c>
      <c r="AF985" s="10"/>
      <c r="AG985" s="10"/>
      <c r="AH985" s="10"/>
      <c r="AI985" s="12">
        <f t="shared" si="254"/>
        <v>0</v>
      </c>
      <c r="AK985" s="62"/>
      <c r="AL985" s="66"/>
      <c r="AM985" s="84"/>
      <c r="AN985" s="69"/>
      <c r="AO985" s="84"/>
      <c r="AP985" s="84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10"/>
      <c r="B986" s="30"/>
      <c r="C986" s="31"/>
      <c r="D986" s="32"/>
      <c r="E986" s="32"/>
      <c r="F986" s="32"/>
      <c r="G986" s="32"/>
      <c r="H986" s="10"/>
      <c r="I986" s="10"/>
      <c r="J986" s="10"/>
      <c r="K986" s="12"/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252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54"/>
        <v>0</v>
      </c>
      <c r="AK986" s="62"/>
      <c r="AL986" s="66"/>
      <c r="AM986" s="62"/>
      <c r="AN986" s="69"/>
      <c r="AO986" s="84"/>
      <c r="AP986" s="84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10"/>
      <c r="B987" s="30"/>
      <c r="C987" s="31"/>
      <c r="D987" s="32"/>
      <c r="E987" s="32"/>
      <c r="F987" s="32"/>
      <c r="G987" s="32">
        <f t="shared" ref="G987" si="258">SUM(D987:E987)</f>
        <v>0</v>
      </c>
      <c r="H987" s="10"/>
      <c r="I987" s="10"/>
      <c r="J987" s="10"/>
      <c r="K987" s="12">
        <f t="shared" ref="K987" si="259">SUM(G987:J987)</f>
        <v>0</v>
      </c>
      <c r="M987" s="10"/>
      <c r="N987" s="30"/>
      <c r="O987" s="31"/>
      <c r="P987" s="47"/>
      <c r="Q987" s="31"/>
      <c r="R987" s="31"/>
      <c r="S987" s="32">
        <f t="shared" ref="S987" si="260">SUM(P987:Q987)</f>
        <v>0</v>
      </c>
      <c r="T987" s="10"/>
      <c r="U987" s="10"/>
      <c r="V987" s="10"/>
      <c r="W987" s="12">
        <f t="shared" si="252"/>
        <v>0</v>
      </c>
      <c r="Y987" s="10"/>
      <c r="Z987" s="30"/>
      <c r="AA987" s="31"/>
      <c r="AB987" s="47"/>
      <c r="AC987" s="31"/>
      <c r="AD987" s="31"/>
      <c r="AE987" s="32">
        <f t="shared" ref="AE987" si="261">SUM(AB987:AC987)</f>
        <v>0</v>
      </c>
      <c r="AF987" s="10"/>
      <c r="AG987" s="10"/>
      <c r="AH987" s="10"/>
      <c r="AI987" s="12">
        <f t="shared" si="254"/>
        <v>0</v>
      </c>
      <c r="AK987" s="62"/>
      <c r="AL987" s="66"/>
      <c r="AM987" s="84"/>
      <c r="AN987" s="69"/>
      <c r="AO987" s="84"/>
      <c r="AP987" s="84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10"/>
      <c r="B988" s="30"/>
      <c r="C988" s="30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252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54"/>
        <v>0</v>
      </c>
      <c r="AK988" s="62"/>
      <c r="AL988" s="84"/>
      <c r="AM988" s="84"/>
      <c r="AN988" s="84"/>
      <c r="AO988" s="84"/>
      <c r="AP988" s="84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K989" s="62"/>
      <c r="AL989" s="84"/>
      <c r="AM989" s="84"/>
      <c r="AN989" s="84"/>
      <c r="AO989" s="84"/>
      <c r="AP989" s="84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193047.5</v>
      </c>
      <c r="E990" s="38">
        <f t="shared" ref="E990:F990" si="262">SUM(E947:E987)</f>
        <v>0</v>
      </c>
      <c r="F990" s="38">
        <f t="shared" si="262"/>
        <v>0</v>
      </c>
      <c r="G990" s="38">
        <f>SUM(G947:G989)</f>
        <v>193047.5</v>
      </c>
      <c r="H990" s="4"/>
      <c r="I990" s="39">
        <f>SUM(I947:I989)</f>
        <v>85.5</v>
      </c>
      <c r="J990" s="39">
        <f>SUM(J947:J989)</f>
        <v>0</v>
      </c>
      <c r="K990" s="40">
        <f>SUM(K947:K989)</f>
        <v>193133</v>
      </c>
      <c r="N990" s="57"/>
      <c r="O990" s="57"/>
      <c r="P990" s="38">
        <f>SUM(P947:P989)</f>
        <v>349508</v>
      </c>
      <c r="Q990" s="38">
        <f>SUM(Q947:Q971)</f>
        <v>-3852</v>
      </c>
      <c r="R990" s="38">
        <f>SUM(R947:R971)</f>
        <v>0</v>
      </c>
      <c r="S990" s="38">
        <f>SUM(S947:S989)</f>
        <v>345656</v>
      </c>
      <c r="T990" s="4"/>
      <c r="U990" s="41">
        <f>SUM(U947:U989)</f>
        <v>786</v>
      </c>
      <c r="V990" s="41">
        <f>SUM(V947:V971)</f>
        <v>-10305</v>
      </c>
      <c r="W990" s="42">
        <f>SUM(W947:W989)</f>
        <v>336137</v>
      </c>
      <c r="Z990" s="57"/>
      <c r="AA990" s="57"/>
      <c r="AB990" s="38">
        <f>SUM(AB947:AB989)</f>
        <v>126744</v>
      </c>
      <c r="AC990" s="38">
        <f>SUM(AC947:AC971)</f>
        <v>-336</v>
      </c>
      <c r="AD990" s="38">
        <f>SUM(AD947:AD971)</f>
        <v>0</v>
      </c>
      <c r="AE990" s="38">
        <f>SUM(AE947:AE989)</f>
        <v>126408</v>
      </c>
      <c r="AF990" s="4"/>
      <c r="AG990" s="41">
        <f>SUM(AG947:AG989)</f>
        <v>13521</v>
      </c>
      <c r="AH990" s="41">
        <f>SUM(AH947:AH971)</f>
        <v>0</v>
      </c>
      <c r="AI990" s="42">
        <f>SUM(AI947:AI989)</f>
        <v>139929</v>
      </c>
      <c r="AK990" s="62"/>
      <c r="AL990" s="84"/>
      <c r="AM990" s="84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s="62"/>
      <c r="N992" s="84"/>
      <c r="O992" s="84"/>
      <c r="P992" s="84"/>
      <c r="Q992" s="84"/>
      <c r="R992" s="84"/>
      <c r="S992" s="84"/>
      <c r="T992" s="62"/>
      <c r="U992" s="62"/>
      <c r="V992" s="62"/>
      <c r="W992" s="62"/>
      <c r="X992" s="62"/>
      <c r="Y992" s="62"/>
      <c r="Z992" s="84"/>
      <c r="AA992" s="84"/>
      <c r="AB992" s="84"/>
      <c r="AC992" s="84"/>
      <c r="AD992" s="84"/>
      <c r="AE992" s="84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s="62"/>
      <c r="N993" s="84"/>
      <c r="O993" s="84"/>
      <c r="P993" s="84"/>
      <c r="Q993" s="84"/>
      <c r="R993" s="84"/>
      <c r="S993" s="84"/>
      <c r="T993" s="62"/>
      <c r="U993" s="62"/>
      <c r="V993" s="62"/>
      <c r="W993" s="62"/>
      <c r="X993" s="62"/>
      <c r="Y993" s="62"/>
      <c r="Z993" s="84"/>
      <c r="AA993" s="84"/>
      <c r="AB993" s="84"/>
      <c r="AC993" s="84"/>
      <c r="AD993" s="84"/>
      <c r="AE993" s="84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M994" s="62"/>
      <c r="N994" s="84"/>
      <c r="O994" s="84"/>
      <c r="P994" s="84"/>
      <c r="Q994" s="84"/>
      <c r="R994" s="84"/>
      <c r="S994" s="84"/>
      <c r="T994" s="62"/>
      <c r="U994" s="62"/>
      <c r="V994" s="62"/>
      <c r="W994" s="62"/>
      <c r="X994" s="62"/>
      <c r="Y994" s="62"/>
      <c r="Z994" s="84"/>
      <c r="AA994" s="84"/>
      <c r="AB994" s="84"/>
      <c r="AC994" s="84"/>
      <c r="AD994" s="84"/>
      <c r="AE994" s="84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63"/>
      <c r="N995" s="84"/>
      <c r="O995" s="84"/>
      <c r="P995" s="84"/>
      <c r="Q995" s="84"/>
      <c r="R995" s="84"/>
      <c r="S995" s="84"/>
      <c r="T995" s="62"/>
      <c r="U995" s="62"/>
      <c r="V995" s="62"/>
      <c r="W995" s="62"/>
      <c r="X995" s="62"/>
      <c r="Y995" s="63"/>
      <c r="Z995" s="84"/>
      <c r="AA995" s="84"/>
      <c r="AB995" s="84"/>
      <c r="AC995" s="84"/>
      <c r="AD995" s="84"/>
      <c r="AE995" s="84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M996" s="62"/>
      <c r="N996" s="84"/>
      <c r="O996" s="84"/>
      <c r="P996" s="84"/>
      <c r="Q996" s="84"/>
      <c r="R996" s="84"/>
      <c r="S996" s="84"/>
      <c r="T996" s="62"/>
      <c r="U996" s="62"/>
      <c r="V996" s="62"/>
      <c r="W996" s="62"/>
      <c r="X996" s="62"/>
      <c r="Y996" s="62"/>
      <c r="Z996" s="84"/>
      <c r="AA996" s="84"/>
      <c r="AB996" s="84"/>
      <c r="AC996" s="84"/>
      <c r="AD996" s="84"/>
      <c r="AE996" s="84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59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s="62"/>
      <c r="N997" s="84"/>
      <c r="O997" s="84"/>
      <c r="P997" s="84"/>
      <c r="Q997" s="84"/>
      <c r="R997" s="84"/>
      <c r="S997" s="84"/>
      <c r="T997" s="62"/>
      <c r="U997" s="84"/>
      <c r="V997" s="74"/>
      <c r="W997" s="62"/>
      <c r="X997" s="62"/>
      <c r="Y997" s="62"/>
      <c r="Z997" s="84"/>
      <c r="AA997" s="84"/>
      <c r="AB997" s="84"/>
      <c r="AC997" s="84"/>
      <c r="AD997" s="84"/>
      <c r="AE997" s="84"/>
      <c r="AF997" s="62"/>
      <c r="AG997" s="84"/>
      <c r="AH997" s="84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88</v>
      </c>
      <c r="B998" s="20"/>
      <c r="C998" s="57"/>
      <c r="D998" s="57"/>
      <c r="E998" s="57"/>
      <c r="G998" s="57"/>
      <c r="I998" s="22" t="s">
        <v>17</v>
      </c>
      <c r="J998" s="23" t="s">
        <v>91</v>
      </c>
      <c r="K998" s="24"/>
      <c r="M998" s="64"/>
      <c r="N998" s="84"/>
      <c r="O998" s="84"/>
      <c r="P998" s="84"/>
      <c r="Q998" s="84"/>
      <c r="R998" s="84"/>
      <c r="S998" s="84"/>
      <c r="T998" s="62"/>
      <c r="U998" s="65"/>
      <c r="V998" s="65"/>
      <c r="W998" s="62"/>
      <c r="X998" s="62"/>
      <c r="Y998" s="64"/>
      <c r="Z998" s="84"/>
      <c r="AA998" s="84"/>
      <c r="AB998" s="84"/>
      <c r="AC998" s="84"/>
      <c r="AD998" s="84"/>
      <c r="AE998" s="84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M999" s="62"/>
      <c r="N999" s="84"/>
      <c r="O999" s="84"/>
      <c r="P999" s="84"/>
      <c r="Q999" s="84"/>
      <c r="R999" s="84"/>
      <c r="S999" s="84"/>
      <c r="T999" s="62"/>
      <c r="U999" s="62"/>
      <c r="V999" s="62"/>
      <c r="W999" s="62"/>
      <c r="X999" s="62"/>
      <c r="Y999" s="62"/>
      <c r="Z999" s="84"/>
      <c r="AA999" s="84"/>
      <c r="AB999" s="84"/>
      <c r="AC999" s="84"/>
      <c r="AD999" s="84"/>
      <c r="AE999" s="84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16" t="s">
        <v>18</v>
      </c>
      <c r="E1000" s="116"/>
      <c r="F1000" s="106"/>
      <c r="G1000" s="27"/>
      <c r="I1000" s="114" t="s">
        <v>19</v>
      </c>
      <c r="J1000" s="115"/>
      <c r="K1000" s="112" t="s">
        <v>20</v>
      </c>
      <c r="M1000" s="62"/>
      <c r="N1000" s="65"/>
      <c r="O1000" s="84"/>
      <c r="P1000" s="118"/>
      <c r="Q1000" s="118"/>
      <c r="R1000" s="84"/>
      <c r="S1000" s="84"/>
      <c r="T1000" s="62"/>
      <c r="U1000" s="118"/>
      <c r="V1000" s="118"/>
      <c r="W1000" s="117"/>
      <c r="X1000" s="62"/>
      <c r="Y1000" s="62"/>
      <c r="Z1000" s="65"/>
      <c r="AA1000" s="84"/>
      <c r="AB1000" s="118"/>
      <c r="AC1000" s="118"/>
      <c r="AD1000" s="84"/>
      <c r="AE1000" s="84"/>
      <c r="AF1000" s="62"/>
      <c r="AG1000" s="118"/>
      <c r="AH1000" s="118"/>
      <c r="AI1000" s="117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79" t="s">
        <v>23</v>
      </c>
      <c r="E1001" s="78" t="s">
        <v>24</v>
      </c>
      <c r="F1001" s="80" t="s">
        <v>36</v>
      </c>
      <c r="G1001" s="80" t="s">
        <v>25</v>
      </c>
      <c r="I1001" s="29" t="s">
        <v>26</v>
      </c>
      <c r="J1001" s="29" t="s">
        <v>27</v>
      </c>
      <c r="K1001" s="113"/>
      <c r="M1001" s="62"/>
      <c r="N1001" s="84"/>
      <c r="O1001" s="84"/>
      <c r="P1001" s="81"/>
      <c r="Q1001" s="83"/>
      <c r="R1001" s="83"/>
      <c r="S1001" s="83"/>
      <c r="T1001" s="62"/>
      <c r="U1001" s="85"/>
      <c r="V1001" s="85"/>
      <c r="W1001" s="117"/>
      <c r="X1001" s="62"/>
      <c r="Y1001" s="62"/>
      <c r="Z1001" s="84"/>
      <c r="AA1001" s="84"/>
      <c r="AB1001" s="81"/>
      <c r="AC1001" s="83"/>
      <c r="AD1001" s="83"/>
      <c r="AE1001" s="83"/>
      <c r="AF1001" s="62"/>
      <c r="AG1001" s="85"/>
      <c r="AH1001" s="85"/>
      <c r="AI1001" s="117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 t="s">
        <v>89</v>
      </c>
      <c r="C1002" s="31">
        <v>6164</v>
      </c>
      <c r="D1002" s="32">
        <f>338040+229*22</f>
        <v>343078</v>
      </c>
      <c r="E1002" s="32">
        <v>-5058</v>
      </c>
      <c r="F1002" s="32"/>
      <c r="G1002" s="32">
        <f t="shared" ref="G1002:G1035" si="263">SUM(D1002:E1002)</f>
        <v>338020</v>
      </c>
      <c r="H1002" s="12"/>
      <c r="I1002" s="12">
        <f>1092</f>
        <v>1092</v>
      </c>
      <c r="J1002" s="12">
        <f>-7104+-666+-1680+-882</f>
        <v>-10332</v>
      </c>
      <c r="K1002" s="12">
        <f t="shared" ref="K1002:K1035" si="264">SUM(G1002:J1002)</f>
        <v>328780</v>
      </c>
      <c r="M1002" s="62"/>
      <c r="N1002" s="66"/>
      <c r="O1002" s="84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4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 t="s">
        <v>89</v>
      </c>
      <c r="C1003" s="31">
        <f>C1002+1</f>
        <v>6165</v>
      </c>
      <c r="D1003" s="32">
        <f>27390+852+832</f>
        <v>29074</v>
      </c>
      <c r="E1003" s="32"/>
      <c r="F1003" s="32"/>
      <c r="G1003" s="32">
        <f t="shared" si="263"/>
        <v>29074</v>
      </c>
      <c r="H1003" s="12"/>
      <c r="I1003" s="12"/>
      <c r="J1003" s="12"/>
      <c r="K1003" s="12">
        <f t="shared" si="264"/>
        <v>29074</v>
      </c>
      <c r="M1003" s="62"/>
      <c r="N1003" s="66"/>
      <c r="O1003" s="84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4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/>
      <c r="C1004" s="11" t="s">
        <v>28</v>
      </c>
      <c r="D1004" s="33"/>
      <c r="E1004" s="33"/>
      <c r="F1004" s="33"/>
      <c r="G1004" s="33">
        <f t="shared" si="263"/>
        <v>0</v>
      </c>
      <c r="H1004" s="34"/>
      <c r="I1004" s="34"/>
      <c r="J1004" s="34"/>
      <c r="K1004" s="34">
        <f t="shared" si="264"/>
        <v>0</v>
      </c>
      <c r="M1004" s="62"/>
      <c r="N1004" s="66"/>
      <c r="O1004" s="84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4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/>
      <c r="C1005" s="31"/>
      <c r="D1005" s="32"/>
      <c r="E1005" s="32"/>
      <c r="F1005" s="32"/>
      <c r="G1005" s="32">
        <f t="shared" si="263"/>
        <v>0</v>
      </c>
      <c r="H1005" s="12"/>
      <c r="I1005" s="12"/>
      <c r="J1005" s="12"/>
      <c r="K1005" s="12">
        <f t="shared" si="264"/>
        <v>0</v>
      </c>
      <c r="M1005" s="62"/>
      <c r="N1005" s="66"/>
      <c r="O1005" s="84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4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/>
      <c r="C1006" s="31"/>
      <c r="D1006" s="32"/>
      <c r="E1006" s="32"/>
      <c r="F1006" s="32"/>
      <c r="G1006" s="32">
        <f t="shared" si="263"/>
        <v>0</v>
      </c>
      <c r="H1006" s="12"/>
      <c r="I1006" s="12"/>
      <c r="J1006" s="12"/>
      <c r="K1006" s="12">
        <f t="shared" si="264"/>
        <v>0</v>
      </c>
      <c r="M1006" s="62"/>
      <c r="N1006" s="66"/>
      <c r="O1006" s="84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4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/>
      <c r="C1007" s="31"/>
      <c r="D1007" s="32"/>
      <c r="E1007" s="32"/>
      <c r="F1007" s="32"/>
      <c r="G1007" s="32">
        <f t="shared" si="263"/>
        <v>0</v>
      </c>
      <c r="H1007" s="12"/>
      <c r="I1007" s="12"/>
      <c r="J1007" s="12"/>
      <c r="K1007" s="12">
        <f t="shared" si="264"/>
        <v>0</v>
      </c>
      <c r="M1007" s="62"/>
      <c r="N1007" s="66"/>
      <c r="O1007" s="84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4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/>
      <c r="C1008" s="31"/>
      <c r="D1008" s="32"/>
      <c r="E1008" s="32"/>
      <c r="F1008" s="32"/>
      <c r="G1008" s="32">
        <f t="shared" si="263"/>
        <v>0</v>
      </c>
      <c r="H1008" s="12"/>
      <c r="I1008" s="12"/>
      <c r="J1008" s="12"/>
      <c r="K1008" s="12">
        <f t="shared" si="264"/>
        <v>0</v>
      </c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4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/>
      <c r="C1009" s="31"/>
      <c r="D1009" s="32"/>
      <c r="E1009" s="32"/>
      <c r="F1009" s="32"/>
      <c r="G1009" s="32">
        <f t="shared" si="263"/>
        <v>0</v>
      </c>
      <c r="H1009" s="12"/>
      <c r="I1009" s="12"/>
      <c r="J1009" s="12"/>
      <c r="K1009" s="12">
        <f t="shared" si="264"/>
        <v>0</v>
      </c>
      <c r="M1009" s="62"/>
      <c r="N1009" s="66"/>
      <c r="O1009" s="84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4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/>
      <c r="C1010" s="31"/>
      <c r="D1010" s="32"/>
      <c r="E1010" s="32"/>
      <c r="F1010" s="32"/>
      <c r="G1010" s="32">
        <f t="shared" si="263"/>
        <v>0</v>
      </c>
      <c r="H1010" s="12"/>
      <c r="I1010" s="12"/>
      <c r="J1010" s="12"/>
      <c r="K1010" s="12">
        <f t="shared" si="264"/>
        <v>0</v>
      </c>
      <c r="M1010" s="62"/>
      <c r="N1010" s="66"/>
      <c r="O1010" s="84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/>
      <c r="C1011" s="31"/>
      <c r="D1011" s="32"/>
      <c r="E1011" s="32"/>
      <c r="F1011" s="32"/>
      <c r="G1011" s="32">
        <f t="shared" si="263"/>
        <v>0</v>
      </c>
      <c r="H1011" s="12"/>
      <c r="I1011" s="12"/>
      <c r="J1011" s="12"/>
      <c r="K1011" s="12">
        <f t="shared" si="264"/>
        <v>0</v>
      </c>
      <c r="M1011" s="62"/>
      <c r="N1011" s="66"/>
      <c r="O1011" s="84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4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/>
      <c r="C1012" s="31"/>
      <c r="D1012" s="32"/>
      <c r="E1012" s="32"/>
      <c r="F1012" s="32"/>
      <c r="G1012" s="32">
        <f t="shared" si="263"/>
        <v>0</v>
      </c>
      <c r="H1012" s="12"/>
      <c r="I1012" s="12"/>
      <c r="J1012" s="12"/>
      <c r="K1012" s="12">
        <f t="shared" si="264"/>
        <v>0</v>
      </c>
      <c r="M1012" s="62"/>
      <c r="N1012" s="66"/>
      <c r="O1012" s="84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4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/>
      <c r="C1013" s="31"/>
      <c r="D1013" s="32"/>
      <c r="E1013" s="32"/>
      <c r="F1013" s="32"/>
      <c r="G1013" s="32">
        <f t="shared" si="263"/>
        <v>0</v>
      </c>
      <c r="H1013" s="12"/>
      <c r="I1013" s="12"/>
      <c r="J1013" s="10"/>
      <c r="K1013" s="12">
        <f t="shared" si="264"/>
        <v>0</v>
      </c>
      <c r="M1013" s="62"/>
      <c r="N1013" s="66"/>
      <c r="O1013" s="84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4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/>
      <c r="C1014" s="31"/>
      <c r="D1014" s="32"/>
      <c r="E1014" s="32"/>
      <c r="F1014" s="32"/>
      <c r="G1014" s="32">
        <f t="shared" si="263"/>
        <v>0</v>
      </c>
      <c r="H1014" s="12"/>
      <c r="I1014" s="12"/>
      <c r="J1014" s="12"/>
      <c r="K1014" s="12">
        <f t="shared" si="264"/>
        <v>0</v>
      </c>
      <c r="M1014" s="62"/>
      <c r="N1014" s="66"/>
      <c r="O1014" s="84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4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/>
      <c r="C1015" s="31"/>
      <c r="D1015" s="32"/>
      <c r="E1015" s="32"/>
      <c r="F1015" s="32"/>
      <c r="G1015" s="32">
        <f t="shared" si="263"/>
        <v>0</v>
      </c>
      <c r="H1015" s="12"/>
      <c r="I1015" s="12"/>
      <c r="J1015" s="12"/>
      <c r="K1015" s="12">
        <f t="shared" si="264"/>
        <v>0</v>
      </c>
      <c r="M1015" s="62"/>
      <c r="N1015" s="66"/>
      <c r="O1015" s="84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4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/>
      <c r="C1016" s="31"/>
      <c r="D1016" s="32"/>
      <c r="E1016" s="32"/>
      <c r="F1016" s="32"/>
      <c r="G1016" s="32">
        <f t="shared" si="263"/>
        <v>0</v>
      </c>
      <c r="H1016" s="12"/>
      <c r="I1016" s="12"/>
      <c r="J1016" s="12"/>
      <c r="K1016" s="12">
        <f t="shared" si="264"/>
        <v>0</v>
      </c>
      <c r="M1016" s="62"/>
      <c r="N1016" s="66"/>
      <c r="O1016" s="84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4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/>
      <c r="C1017" s="31"/>
      <c r="D1017" s="32"/>
      <c r="E1017" s="32"/>
      <c r="F1017" s="32"/>
      <c r="G1017" s="32">
        <f t="shared" si="263"/>
        <v>0</v>
      </c>
      <c r="H1017" s="12"/>
      <c r="I1017" s="12"/>
      <c r="J1017" s="12"/>
      <c r="K1017" s="12">
        <f t="shared" si="264"/>
        <v>0</v>
      </c>
      <c r="M1017" s="62"/>
      <c r="N1017" s="66"/>
      <c r="O1017" s="84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4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/>
      <c r="C1018" s="31"/>
      <c r="D1018" s="32"/>
      <c r="E1018" s="32"/>
      <c r="F1018" s="32"/>
      <c r="G1018" s="32">
        <f t="shared" si="263"/>
        <v>0</v>
      </c>
      <c r="H1018" s="12"/>
      <c r="I1018" s="12"/>
      <c r="J1018" s="12"/>
      <c r="K1018" s="12">
        <f t="shared" si="264"/>
        <v>0</v>
      </c>
      <c r="M1018" s="62"/>
      <c r="N1018" s="66"/>
      <c r="O1018" s="84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4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/>
      <c r="C1019" s="31"/>
      <c r="D1019" s="32"/>
      <c r="E1019" s="32"/>
      <c r="F1019" s="32"/>
      <c r="G1019" s="32">
        <f t="shared" si="263"/>
        <v>0</v>
      </c>
      <c r="H1019" s="12"/>
      <c r="I1019" s="12"/>
      <c r="J1019" s="12"/>
      <c r="K1019" s="12">
        <f t="shared" si="264"/>
        <v>0</v>
      </c>
      <c r="M1019" s="62"/>
      <c r="N1019" s="66"/>
      <c r="O1019" s="84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4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/>
      <c r="C1020" s="31"/>
      <c r="D1020" s="32"/>
      <c r="E1020" s="32"/>
      <c r="F1020" s="32"/>
      <c r="G1020" s="32">
        <f t="shared" si="263"/>
        <v>0</v>
      </c>
      <c r="H1020" s="12"/>
      <c r="I1020" s="12"/>
      <c r="J1020" s="12"/>
      <c r="K1020" s="12">
        <f t="shared" si="264"/>
        <v>0</v>
      </c>
      <c r="M1020" s="62"/>
      <c r="N1020" s="66"/>
      <c r="O1020" s="84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4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/>
      <c r="C1021" s="31"/>
      <c r="D1021" s="32"/>
      <c r="E1021" s="32"/>
      <c r="F1021" s="32"/>
      <c r="G1021" s="32">
        <f t="shared" si="263"/>
        <v>0</v>
      </c>
      <c r="H1021" s="12"/>
      <c r="I1021" s="12"/>
      <c r="J1021" s="12"/>
      <c r="K1021" s="12">
        <f t="shared" si="264"/>
        <v>0</v>
      </c>
      <c r="M1021" s="62"/>
      <c r="N1021" s="66"/>
      <c r="O1021" s="84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4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/>
      <c r="C1022" s="31"/>
      <c r="D1022" s="32"/>
      <c r="E1022" s="32"/>
      <c r="F1022" s="32"/>
      <c r="G1022" s="32">
        <f t="shared" si="263"/>
        <v>0</v>
      </c>
      <c r="H1022" s="10"/>
      <c r="I1022" s="10"/>
      <c r="J1022" s="10"/>
      <c r="K1022" s="12">
        <f t="shared" si="264"/>
        <v>0</v>
      </c>
      <c r="M1022" s="62"/>
      <c r="N1022" s="66"/>
      <c r="O1022" s="62"/>
      <c r="P1022" s="67"/>
      <c r="Q1022" s="84"/>
      <c r="R1022" s="84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4"/>
      <c r="AD1022" s="84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/>
      <c r="C1023" s="31"/>
      <c r="D1023" s="32"/>
      <c r="E1023" s="32"/>
      <c r="F1023" s="32"/>
      <c r="G1023" s="32">
        <f t="shared" si="263"/>
        <v>0</v>
      </c>
      <c r="H1023" s="10"/>
      <c r="I1023" s="10"/>
      <c r="J1023" s="10"/>
      <c r="K1023" s="12">
        <f t="shared" si="264"/>
        <v>0</v>
      </c>
      <c r="M1023" s="62"/>
      <c r="N1023" s="66"/>
      <c r="O1023" s="84"/>
      <c r="P1023" s="68"/>
      <c r="Q1023" s="84"/>
      <c r="R1023" s="84"/>
      <c r="S1023" s="60"/>
      <c r="T1023" s="62"/>
      <c r="U1023" s="62"/>
      <c r="V1023" s="62"/>
      <c r="W1023" s="61"/>
      <c r="X1023" s="62"/>
      <c r="Y1023" s="62"/>
      <c r="Z1023" s="66"/>
      <c r="AA1023" s="84"/>
      <c r="AB1023" s="68"/>
      <c r="AC1023" s="84"/>
      <c r="AD1023" s="84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/>
      <c r="C1024" s="31"/>
      <c r="D1024" s="32"/>
      <c r="E1024" s="32"/>
      <c r="F1024" s="32"/>
      <c r="G1024" s="32">
        <f t="shared" si="263"/>
        <v>0</v>
      </c>
      <c r="H1024" s="10"/>
      <c r="I1024" s="10"/>
      <c r="J1024" s="12"/>
      <c r="K1024" s="12">
        <f t="shared" si="264"/>
        <v>0</v>
      </c>
      <c r="M1024" s="62"/>
      <c r="N1024" s="66"/>
      <c r="O1024" s="62"/>
      <c r="P1024" s="69"/>
      <c r="Q1024" s="84"/>
      <c r="R1024" s="84"/>
      <c r="S1024" s="60"/>
      <c r="T1024" s="62"/>
      <c r="U1024" s="62"/>
      <c r="V1024" s="62"/>
      <c r="W1024" s="61"/>
      <c r="X1024" s="62"/>
      <c r="Y1024" s="62"/>
      <c r="Z1024" s="66"/>
      <c r="AA1024" s="84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/>
      <c r="C1025" s="31"/>
      <c r="D1025" s="32"/>
      <c r="E1025" s="32"/>
      <c r="F1025" s="32"/>
      <c r="G1025" s="32">
        <f t="shared" si="263"/>
        <v>0</v>
      </c>
      <c r="H1025" s="10"/>
      <c r="I1025" s="10"/>
      <c r="J1025" s="10"/>
      <c r="K1025" s="12">
        <f t="shared" si="264"/>
        <v>0</v>
      </c>
      <c r="M1025" s="62"/>
      <c r="N1025" s="66"/>
      <c r="O1025" s="62"/>
      <c r="P1025" s="69"/>
      <c r="Q1025" s="84"/>
      <c r="R1025" s="84"/>
      <c r="S1025" s="60"/>
      <c r="T1025" s="62"/>
      <c r="U1025" s="62"/>
      <c r="V1025" s="62"/>
      <c r="W1025" s="61"/>
      <c r="X1025" s="62"/>
      <c r="Y1025" s="62"/>
      <c r="Z1025" s="66"/>
      <c r="AA1025" s="84"/>
      <c r="AB1025" s="69"/>
      <c r="AC1025" s="84"/>
      <c r="AD1025" s="84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/>
      <c r="C1026" s="31"/>
      <c r="D1026" s="32"/>
      <c r="E1026" s="32"/>
      <c r="F1026" s="32"/>
      <c r="G1026" s="32">
        <f t="shared" si="263"/>
        <v>0</v>
      </c>
      <c r="H1026" s="10"/>
      <c r="I1026" s="10"/>
      <c r="J1026" s="10"/>
      <c r="K1026" s="12">
        <f t="shared" si="264"/>
        <v>0</v>
      </c>
      <c r="M1026" s="62"/>
      <c r="N1026" s="66"/>
      <c r="O1026" s="84"/>
      <c r="P1026" s="69"/>
      <c r="Q1026" s="84"/>
      <c r="R1026" s="84"/>
      <c r="S1026" s="60"/>
      <c r="T1026" s="62"/>
      <c r="U1026" s="62"/>
      <c r="V1026" s="62"/>
      <c r="W1026" s="61"/>
      <c r="X1026" s="62"/>
      <c r="Y1026" s="62"/>
      <c r="Z1026" s="66"/>
      <c r="AA1026" s="84"/>
      <c r="AB1026" s="69"/>
      <c r="AC1026" s="84"/>
      <c r="AD1026" s="84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/>
      <c r="C1027" s="31"/>
      <c r="D1027" s="32"/>
      <c r="E1027" s="32"/>
      <c r="F1027" s="32"/>
      <c r="G1027" s="32">
        <f t="shared" si="263"/>
        <v>0</v>
      </c>
      <c r="H1027" s="10"/>
      <c r="I1027" s="10"/>
      <c r="J1027" s="10"/>
      <c r="K1027" s="12">
        <f t="shared" si="264"/>
        <v>0</v>
      </c>
      <c r="M1027" s="62"/>
      <c r="N1027" s="66"/>
      <c r="O1027" s="84"/>
      <c r="P1027" s="69"/>
      <c r="Q1027" s="84"/>
      <c r="R1027" s="84"/>
      <c r="S1027" s="60"/>
      <c r="T1027" s="62"/>
      <c r="U1027" s="62"/>
      <c r="V1027" s="62"/>
      <c r="W1027" s="61"/>
      <c r="X1027" s="62"/>
      <c r="Y1027" s="62"/>
      <c r="Z1027" s="66"/>
      <c r="AA1027" s="84"/>
      <c r="AB1027" s="69"/>
      <c r="AC1027" s="84"/>
      <c r="AD1027" s="84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/>
      <c r="C1028" s="31"/>
      <c r="D1028" s="32"/>
      <c r="E1028" s="32"/>
      <c r="F1028" s="32"/>
      <c r="G1028" s="32">
        <f t="shared" si="263"/>
        <v>0</v>
      </c>
      <c r="H1028" s="10"/>
      <c r="I1028" s="10"/>
      <c r="J1028" s="10"/>
      <c r="K1028" s="12">
        <f t="shared" si="264"/>
        <v>0</v>
      </c>
      <c r="M1028" s="62"/>
      <c r="N1028" s="66"/>
      <c r="O1028" s="84"/>
      <c r="P1028" s="69"/>
      <c r="Q1028" s="84"/>
      <c r="R1028" s="84"/>
      <c r="S1028" s="60"/>
      <c r="T1028" s="62"/>
      <c r="U1028" s="62"/>
      <c r="V1028" s="62"/>
      <c r="W1028" s="61"/>
      <c r="X1028" s="62"/>
      <c r="Y1028" s="62"/>
      <c r="Z1028" s="66"/>
      <c r="AA1028" s="84"/>
      <c r="AB1028" s="69"/>
      <c r="AC1028" s="84"/>
      <c r="AD1028" s="84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/>
      <c r="D1029" s="32"/>
      <c r="E1029" s="32"/>
      <c r="F1029" s="32"/>
      <c r="G1029" s="32">
        <f t="shared" si="263"/>
        <v>0</v>
      </c>
      <c r="H1029" s="10"/>
      <c r="I1029" s="10"/>
      <c r="J1029" s="10"/>
      <c r="K1029" s="12">
        <f t="shared" si="264"/>
        <v>0</v>
      </c>
      <c r="M1029" s="62"/>
      <c r="N1029" s="66"/>
      <c r="O1029" s="84"/>
      <c r="P1029" s="69"/>
      <c r="Q1029" s="84"/>
      <c r="R1029" s="84"/>
      <c r="S1029" s="60"/>
      <c r="T1029" s="62"/>
      <c r="U1029" s="62"/>
      <c r="V1029" s="62"/>
      <c r="W1029" s="61"/>
      <c r="X1029" s="62"/>
      <c r="Y1029" s="62"/>
      <c r="Z1029" s="66"/>
      <c r="AA1029" s="84"/>
      <c r="AB1029" s="69"/>
      <c r="AC1029" s="84"/>
      <c r="AD1029" s="84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/>
      <c r="C1030" s="31"/>
      <c r="D1030" s="32"/>
      <c r="E1030" s="32"/>
      <c r="F1030" s="32"/>
      <c r="G1030" s="32">
        <f t="shared" si="263"/>
        <v>0</v>
      </c>
      <c r="H1030" s="10"/>
      <c r="I1030" s="10"/>
      <c r="J1030" s="10"/>
      <c r="K1030" s="12">
        <f t="shared" si="264"/>
        <v>0</v>
      </c>
      <c r="M1030" s="62"/>
      <c r="N1030" s="66"/>
      <c r="O1030" s="84"/>
      <c r="P1030" s="69"/>
      <c r="Q1030" s="84"/>
      <c r="R1030" s="84"/>
      <c r="S1030" s="60"/>
      <c r="T1030" s="62"/>
      <c r="U1030" s="62"/>
      <c r="V1030" s="62"/>
      <c r="W1030" s="61"/>
      <c r="X1030" s="62"/>
      <c r="Y1030" s="62"/>
      <c r="Z1030" s="66"/>
      <c r="AA1030" s="84"/>
      <c r="AB1030" s="69"/>
      <c r="AC1030" s="84"/>
      <c r="AD1030" s="84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31"/>
      <c r="D1031" s="32"/>
      <c r="E1031" s="32"/>
      <c r="F1031" s="32"/>
      <c r="G1031" s="32">
        <f t="shared" si="263"/>
        <v>0</v>
      </c>
      <c r="H1031" s="10"/>
      <c r="I1031" s="10"/>
      <c r="J1031" s="10"/>
      <c r="K1031" s="12">
        <f t="shared" si="264"/>
        <v>0</v>
      </c>
      <c r="M1031" s="62"/>
      <c r="N1031" s="66"/>
      <c r="O1031" s="84"/>
      <c r="P1031" s="69"/>
      <c r="Q1031" s="84"/>
      <c r="R1031" s="84"/>
      <c r="S1031" s="60"/>
      <c r="T1031" s="62"/>
      <c r="U1031" s="62"/>
      <c r="V1031" s="62"/>
      <c r="W1031" s="61"/>
      <c r="X1031" s="62"/>
      <c r="Y1031" s="62"/>
      <c r="Z1031" s="66"/>
      <c r="AA1031" s="84"/>
      <c r="AB1031" s="69"/>
      <c r="AC1031" s="84"/>
      <c r="AD1031" s="84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C1032" s="31"/>
      <c r="D1032" s="32"/>
      <c r="E1032" s="32"/>
      <c r="F1032" s="32"/>
      <c r="G1032" s="32">
        <f t="shared" si="263"/>
        <v>0</v>
      </c>
      <c r="H1032" s="10"/>
      <c r="I1032" s="10"/>
      <c r="J1032" s="10"/>
      <c r="K1032" s="12">
        <f t="shared" si="264"/>
        <v>0</v>
      </c>
      <c r="M1032" s="62"/>
      <c r="N1032" s="66"/>
      <c r="O1032" s="62"/>
      <c r="P1032" s="69"/>
      <c r="Q1032" s="84"/>
      <c r="R1032" s="84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4"/>
      <c r="AD1032" s="84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57"/>
      <c r="D1033" s="32"/>
      <c r="E1033" s="32"/>
      <c r="F1033" s="32"/>
      <c r="G1033" s="32">
        <f t="shared" si="263"/>
        <v>0</v>
      </c>
      <c r="H1033" s="10"/>
      <c r="I1033" s="10"/>
      <c r="J1033" s="10"/>
      <c r="K1033" s="12">
        <f t="shared" si="264"/>
        <v>0</v>
      </c>
      <c r="M1033" s="62"/>
      <c r="N1033" s="66"/>
      <c r="O1033" s="62"/>
      <c r="P1033" s="69"/>
      <c r="Q1033" s="84"/>
      <c r="R1033" s="84"/>
      <c r="S1033" s="60"/>
      <c r="T1033" s="62"/>
      <c r="U1033" s="62"/>
      <c r="V1033" s="62"/>
      <c r="W1033" s="61"/>
      <c r="X1033" s="62"/>
      <c r="Y1033" s="62"/>
      <c r="Z1033" s="66"/>
      <c r="AA1033" s="84"/>
      <c r="AB1033" s="69"/>
      <c r="AC1033" s="84"/>
      <c r="AD1033" s="84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31"/>
      <c r="D1034" s="32"/>
      <c r="E1034" s="32"/>
      <c r="F1034" s="32"/>
      <c r="G1034" s="32">
        <f t="shared" si="263"/>
        <v>0</v>
      </c>
      <c r="H1034" s="10"/>
      <c r="I1034" s="10"/>
      <c r="J1034" s="10"/>
      <c r="K1034" s="12">
        <f t="shared" si="264"/>
        <v>0</v>
      </c>
      <c r="M1034" s="62"/>
      <c r="N1034" s="66"/>
      <c r="O1034" s="84"/>
      <c r="P1034" s="69"/>
      <c r="Q1034" s="84"/>
      <c r="R1034" s="84"/>
      <c r="S1034" s="60"/>
      <c r="T1034" s="62"/>
      <c r="U1034" s="62"/>
      <c r="V1034" s="62"/>
      <c r="W1034" s="61"/>
      <c r="X1034" s="62"/>
      <c r="Y1034" s="62"/>
      <c r="Z1034" s="66"/>
      <c r="AA1034" s="84"/>
      <c r="AB1034" s="69"/>
      <c r="AC1034" s="84"/>
      <c r="AD1034" s="84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/>
      <c r="B1035" s="30"/>
      <c r="C1035" s="31"/>
      <c r="D1035" s="32"/>
      <c r="E1035" s="32"/>
      <c r="F1035" s="32"/>
      <c r="G1035" s="32">
        <f t="shared" si="263"/>
        <v>0</v>
      </c>
      <c r="H1035" s="10"/>
      <c r="I1035" s="10"/>
      <c r="J1035" s="10"/>
      <c r="K1035" s="12">
        <f t="shared" si="264"/>
        <v>0</v>
      </c>
      <c r="M1035" s="62"/>
      <c r="N1035" s="66"/>
      <c r="O1035" s="84"/>
      <c r="P1035" s="69"/>
      <c r="Q1035" s="84"/>
      <c r="R1035" s="84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4"/>
      <c r="AD1035" s="84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/>
      <c r="B1036" s="30"/>
      <c r="C1036" s="31"/>
      <c r="D1036" s="32"/>
      <c r="E1036" s="32"/>
      <c r="F1036" s="32"/>
      <c r="G1036" s="32"/>
      <c r="H1036" s="10"/>
      <c r="I1036" s="10"/>
      <c r="J1036" s="10"/>
      <c r="K1036" s="12"/>
      <c r="M1036" s="62"/>
      <c r="N1036" s="66"/>
      <c r="O1036" s="84"/>
      <c r="P1036" s="69"/>
      <c r="Q1036" s="84"/>
      <c r="R1036" s="84"/>
      <c r="S1036" s="60"/>
      <c r="T1036" s="62"/>
      <c r="U1036" s="62"/>
      <c r="V1036" s="62"/>
      <c r="W1036" s="61"/>
      <c r="X1036" s="62"/>
      <c r="Y1036" s="62"/>
      <c r="Z1036" s="66"/>
      <c r="AA1036" s="84"/>
      <c r="AB1036" s="69"/>
      <c r="AC1036" s="84"/>
      <c r="AD1036" s="84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/>
      <c r="B1037" s="30"/>
      <c r="C1037" s="31"/>
      <c r="D1037" s="32"/>
      <c r="E1037" s="32"/>
      <c r="F1037" s="32"/>
      <c r="G1037" s="32"/>
      <c r="H1037" s="10"/>
      <c r="I1037" s="10"/>
      <c r="J1037" s="10"/>
      <c r="K1037" s="12"/>
      <c r="M1037" s="62"/>
      <c r="N1037" s="66"/>
      <c r="O1037" s="84"/>
      <c r="P1037" s="69"/>
      <c r="Q1037" s="84"/>
      <c r="R1037" s="84"/>
      <c r="S1037" s="60"/>
      <c r="T1037" s="62"/>
      <c r="U1037" s="62"/>
      <c r="V1037" s="62"/>
      <c r="W1037" s="61"/>
      <c r="X1037" s="62"/>
      <c r="Y1037" s="62"/>
      <c r="Z1037" s="66"/>
      <c r="AA1037" s="84"/>
      <c r="AB1037" s="69"/>
      <c r="AC1037" s="84"/>
      <c r="AD1037" s="84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/>
      <c r="B1038" s="30"/>
      <c r="C1038" s="31"/>
      <c r="D1038" s="32"/>
      <c r="E1038" s="32"/>
      <c r="F1038" s="32"/>
      <c r="G1038" s="32"/>
      <c r="H1038" s="10"/>
      <c r="I1038" s="10"/>
      <c r="J1038" s="10"/>
      <c r="K1038" s="12"/>
      <c r="M1038" s="62"/>
      <c r="N1038" s="66"/>
      <c r="O1038" s="62"/>
      <c r="P1038" s="69"/>
      <c r="Q1038" s="84"/>
      <c r="R1038" s="84"/>
      <c r="S1038" s="60"/>
      <c r="T1038" s="62"/>
      <c r="U1038" s="62"/>
      <c r="V1038" s="62"/>
      <c r="W1038" s="61"/>
      <c r="X1038" s="62"/>
      <c r="Y1038" s="62"/>
      <c r="Z1038" s="66"/>
      <c r="AA1038" s="84"/>
      <c r="AB1038" s="69"/>
      <c r="AC1038" s="84"/>
      <c r="AD1038" s="84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/>
      <c r="B1039" s="30"/>
      <c r="C1039" s="31"/>
      <c r="D1039" s="32"/>
      <c r="E1039" s="32"/>
      <c r="F1039" s="32"/>
      <c r="G1039" s="32"/>
      <c r="H1039" s="10"/>
      <c r="I1039" s="10"/>
      <c r="J1039" s="10"/>
      <c r="K1039" s="12"/>
      <c r="M1039" s="62"/>
      <c r="N1039" s="66"/>
      <c r="O1039" s="84"/>
      <c r="P1039" s="69"/>
      <c r="Q1039" s="84"/>
      <c r="R1039" s="84"/>
      <c r="S1039" s="60"/>
      <c r="T1039" s="62"/>
      <c r="U1039" s="62"/>
      <c r="V1039" s="62"/>
      <c r="W1039" s="61"/>
      <c r="X1039" s="62"/>
      <c r="Y1039" s="62"/>
      <c r="Z1039" s="66"/>
      <c r="AA1039" s="84"/>
      <c r="AB1039" s="69"/>
      <c r="AC1039" s="84"/>
      <c r="AD1039" s="84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/>
      <c r="B1040" s="30"/>
      <c r="C1040" s="31"/>
      <c r="D1040" s="32"/>
      <c r="E1040" s="32"/>
      <c r="F1040" s="32"/>
      <c r="G1040" s="32"/>
      <c r="H1040" s="10"/>
      <c r="I1040" s="10"/>
      <c r="J1040" s="10"/>
      <c r="K1040" s="12"/>
      <c r="M1040" s="62"/>
      <c r="N1040" s="66"/>
      <c r="O1040" s="84"/>
      <c r="P1040" s="69"/>
      <c r="Q1040" s="84"/>
      <c r="R1040" s="84"/>
      <c r="S1040" s="60"/>
      <c r="T1040" s="62"/>
      <c r="U1040" s="62"/>
      <c r="V1040" s="62"/>
      <c r="W1040" s="61"/>
      <c r="X1040" s="62"/>
      <c r="Y1040" s="62"/>
      <c r="Z1040" s="66"/>
      <c r="AA1040" s="84"/>
      <c r="AB1040" s="69"/>
      <c r="AC1040" s="84"/>
      <c r="AD1040" s="84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/>
      <c r="B1041" s="30"/>
      <c r="C1041" s="31"/>
      <c r="D1041" s="32"/>
      <c r="E1041" s="32"/>
      <c r="F1041" s="32"/>
      <c r="G1041" s="32"/>
      <c r="H1041" s="10"/>
      <c r="I1041" s="10"/>
      <c r="J1041" s="10"/>
      <c r="K1041" s="12"/>
      <c r="M1041" s="62"/>
      <c r="N1041" s="66"/>
      <c r="O1041" s="62"/>
      <c r="P1041" s="69"/>
      <c r="Q1041" s="84"/>
      <c r="R1041" s="84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4"/>
      <c r="AD1041" s="84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/>
      <c r="B1042" s="30"/>
      <c r="C1042" s="31"/>
      <c r="D1042" s="32"/>
      <c r="E1042" s="32"/>
      <c r="F1042" s="32"/>
      <c r="G1042" s="32">
        <f t="shared" ref="G1042" si="265">SUM(D1042:E1042)</f>
        <v>0</v>
      </c>
      <c r="H1042" s="10"/>
      <c r="I1042" s="10"/>
      <c r="J1042" s="10"/>
      <c r="K1042" s="12">
        <f t="shared" ref="K1042" si="266">SUM(G1042:J1042)</f>
        <v>0</v>
      </c>
      <c r="M1042" s="62"/>
      <c r="N1042" s="66"/>
      <c r="O1042" s="84"/>
      <c r="P1042" s="69"/>
      <c r="Q1042" s="84"/>
      <c r="R1042" s="84"/>
      <c r="S1042" s="60"/>
      <c r="T1042" s="62"/>
      <c r="U1042" s="62"/>
      <c r="V1042" s="62"/>
      <c r="W1042" s="61"/>
      <c r="X1042" s="62"/>
      <c r="Y1042" s="62"/>
      <c r="Z1042" s="66"/>
      <c r="AA1042" s="84"/>
      <c r="AB1042" s="69"/>
      <c r="AC1042" s="84"/>
      <c r="AD1042" s="84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30"/>
      <c r="D1043" s="32"/>
      <c r="E1043" s="32"/>
      <c r="F1043" s="32"/>
      <c r="G1043" s="32"/>
      <c r="H1043" s="10"/>
      <c r="I1043" s="10"/>
      <c r="J1043" s="10"/>
      <c r="K1043" s="12"/>
      <c r="M1043" s="62"/>
      <c r="N1043" s="84"/>
      <c r="O1043" s="84"/>
      <c r="P1043" s="84"/>
      <c r="Q1043" s="84"/>
      <c r="R1043" s="84"/>
      <c r="S1043" s="84"/>
      <c r="T1043" s="62"/>
      <c r="U1043" s="62"/>
      <c r="V1043" s="62"/>
      <c r="W1043" s="61"/>
      <c r="X1043" s="62"/>
      <c r="Y1043" s="62"/>
      <c r="Z1043" s="84"/>
      <c r="AA1043" s="84"/>
      <c r="AB1043" s="84"/>
      <c r="AC1043" s="84"/>
      <c r="AD1043" s="84"/>
      <c r="AE1043" s="84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M1044" s="62"/>
      <c r="N1044" s="84"/>
      <c r="O1044" s="84"/>
      <c r="P1044" s="84"/>
      <c r="Q1044" s="84"/>
      <c r="R1044" s="84"/>
      <c r="S1044" s="84"/>
      <c r="T1044" s="62"/>
      <c r="U1044" s="62"/>
      <c r="V1044" s="62"/>
      <c r="W1044" s="62"/>
      <c r="X1044" s="62"/>
      <c r="Y1044" s="62"/>
      <c r="Z1044" s="84"/>
      <c r="AA1044" s="84"/>
      <c r="AB1044" s="84"/>
      <c r="AC1044" s="84"/>
      <c r="AD1044" s="84"/>
      <c r="AE1044" s="84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372152</v>
      </c>
      <c r="E1045" s="38">
        <f t="shared" ref="E1045:F1045" si="267">SUM(E1002:E1042)</f>
        <v>-5058</v>
      </c>
      <c r="F1045" s="38">
        <f t="shared" si="267"/>
        <v>0</v>
      </c>
      <c r="G1045" s="38">
        <f>SUM(G1002:G1044)</f>
        <v>367094</v>
      </c>
      <c r="H1045" s="4"/>
      <c r="I1045" s="39">
        <f>SUM(I1002:I1044)</f>
        <v>1092</v>
      </c>
      <c r="J1045" s="39">
        <f>SUM(J1002:J1044)</f>
        <v>-10332</v>
      </c>
      <c r="K1045" s="40">
        <f>SUM(K1002:K1044)</f>
        <v>357854</v>
      </c>
      <c r="M1045" s="62"/>
      <c r="N1045" s="84"/>
      <c r="O1045" s="84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4"/>
      <c r="AA1045" s="84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t="s">
        <v>0</v>
      </c>
      <c r="B1047" s="57"/>
      <c r="C1047" s="57"/>
      <c r="D1047" s="57"/>
      <c r="E1047" s="57"/>
      <c r="G1047" s="57"/>
      <c r="M1047" t="s">
        <v>0</v>
      </c>
      <c r="N1047" s="57"/>
      <c r="O1047" s="57"/>
      <c r="P1047" s="57"/>
      <c r="Q1047" s="57"/>
      <c r="R1047" s="57"/>
      <c r="S1047" s="57"/>
      <c r="Y1047" t="s">
        <v>0</v>
      </c>
      <c r="Z1047" s="57"/>
      <c r="AA1047" s="57"/>
      <c r="AB1047" s="57"/>
      <c r="AC1047" s="57"/>
      <c r="AD1047" s="57"/>
      <c r="AE1047" s="57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t="s">
        <v>29</v>
      </c>
      <c r="B1048" s="57"/>
      <c r="C1048" s="57"/>
      <c r="D1048" s="57"/>
      <c r="E1048" s="57"/>
      <c r="G1048" s="57"/>
      <c r="M1048" t="s">
        <v>29</v>
      </c>
      <c r="N1048" s="57"/>
      <c r="O1048" s="57"/>
      <c r="P1048" s="57"/>
      <c r="Q1048" s="57"/>
      <c r="R1048" s="57"/>
      <c r="S1048" s="57"/>
      <c r="Y1048" t="s">
        <v>29</v>
      </c>
      <c r="Z1048" s="57"/>
      <c r="AA1048" s="57"/>
      <c r="AB1048" s="57"/>
      <c r="AC1048" s="57"/>
      <c r="AD1048" s="57"/>
      <c r="AE1048" s="57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B1049" s="57"/>
      <c r="C1049" s="57"/>
      <c r="D1049" s="57"/>
      <c r="E1049" s="57"/>
      <c r="G1049" s="57"/>
      <c r="N1049" s="57"/>
      <c r="O1049" s="57"/>
      <c r="P1049" s="57"/>
      <c r="Q1049" s="57"/>
      <c r="R1049" s="57"/>
      <c r="S1049" s="57"/>
      <c r="Z1049" s="57"/>
      <c r="AA1049" s="57"/>
      <c r="AB1049" s="57"/>
      <c r="AC1049" s="57"/>
      <c r="AD1049" s="57"/>
      <c r="AE1049" s="57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4" t="s">
        <v>15</v>
      </c>
      <c r="B1050" s="57"/>
      <c r="C1050" s="57"/>
      <c r="D1050" s="57"/>
      <c r="E1050" s="57"/>
      <c r="G1050" s="57"/>
      <c r="M1050" s="4" t="s">
        <v>15</v>
      </c>
      <c r="N1050" s="57"/>
      <c r="O1050" s="57"/>
      <c r="P1050" s="57"/>
      <c r="Q1050" s="57"/>
      <c r="R1050" s="57"/>
      <c r="S1050" s="57"/>
      <c r="Y1050" s="4" t="s">
        <v>15</v>
      </c>
      <c r="Z1050" s="57"/>
      <c r="AA1050" s="57"/>
      <c r="AB1050" s="57"/>
      <c r="AC1050" s="57"/>
      <c r="AD1050" s="57"/>
      <c r="AE1050" s="57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B1051" s="57"/>
      <c r="C1051" s="57"/>
      <c r="D1051" s="57"/>
      <c r="E1051" s="57"/>
      <c r="G1051" s="57"/>
      <c r="N1051" s="57"/>
      <c r="O1051" s="57"/>
      <c r="P1051" s="57"/>
      <c r="Q1051" s="57"/>
      <c r="R1051" s="57"/>
      <c r="S1051" s="57"/>
      <c r="Z1051" s="57"/>
      <c r="AA1051" s="57"/>
      <c r="AB1051" s="57"/>
      <c r="AC1051" s="57"/>
      <c r="AD1051" s="57"/>
      <c r="AE1051" s="57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t="s">
        <v>45</v>
      </c>
      <c r="B1052" s="57"/>
      <c r="C1052" s="57"/>
      <c r="D1052" s="57"/>
      <c r="E1052" s="57"/>
      <c r="G1052" s="57"/>
      <c r="I1052" s="57" t="s">
        <v>16</v>
      </c>
      <c r="J1052" s="19">
        <v>1</v>
      </c>
      <c r="M1052" t="s">
        <v>45</v>
      </c>
      <c r="N1052" s="57"/>
      <c r="O1052" s="57"/>
      <c r="P1052" s="57"/>
      <c r="Q1052" s="57"/>
      <c r="R1052" s="57"/>
      <c r="S1052" s="57"/>
      <c r="U1052" s="57" t="s">
        <v>16</v>
      </c>
      <c r="V1052" s="19">
        <v>2</v>
      </c>
      <c r="Y1052" t="s">
        <v>45</v>
      </c>
      <c r="Z1052" s="57"/>
      <c r="AA1052" s="57"/>
      <c r="AB1052" s="57"/>
      <c r="AC1052" s="57"/>
      <c r="AD1052" s="57"/>
      <c r="AE1052" s="57"/>
      <c r="AG1052" s="57" t="s">
        <v>16</v>
      </c>
      <c r="AH1052" s="20">
        <v>3</v>
      </c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21" t="s">
        <v>93</v>
      </c>
      <c r="B1053" s="20"/>
      <c r="C1053" s="57"/>
      <c r="D1053" s="57"/>
      <c r="E1053" s="57"/>
      <c r="G1053" s="57"/>
      <c r="I1053" s="22" t="s">
        <v>17</v>
      </c>
      <c r="J1053" s="23" t="s">
        <v>91</v>
      </c>
      <c r="K1053" s="24"/>
      <c r="M1053" s="21" t="s">
        <v>93</v>
      </c>
      <c r="N1053" s="20"/>
      <c r="O1053" s="57"/>
      <c r="P1053" s="57"/>
      <c r="Q1053" s="57"/>
      <c r="R1053" s="57"/>
      <c r="S1053" s="57"/>
      <c r="U1053" s="22" t="s">
        <v>17</v>
      </c>
      <c r="V1053" s="23" t="s">
        <v>34</v>
      </c>
      <c r="W1053" s="24"/>
      <c r="Y1053" s="21" t="s">
        <v>93</v>
      </c>
      <c r="Z1053" s="20"/>
      <c r="AA1053" s="57"/>
      <c r="AB1053" s="57"/>
      <c r="AC1053" s="57"/>
      <c r="AD1053" s="57"/>
      <c r="AE1053" s="57"/>
      <c r="AG1053" s="22" t="s">
        <v>17</v>
      </c>
      <c r="AH1053" s="23" t="s">
        <v>35</v>
      </c>
      <c r="AI1053" s="24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B1054" s="57"/>
      <c r="C1054" s="57"/>
      <c r="D1054" s="57"/>
      <c r="E1054" s="57"/>
      <c r="G1054" s="57"/>
      <c r="N1054" s="57"/>
      <c r="O1054" s="57"/>
      <c r="P1054" s="57"/>
      <c r="Q1054" s="57"/>
      <c r="R1054" s="57"/>
      <c r="S1054" s="57"/>
      <c r="Z1054" s="57"/>
      <c r="AA1054" s="57"/>
      <c r="AB1054" s="57"/>
      <c r="AC1054" s="57"/>
      <c r="AD1054" s="57"/>
      <c r="AE1054" s="57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B1055" s="25"/>
      <c r="C1055" s="26"/>
      <c r="D1055" s="116" t="s">
        <v>18</v>
      </c>
      <c r="E1055" s="116"/>
      <c r="F1055" s="107"/>
      <c r="G1055" s="27"/>
      <c r="I1055" s="114" t="s">
        <v>19</v>
      </c>
      <c r="J1055" s="115"/>
      <c r="K1055" s="112" t="s">
        <v>20</v>
      </c>
      <c r="N1055" s="25"/>
      <c r="O1055" s="26"/>
      <c r="P1055" s="116" t="s">
        <v>18</v>
      </c>
      <c r="Q1055" s="116"/>
      <c r="R1055" s="107"/>
      <c r="S1055" s="27"/>
      <c r="U1055" s="114" t="s">
        <v>19</v>
      </c>
      <c r="V1055" s="115"/>
      <c r="W1055" s="112" t="s">
        <v>20</v>
      </c>
      <c r="Z1055" s="25"/>
      <c r="AA1055" s="26"/>
      <c r="AB1055" s="116" t="s">
        <v>18</v>
      </c>
      <c r="AC1055" s="116"/>
      <c r="AD1055" s="107"/>
      <c r="AE1055" s="27"/>
      <c r="AG1055" s="114" t="s">
        <v>19</v>
      </c>
      <c r="AH1055" s="115"/>
      <c r="AI1055" s="112" t="s">
        <v>20</v>
      </c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ht="30" x14ac:dyDescent="0.25">
      <c r="B1056" s="28" t="s">
        <v>21</v>
      </c>
      <c r="C1056" s="28" t="s">
        <v>22</v>
      </c>
      <c r="D1056" s="79" t="s">
        <v>23</v>
      </c>
      <c r="E1056" s="78" t="s">
        <v>24</v>
      </c>
      <c r="F1056" s="80" t="s">
        <v>36</v>
      </c>
      <c r="G1056" s="80" t="s">
        <v>25</v>
      </c>
      <c r="I1056" s="29" t="s">
        <v>26</v>
      </c>
      <c r="J1056" s="29" t="s">
        <v>27</v>
      </c>
      <c r="K1056" s="113"/>
      <c r="N1056" s="28" t="s">
        <v>21</v>
      </c>
      <c r="O1056" s="28" t="s">
        <v>22</v>
      </c>
      <c r="P1056" s="79" t="s">
        <v>23</v>
      </c>
      <c r="Q1056" s="80" t="s">
        <v>24</v>
      </c>
      <c r="R1056" s="80" t="s">
        <v>36</v>
      </c>
      <c r="S1056" s="80" t="s">
        <v>25</v>
      </c>
      <c r="U1056" s="29" t="s">
        <v>26</v>
      </c>
      <c r="V1056" s="29" t="s">
        <v>27</v>
      </c>
      <c r="W1056" s="113"/>
      <c r="Z1056" s="28" t="s">
        <v>21</v>
      </c>
      <c r="AA1056" s="28" t="s">
        <v>22</v>
      </c>
      <c r="AB1056" s="79" t="s">
        <v>23</v>
      </c>
      <c r="AC1056" s="80" t="s">
        <v>24</v>
      </c>
      <c r="AD1056" s="80" t="s">
        <v>36</v>
      </c>
      <c r="AE1056" s="80" t="s">
        <v>25</v>
      </c>
      <c r="AG1056" s="29" t="s">
        <v>26</v>
      </c>
      <c r="AH1056" s="29" t="s">
        <v>27</v>
      </c>
      <c r="AI1056" s="113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10">
        <v>1</v>
      </c>
      <c r="B1057" s="30" t="s">
        <v>94</v>
      </c>
      <c r="C1057" s="31">
        <v>6166</v>
      </c>
      <c r="D1057" s="32">
        <f>125200+913+1832+1300</f>
        <v>129245</v>
      </c>
      <c r="E1057" s="32">
        <v>-1899</v>
      </c>
      <c r="F1057" s="32"/>
      <c r="G1057" s="32">
        <f t="shared" ref="G1057:G1101" si="268">SUM(D1057:E1057)</f>
        <v>127346</v>
      </c>
      <c r="H1057" s="12"/>
      <c r="I1057" s="12"/>
      <c r="J1057" s="12">
        <f>-14650.5</f>
        <v>-14650.5</v>
      </c>
      <c r="K1057" s="12">
        <f t="shared" ref="K1057:K1101" si="269">SUM(G1057:J1057)</f>
        <v>112695.5</v>
      </c>
      <c r="M1057" s="10">
        <v>1</v>
      </c>
      <c r="N1057" s="30" t="s">
        <v>94</v>
      </c>
      <c r="O1057" s="31">
        <v>6042</v>
      </c>
      <c r="P1057" s="32">
        <f>125200+11920+2061</f>
        <v>139181</v>
      </c>
      <c r="Q1057" s="32">
        <v>-2061</v>
      </c>
      <c r="R1057" s="32"/>
      <c r="S1057" s="32">
        <f>SUM(P1057:Q1057)</f>
        <v>137120</v>
      </c>
      <c r="T1057" s="12"/>
      <c r="U1057" s="12">
        <f>444+702</f>
        <v>1146</v>
      </c>
      <c r="V1057" s="12">
        <f>-300+-168+-252</f>
        <v>-720</v>
      </c>
      <c r="W1057" s="12">
        <f>SUM(S1057:V1057)</f>
        <v>137546</v>
      </c>
      <c r="Y1057" s="10">
        <v>1</v>
      </c>
      <c r="Z1057" s="30" t="s">
        <v>94</v>
      </c>
      <c r="AA1057" s="31">
        <v>6061</v>
      </c>
      <c r="AB1057" s="32">
        <f>177784+9824+674+17880+1704+2010+3328+2290</f>
        <v>215494</v>
      </c>
      <c r="AC1057" s="32"/>
      <c r="AD1057" s="32"/>
      <c r="AE1057" s="32">
        <f>SUM(AB1057:AC1057)</f>
        <v>215494</v>
      </c>
      <c r="AF1057" s="12"/>
      <c r="AG1057" s="12">
        <f>840+32745+7800</f>
        <v>41385</v>
      </c>
      <c r="AH1057" s="12"/>
      <c r="AI1057" s="12">
        <f>SUM(AE1057:AH1057)</f>
        <v>256879</v>
      </c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10">
        <v>2</v>
      </c>
      <c r="B1058" s="30" t="s">
        <v>94</v>
      </c>
      <c r="C1058" s="31">
        <f>C1057+1</f>
        <v>6167</v>
      </c>
      <c r="D1058" s="32">
        <f>1252+19</f>
        <v>1271</v>
      </c>
      <c r="E1058" s="32"/>
      <c r="F1058" s="32"/>
      <c r="G1058" s="32">
        <f t="shared" si="268"/>
        <v>1271</v>
      </c>
      <c r="H1058" s="12"/>
      <c r="I1058" s="12"/>
      <c r="J1058" s="12"/>
      <c r="K1058" s="12">
        <f t="shared" si="269"/>
        <v>1271</v>
      </c>
      <c r="M1058" s="10">
        <v>2</v>
      </c>
      <c r="N1058" s="30" t="s">
        <v>94</v>
      </c>
      <c r="O1058" s="31">
        <f>O1057+1</f>
        <v>6043</v>
      </c>
      <c r="P1058" s="32">
        <f>270432+29800+4580</f>
        <v>304812</v>
      </c>
      <c r="Q1058" s="32">
        <v>-4518</v>
      </c>
      <c r="R1058" s="32"/>
      <c r="S1058" s="32">
        <f t="shared" ref="S1058:S1095" si="270">SUM(P1058:Q1058)</f>
        <v>300294</v>
      </c>
      <c r="T1058" s="12"/>
      <c r="U1058" s="12">
        <f>16761+1170</f>
        <v>17931</v>
      </c>
      <c r="V1058" s="12">
        <f>-2772+-714</f>
        <v>-3486</v>
      </c>
      <c r="W1058" s="12">
        <f t="shared" ref="W1058:W1098" si="271">SUM(S1058:V1058)</f>
        <v>314739</v>
      </c>
      <c r="Y1058" s="10">
        <v>2</v>
      </c>
      <c r="Z1058" s="30" t="s">
        <v>94</v>
      </c>
      <c r="AA1058" s="31">
        <f>AA1057+1</f>
        <v>6062</v>
      </c>
      <c r="AB1058" s="32">
        <f>110*626+614*14+596*50+1005*10+832*10+229*5</f>
        <v>126771</v>
      </c>
      <c r="AC1058" s="32"/>
      <c r="AD1058" s="32"/>
      <c r="AE1058" s="32">
        <f t="shared" ref="AE1058:AE1095" si="272">SUM(AB1058:AC1058)</f>
        <v>126771</v>
      </c>
      <c r="AF1058" s="12"/>
      <c r="AG1058" s="12">
        <f>1200+18204+312+1200+54</f>
        <v>20970</v>
      </c>
      <c r="AH1058" s="12"/>
      <c r="AI1058" s="12">
        <f t="shared" ref="AI1058:AI1098" si="273">SUM(AE1058:AH1058)</f>
        <v>147741</v>
      </c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10">
        <v>3</v>
      </c>
      <c r="B1059" s="30" t="s">
        <v>94</v>
      </c>
      <c r="C1059" s="31">
        <f t="shared" ref="C1059:C1076" si="274">C1058+1</f>
        <v>6168</v>
      </c>
      <c r="D1059" s="33">
        <f>1878+596+38</f>
        <v>2512</v>
      </c>
      <c r="E1059" s="33"/>
      <c r="F1059" s="33"/>
      <c r="G1059" s="33">
        <f t="shared" si="268"/>
        <v>2512</v>
      </c>
      <c r="H1059" s="34"/>
      <c r="I1059" s="34"/>
      <c r="J1059" s="34"/>
      <c r="K1059" s="34">
        <f t="shared" si="269"/>
        <v>2512</v>
      </c>
      <c r="M1059" s="10">
        <v>3</v>
      </c>
      <c r="N1059" s="30"/>
      <c r="O1059" s="11" t="s">
        <v>28</v>
      </c>
      <c r="P1059" s="32"/>
      <c r="Q1059" s="32"/>
      <c r="R1059" s="32"/>
      <c r="S1059" s="32">
        <f t="shared" si="270"/>
        <v>0</v>
      </c>
      <c r="T1059" s="12"/>
      <c r="U1059" s="12"/>
      <c r="V1059" s="12"/>
      <c r="W1059" s="12">
        <f t="shared" si="271"/>
        <v>0</v>
      </c>
      <c r="Y1059" s="10">
        <v>3</v>
      </c>
      <c r="Z1059" s="30" t="s">
        <v>94</v>
      </c>
      <c r="AA1059" s="31">
        <f t="shared" ref="AA1059:AA1066" si="275">AA1058+1</f>
        <v>6063</v>
      </c>
      <c r="AB1059" s="33">
        <f>67608</f>
        <v>67608</v>
      </c>
      <c r="AC1059" s="33">
        <v>-648</v>
      </c>
      <c r="AD1059" s="32"/>
      <c r="AE1059" s="32">
        <f t="shared" si="272"/>
        <v>66960</v>
      </c>
      <c r="AF1059" s="12"/>
      <c r="AG1059" s="12"/>
      <c r="AH1059" s="12">
        <f>-555</f>
        <v>-555</v>
      </c>
      <c r="AI1059" s="12">
        <f t="shared" si="273"/>
        <v>66405</v>
      </c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10">
        <v>4</v>
      </c>
      <c r="B1060" s="30" t="s">
        <v>94</v>
      </c>
      <c r="C1060" s="31">
        <f t="shared" si="274"/>
        <v>6169</v>
      </c>
      <c r="D1060" s="32">
        <f>4382+614+66</f>
        <v>5062</v>
      </c>
      <c r="E1060" s="32"/>
      <c r="F1060" s="32"/>
      <c r="G1060" s="32">
        <f t="shared" si="268"/>
        <v>5062</v>
      </c>
      <c r="H1060" s="12"/>
      <c r="I1060" s="12">
        <v>45</v>
      </c>
      <c r="J1060" s="12"/>
      <c r="K1060" s="12">
        <f t="shared" si="269"/>
        <v>5107</v>
      </c>
      <c r="M1060" s="10">
        <v>4</v>
      </c>
      <c r="N1060" s="30"/>
      <c r="O1060" s="31"/>
      <c r="P1060" s="32"/>
      <c r="Q1060" s="32"/>
      <c r="R1060" s="32"/>
      <c r="S1060" s="32">
        <f t="shared" si="270"/>
        <v>0</v>
      </c>
      <c r="T1060" s="12"/>
      <c r="U1060" s="12"/>
      <c r="V1060" s="12"/>
      <c r="W1060" s="12">
        <f t="shared" si="271"/>
        <v>0</v>
      </c>
      <c r="Y1060" s="10">
        <v>4</v>
      </c>
      <c r="Z1060" s="30"/>
      <c r="AA1060" s="11" t="s">
        <v>28</v>
      </c>
      <c r="AB1060" s="32"/>
      <c r="AC1060" s="32"/>
      <c r="AD1060" s="32"/>
      <c r="AE1060" s="32">
        <f t="shared" si="272"/>
        <v>0</v>
      </c>
      <c r="AF1060" s="12"/>
      <c r="AH1060" s="12"/>
      <c r="AI1060" s="12">
        <f t="shared" si="273"/>
        <v>0</v>
      </c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10">
        <v>5</v>
      </c>
      <c r="B1061" s="30" t="s">
        <v>94</v>
      </c>
      <c r="C1061" s="31">
        <f t="shared" si="274"/>
        <v>6170</v>
      </c>
      <c r="D1061" s="32">
        <f>1878+28</f>
        <v>1906</v>
      </c>
      <c r="E1061" s="32"/>
      <c r="F1061" s="32"/>
      <c r="G1061" s="32">
        <f t="shared" si="268"/>
        <v>1906</v>
      </c>
      <c r="H1061" s="12"/>
      <c r="I1061" s="12"/>
      <c r="J1061" s="12"/>
      <c r="K1061" s="12">
        <f t="shared" si="269"/>
        <v>1906</v>
      </c>
      <c r="M1061" s="10">
        <v>5</v>
      </c>
      <c r="N1061" s="30"/>
      <c r="O1061" s="31"/>
      <c r="P1061" s="32"/>
      <c r="Q1061" s="32"/>
      <c r="R1061" s="32"/>
      <c r="S1061" s="32">
        <f t="shared" si="270"/>
        <v>0</v>
      </c>
      <c r="T1061" s="12"/>
      <c r="U1061" s="12"/>
      <c r="V1061" s="12"/>
      <c r="W1061" s="12">
        <f t="shared" si="271"/>
        <v>0</v>
      </c>
      <c r="Y1061" s="10">
        <v>5</v>
      </c>
      <c r="Z1061" s="30"/>
      <c r="AA1061" s="31"/>
      <c r="AB1061" s="32"/>
      <c r="AC1061" s="32"/>
      <c r="AD1061" s="32"/>
      <c r="AE1061" s="32">
        <f t="shared" si="272"/>
        <v>0</v>
      </c>
      <c r="AF1061" s="12"/>
      <c r="AG1061" s="12"/>
      <c r="AH1061" s="12"/>
      <c r="AI1061" s="12">
        <f t="shared" si="273"/>
        <v>0</v>
      </c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10">
        <v>6</v>
      </c>
      <c r="B1062" s="30" t="s">
        <v>94</v>
      </c>
      <c r="C1062" s="31">
        <f t="shared" si="274"/>
        <v>6171</v>
      </c>
      <c r="D1062" s="32">
        <f>3756+1192+76</f>
        <v>5024</v>
      </c>
      <c r="E1062" s="32"/>
      <c r="F1062" s="32"/>
      <c r="G1062" s="32">
        <f t="shared" si="268"/>
        <v>5024</v>
      </c>
      <c r="H1062" s="12"/>
      <c r="I1062" s="12"/>
      <c r="J1062" s="12"/>
      <c r="K1062" s="12">
        <f t="shared" si="269"/>
        <v>5024</v>
      </c>
      <c r="M1062" s="10">
        <v>6</v>
      </c>
      <c r="N1062" s="30"/>
      <c r="O1062" s="31"/>
      <c r="P1062" s="32"/>
      <c r="Q1062" s="32"/>
      <c r="R1062" s="32"/>
      <c r="S1062" s="32">
        <f t="shared" si="270"/>
        <v>0</v>
      </c>
      <c r="T1062" s="12"/>
      <c r="U1062" s="12"/>
      <c r="V1062" s="10"/>
      <c r="W1062" s="12">
        <f t="shared" si="271"/>
        <v>0</v>
      </c>
      <c r="Y1062" s="10">
        <v>6</v>
      </c>
      <c r="Z1062" s="30"/>
      <c r="AA1062" s="31"/>
      <c r="AB1062" s="32"/>
      <c r="AC1062" s="32"/>
      <c r="AD1062" s="32"/>
      <c r="AE1062" s="32">
        <f t="shared" si="272"/>
        <v>0</v>
      </c>
      <c r="AF1062" s="12"/>
      <c r="AG1062" s="12"/>
      <c r="AH1062" s="10"/>
      <c r="AI1062" s="12">
        <f t="shared" si="273"/>
        <v>0</v>
      </c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10">
        <v>7</v>
      </c>
      <c r="B1063" s="30" t="s">
        <v>94</v>
      </c>
      <c r="C1063" s="31">
        <f t="shared" si="274"/>
        <v>6172</v>
      </c>
      <c r="D1063" s="32">
        <f>626+9.5</f>
        <v>635.5</v>
      </c>
      <c r="E1063" s="32"/>
      <c r="F1063" s="32"/>
      <c r="G1063" s="32">
        <f t="shared" si="268"/>
        <v>635.5</v>
      </c>
      <c r="H1063" s="12"/>
      <c r="I1063" s="12"/>
      <c r="J1063" s="12"/>
      <c r="K1063" s="12">
        <f t="shared" si="269"/>
        <v>635.5</v>
      </c>
      <c r="M1063" s="10">
        <v>7</v>
      </c>
      <c r="N1063" s="30"/>
      <c r="O1063" s="31"/>
      <c r="P1063" s="32"/>
      <c r="Q1063" s="32"/>
      <c r="R1063" s="32"/>
      <c r="S1063" s="32">
        <f t="shared" si="270"/>
        <v>0</v>
      </c>
      <c r="T1063" s="12"/>
      <c r="U1063" s="12"/>
      <c r="V1063" s="12"/>
      <c r="W1063" s="12">
        <f t="shared" si="271"/>
        <v>0</v>
      </c>
      <c r="Y1063" s="10">
        <v>7</v>
      </c>
      <c r="Z1063" s="30"/>
      <c r="AA1063" s="31"/>
      <c r="AB1063" s="32"/>
      <c r="AC1063" s="32"/>
      <c r="AD1063" s="32"/>
      <c r="AE1063" s="32">
        <f t="shared" si="272"/>
        <v>0</v>
      </c>
      <c r="AF1063" s="12"/>
      <c r="AG1063" s="58"/>
      <c r="AH1063" s="12"/>
      <c r="AI1063" s="12">
        <f t="shared" si="273"/>
        <v>0</v>
      </c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10">
        <v>8</v>
      </c>
      <c r="B1064" s="30" t="s">
        <v>94</v>
      </c>
      <c r="C1064" s="31">
        <f t="shared" si="274"/>
        <v>6173</v>
      </c>
      <c r="D1064" s="32">
        <f>4382+614+1788+95</f>
        <v>6879</v>
      </c>
      <c r="E1064" s="32"/>
      <c r="F1064" s="32"/>
      <c r="G1064" s="32">
        <f t="shared" si="268"/>
        <v>6879</v>
      </c>
      <c r="H1064" s="12"/>
      <c r="I1064" s="12"/>
      <c r="J1064" s="12"/>
      <c r="K1064" s="12">
        <f t="shared" si="269"/>
        <v>6879</v>
      </c>
      <c r="M1064" s="10">
        <v>8</v>
      </c>
      <c r="N1064" s="30"/>
      <c r="O1064" s="31"/>
      <c r="P1064" s="32"/>
      <c r="Q1064" s="32"/>
      <c r="R1064" s="32"/>
      <c r="S1064" s="32">
        <f t="shared" si="270"/>
        <v>0</v>
      </c>
      <c r="T1064" s="12"/>
      <c r="U1064" s="12"/>
      <c r="V1064" s="12"/>
      <c r="W1064" s="12">
        <f t="shared" si="271"/>
        <v>0</v>
      </c>
      <c r="Y1064" s="10">
        <v>8</v>
      </c>
      <c r="Z1064" s="30"/>
      <c r="AA1064" s="31"/>
      <c r="AB1064" s="32"/>
      <c r="AC1064" s="32"/>
      <c r="AE1064" s="32">
        <f t="shared" si="272"/>
        <v>0</v>
      </c>
      <c r="AF1064" s="12"/>
      <c r="AG1064" s="12"/>
      <c r="AH1064" s="12"/>
      <c r="AI1064" s="12">
        <f t="shared" si="273"/>
        <v>0</v>
      </c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10">
        <v>9</v>
      </c>
      <c r="B1065" s="30"/>
      <c r="C1065" s="11" t="s">
        <v>28</v>
      </c>
      <c r="D1065" s="32"/>
      <c r="E1065" s="32"/>
      <c r="F1065" s="32"/>
      <c r="G1065" s="32">
        <f t="shared" si="268"/>
        <v>0</v>
      </c>
      <c r="H1065" s="12"/>
      <c r="I1065" s="12"/>
      <c r="J1065" s="12"/>
      <c r="K1065" s="12">
        <f t="shared" si="269"/>
        <v>0</v>
      </c>
      <c r="M1065" s="10">
        <v>9</v>
      </c>
      <c r="N1065" s="30"/>
      <c r="O1065" s="31"/>
      <c r="P1065" s="32"/>
      <c r="Q1065" s="32"/>
      <c r="R1065" s="32"/>
      <c r="S1065" s="32">
        <f t="shared" si="270"/>
        <v>0</v>
      </c>
      <c r="T1065" s="12"/>
      <c r="U1065" s="12"/>
      <c r="V1065" s="12"/>
      <c r="W1065" s="12">
        <f t="shared" si="271"/>
        <v>0</v>
      </c>
      <c r="Y1065" s="10">
        <v>9</v>
      </c>
      <c r="Z1065" s="30"/>
      <c r="AA1065" s="31"/>
      <c r="AC1065" s="32"/>
      <c r="AD1065" s="32"/>
      <c r="AE1065" s="32">
        <f t="shared" si="272"/>
        <v>0</v>
      </c>
      <c r="AF1065" s="12"/>
      <c r="AH1065" s="12"/>
      <c r="AI1065" s="12">
        <f t="shared" si="273"/>
        <v>0</v>
      </c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10">
        <v>10</v>
      </c>
      <c r="B1066" s="30"/>
      <c r="C1066" s="31"/>
      <c r="D1066" s="32"/>
      <c r="E1066" s="32"/>
      <c r="F1066" s="32"/>
      <c r="G1066" s="32">
        <f t="shared" si="268"/>
        <v>0</v>
      </c>
      <c r="H1066" s="12"/>
      <c r="I1066" s="12"/>
      <c r="J1066" s="12"/>
      <c r="K1066" s="12">
        <f t="shared" si="269"/>
        <v>0</v>
      </c>
      <c r="M1066" s="10">
        <v>10</v>
      </c>
      <c r="N1066" s="30"/>
      <c r="O1066" s="31"/>
      <c r="P1066" s="32"/>
      <c r="Q1066" s="32"/>
      <c r="R1066" s="32"/>
      <c r="S1066" s="32">
        <f t="shared" si="270"/>
        <v>0</v>
      </c>
      <c r="T1066" s="12"/>
      <c r="U1066" s="12"/>
      <c r="V1066" s="12"/>
      <c r="W1066" s="12">
        <f t="shared" si="271"/>
        <v>0</v>
      </c>
      <c r="Y1066" s="10">
        <v>10</v>
      </c>
      <c r="Z1066" s="30"/>
      <c r="AA1066" s="31"/>
      <c r="AB1066" s="32"/>
      <c r="AC1066" s="32"/>
      <c r="AD1066" s="32"/>
      <c r="AE1066" s="32">
        <f t="shared" si="272"/>
        <v>0</v>
      </c>
      <c r="AF1066" s="12"/>
      <c r="AG1066" s="12"/>
      <c r="AH1066" s="12"/>
      <c r="AI1066" s="12">
        <f t="shared" si="273"/>
        <v>0</v>
      </c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10">
        <v>11</v>
      </c>
      <c r="B1067" s="30"/>
      <c r="C1067" s="31"/>
      <c r="D1067" s="32"/>
      <c r="E1067" s="32"/>
      <c r="F1067" s="32"/>
      <c r="G1067" s="32">
        <f t="shared" si="268"/>
        <v>0</v>
      </c>
      <c r="H1067" s="12"/>
      <c r="I1067" s="12"/>
      <c r="J1067" s="12"/>
      <c r="K1067" s="12">
        <f t="shared" si="269"/>
        <v>0</v>
      </c>
      <c r="M1067" s="10">
        <v>11</v>
      </c>
      <c r="N1067" s="30"/>
      <c r="O1067" s="31"/>
      <c r="P1067" s="32"/>
      <c r="Q1067" s="32"/>
      <c r="R1067" s="32"/>
      <c r="S1067" s="32">
        <f t="shared" si="270"/>
        <v>0</v>
      </c>
      <c r="T1067" s="12"/>
      <c r="U1067" s="12"/>
      <c r="V1067" s="12"/>
      <c r="W1067" s="12">
        <f t="shared" si="271"/>
        <v>0</v>
      </c>
      <c r="Y1067" s="10">
        <v>11</v>
      </c>
      <c r="Z1067" s="30"/>
      <c r="AB1067" s="32"/>
      <c r="AC1067" s="32"/>
      <c r="AD1067" s="32"/>
      <c r="AE1067" s="32">
        <f t="shared" si="272"/>
        <v>0</v>
      </c>
      <c r="AF1067" s="12"/>
      <c r="AG1067" s="12"/>
      <c r="AH1067" s="12"/>
      <c r="AI1067" s="12">
        <f t="shared" si="273"/>
        <v>0</v>
      </c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10">
        <v>12</v>
      </c>
      <c r="B1068" s="30"/>
      <c r="C1068" s="31"/>
      <c r="D1068" s="32"/>
      <c r="E1068" s="32"/>
      <c r="F1068" s="32"/>
      <c r="G1068" s="32">
        <f t="shared" si="268"/>
        <v>0</v>
      </c>
      <c r="H1068" s="12"/>
      <c r="I1068" s="12"/>
      <c r="J1068" s="10"/>
      <c r="K1068" s="12">
        <f t="shared" si="269"/>
        <v>0</v>
      </c>
      <c r="M1068" s="10">
        <v>12</v>
      </c>
      <c r="N1068" s="30"/>
      <c r="O1068" s="31"/>
      <c r="P1068" s="32"/>
      <c r="Q1068" s="32"/>
      <c r="R1068" s="32"/>
      <c r="S1068" s="32">
        <f t="shared" si="270"/>
        <v>0</v>
      </c>
      <c r="T1068" s="12"/>
      <c r="U1068" s="12"/>
      <c r="V1068" s="12"/>
      <c r="W1068" s="12">
        <f t="shared" si="271"/>
        <v>0</v>
      </c>
      <c r="Y1068" s="10">
        <v>12</v>
      </c>
      <c r="Z1068" s="30"/>
      <c r="AA1068" s="31"/>
      <c r="AB1068" s="32"/>
      <c r="AC1068" s="32"/>
      <c r="AD1068" s="32"/>
      <c r="AE1068" s="32">
        <f t="shared" si="272"/>
        <v>0</v>
      </c>
      <c r="AF1068" s="12"/>
      <c r="AG1068" s="12"/>
      <c r="AH1068" s="12"/>
      <c r="AI1068" s="12">
        <f t="shared" si="273"/>
        <v>0</v>
      </c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10">
        <v>13</v>
      </c>
      <c r="B1069" s="30"/>
      <c r="C1069" s="31"/>
      <c r="D1069" s="32"/>
      <c r="E1069" s="32"/>
      <c r="F1069" s="32"/>
      <c r="G1069" s="32">
        <f t="shared" si="268"/>
        <v>0</v>
      </c>
      <c r="H1069" s="12"/>
      <c r="I1069" s="12"/>
      <c r="J1069" s="12"/>
      <c r="K1069" s="12">
        <f t="shared" si="269"/>
        <v>0</v>
      </c>
      <c r="M1069" s="10">
        <v>13</v>
      </c>
      <c r="N1069" s="30"/>
      <c r="O1069" s="31"/>
      <c r="P1069" s="32"/>
      <c r="Q1069" s="32"/>
      <c r="R1069" s="32"/>
      <c r="S1069" s="32">
        <f t="shared" si="270"/>
        <v>0</v>
      </c>
      <c r="T1069" s="12"/>
      <c r="U1069" s="12"/>
      <c r="V1069" s="12"/>
      <c r="W1069" s="12">
        <f t="shared" si="271"/>
        <v>0</v>
      </c>
      <c r="Y1069" s="10">
        <v>13</v>
      </c>
      <c r="Z1069" s="30"/>
      <c r="AA1069" s="31"/>
      <c r="AB1069" s="32"/>
      <c r="AC1069" s="32"/>
      <c r="AD1069" s="32"/>
      <c r="AE1069" s="32">
        <f t="shared" si="272"/>
        <v>0</v>
      </c>
      <c r="AF1069" s="12"/>
      <c r="AG1069" s="12"/>
      <c r="AH1069" s="12"/>
      <c r="AI1069" s="12">
        <f t="shared" si="273"/>
        <v>0</v>
      </c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10">
        <v>14</v>
      </c>
      <c r="B1070" s="30"/>
      <c r="C1070" s="31"/>
      <c r="D1070" s="32"/>
      <c r="E1070" s="32"/>
      <c r="F1070" s="32"/>
      <c r="G1070" s="32">
        <f t="shared" si="268"/>
        <v>0</v>
      </c>
      <c r="H1070" s="12"/>
      <c r="I1070" s="12"/>
      <c r="J1070" s="12"/>
      <c r="K1070" s="12">
        <f t="shared" si="269"/>
        <v>0</v>
      </c>
      <c r="M1070" s="10">
        <v>14</v>
      </c>
      <c r="N1070" s="30"/>
      <c r="O1070" s="31"/>
      <c r="P1070" s="32"/>
      <c r="Q1070" s="32"/>
      <c r="R1070" s="32"/>
      <c r="S1070" s="32">
        <f t="shared" si="270"/>
        <v>0</v>
      </c>
      <c r="T1070" s="12"/>
      <c r="U1070" s="12"/>
      <c r="V1070" s="12"/>
      <c r="W1070" s="12">
        <f t="shared" si="271"/>
        <v>0</v>
      </c>
      <c r="Y1070" s="10">
        <v>14</v>
      </c>
      <c r="Z1070" s="30"/>
      <c r="AA1070" s="31"/>
      <c r="AB1070" s="32"/>
      <c r="AC1070" s="32"/>
      <c r="AD1070" s="32"/>
      <c r="AE1070" s="32">
        <f t="shared" si="272"/>
        <v>0</v>
      </c>
      <c r="AF1070" s="12"/>
      <c r="AG1070" s="12"/>
      <c r="AH1070" s="12"/>
      <c r="AI1070" s="12">
        <f t="shared" si="273"/>
        <v>0</v>
      </c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10">
        <v>15</v>
      </c>
      <c r="B1071" s="30"/>
      <c r="C1071" s="31"/>
      <c r="D1071" s="32"/>
      <c r="E1071" s="32"/>
      <c r="F1071" s="32"/>
      <c r="G1071" s="32">
        <f t="shared" si="268"/>
        <v>0</v>
      </c>
      <c r="H1071" s="12"/>
      <c r="I1071" s="12"/>
      <c r="J1071" s="12"/>
      <c r="K1071" s="12">
        <f t="shared" si="269"/>
        <v>0</v>
      </c>
      <c r="M1071" s="10">
        <v>15</v>
      </c>
      <c r="N1071" s="30"/>
      <c r="O1071" s="31"/>
      <c r="P1071" s="32"/>
      <c r="Q1071" s="32"/>
      <c r="R1071" s="32"/>
      <c r="S1071" s="32">
        <f t="shared" si="270"/>
        <v>0</v>
      </c>
      <c r="T1071" s="12"/>
      <c r="U1071" s="12"/>
      <c r="V1071" s="12"/>
      <c r="W1071" s="12">
        <f t="shared" si="271"/>
        <v>0</v>
      </c>
      <c r="Y1071" s="10">
        <v>15</v>
      </c>
      <c r="Z1071" s="30"/>
      <c r="AA1071" s="31"/>
      <c r="AB1071" s="32"/>
      <c r="AC1071" s="32"/>
      <c r="AD1071" s="32"/>
      <c r="AE1071" s="32">
        <f t="shared" si="272"/>
        <v>0</v>
      </c>
      <c r="AF1071" s="12"/>
      <c r="AG1071" s="12"/>
      <c r="AH1071" s="12"/>
      <c r="AI1071" s="12">
        <f t="shared" si="273"/>
        <v>0</v>
      </c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10">
        <v>16</v>
      </c>
      <c r="B1072" s="30"/>
      <c r="C1072" s="31"/>
      <c r="D1072" s="32"/>
      <c r="E1072" s="32"/>
      <c r="F1072" s="32"/>
      <c r="G1072" s="32">
        <f t="shared" si="268"/>
        <v>0</v>
      </c>
      <c r="H1072" s="12"/>
      <c r="I1072" s="12"/>
      <c r="J1072" s="12"/>
      <c r="K1072" s="12">
        <f t="shared" si="269"/>
        <v>0</v>
      </c>
      <c r="M1072" s="10">
        <v>16</v>
      </c>
      <c r="N1072" s="30"/>
      <c r="P1072" s="32"/>
      <c r="Q1072" s="32"/>
      <c r="R1072" s="32"/>
      <c r="S1072" s="32">
        <f t="shared" si="270"/>
        <v>0</v>
      </c>
      <c r="T1072" s="12"/>
      <c r="U1072" s="12"/>
      <c r="V1072" s="12"/>
      <c r="W1072" s="12">
        <f t="shared" si="271"/>
        <v>0</v>
      </c>
      <c r="Y1072" s="10">
        <v>16</v>
      </c>
      <c r="Z1072" s="30"/>
      <c r="AB1072" s="32"/>
      <c r="AC1072" s="32"/>
      <c r="AD1072" s="32"/>
      <c r="AE1072" s="32">
        <f t="shared" si="272"/>
        <v>0</v>
      </c>
      <c r="AF1072" s="12"/>
      <c r="AG1072" s="12"/>
      <c r="AH1072" s="12"/>
      <c r="AI1072" s="12">
        <f t="shared" si="273"/>
        <v>0</v>
      </c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10">
        <v>17</v>
      </c>
      <c r="B1073" s="30"/>
      <c r="C1073" s="31"/>
      <c r="D1073" s="32"/>
      <c r="E1073" s="32"/>
      <c r="F1073" s="32"/>
      <c r="G1073" s="32">
        <f t="shared" si="268"/>
        <v>0</v>
      </c>
      <c r="H1073" s="12"/>
      <c r="I1073" s="12"/>
      <c r="J1073" s="12"/>
      <c r="K1073" s="12">
        <f t="shared" si="269"/>
        <v>0</v>
      </c>
      <c r="M1073" s="10">
        <v>17</v>
      </c>
      <c r="N1073" s="30"/>
      <c r="O1073" s="31"/>
      <c r="P1073" s="35"/>
      <c r="Q1073" s="32"/>
      <c r="R1073" s="32"/>
      <c r="S1073" s="32">
        <f t="shared" si="270"/>
        <v>0</v>
      </c>
      <c r="T1073" s="12"/>
      <c r="U1073" s="12"/>
      <c r="V1073" s="12"/>
      <c r="W1073" s="12">
        <f t="shared" si="271"/>
        <v>0</v>
      </c>
      <c r="Y1073" s="10">
        <v>17</v>
      </c>
      <c r="Z1073" s="30"/>
      <c r="AA1073" s="31"/>
      <c r="AB1073" s="35"/>
      <c r="AC1073" s="32"/>
      <c r="AD1073" s="32"/>
      <c r="AE1073" s="32">
        <f t="shared" si="272"/>
        <v>0</v>
      </c>
      <c r="AF1073" s="12"/>
      <c r="AG1073" s="12"/>
      <c r="AH1073" s="12"/>
      <c r="AI1073" s="12">
        <f t="shared" si="273"/>
        <v>0</v>
      </c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10">
        <v>18</v>
      </c>
      <c r="B1074" s="30"/>
      <c r="C1074" s="31"/>
      <c r="D1074" s="32"/>
      <c r="E1074" s="32"/>
      <c r="F1074" s="32"/>
      <c r="G1074" s="32">
        <f t="shared" si="268"/>
        <v>0</v>
      </c>
      <c r="H1074" s="12"/>
      <c r="I1074" s="12"/>
      <c r="J1074" s="12"/>
      <c r="K1074" s="12">
        <f t="shared" si="269"/>
        <v>0</v>
      </c>
      <c r="M1074" s="10">
        <v>18</v>
      </c>
      <c r="N1074" s="30"/>
      <c r="O1074" s="31"/>
      <c r="P1074" s="32"/>
      <c r="Q1074" s="32"/>
      <c r="R1074" s="32"/>
      <c r="S1074" s="32">
        <f t="shared" si="270"/>
        <v>0</v>
      </c>
      <c r="T1074" s="12"/>
      <c r="U1074" s="12"/>
      <c r="V1074" s="12"/>
      <c r="W1074" s="12">
        <f t="shared" si="271"/>
        <v>0</v>
      </c>
      <c r="Y1074" s="10">
        <v>18</v>
      </c>
      <c r="Z1074" s="30"/>
      <c r="AA1074" s="31"/>
      <c r="AB1074" s="32"/>
      <c r="AC1074" s="32"/>
      <c r="AD1074" s="32"/>
      <c r="AE1074" s="32">
        <f t="shared" si="272"/>
        <v>0</v>
      </c>
      <c r="AF1074" s="12"/>
      <c r="AG1074" s="12"/>
      <c r="AH1074" s="12"/>
      <c r="AI1074" s="12">
        <f t="shared" si="273"/>
        <v>0</v>
      </c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10">
        <v>19</v>
      </c>
      <c r="B1075" s="30"/>
      <c r="C1075" s="31"/>
      <c r="D1075" s="32"/>
      <c r="E1075" s="32"/>
      <c r="F1075" s="32"/>
      <c r="G1075" s="32">
        <f t="shared" si="268"/>
        <v>0</v>
      </c>
      <c r="H1075" s="12"/>
      <c r="I1075" s="12"/>
      <c r="J1075" s="12"/>
      <c r="K1075" s="12">
        <f t="shared" si="269"/>
        <v>0</v>
      </c>
      <c r="M1075" s="10">
        <v>19</v>
      </c>
      <c r="N1075" s="30"/>
      <c r="O1075" s="31"/>
      <c r="P1075" s="32"/>
      <c r="Q1075" s="32"/>
      <c r="R1075" s="32"/>
      <c r="S1075" s="32">
        <f t="shared" si="270"/>
        <v>0</v>
      </c>
      <c r="T1075" s="12"/>
      <c r="U1075" s="12"/>
      <c r="V1075" s="12"/>
      <c r="W1075" s="12">
        <f t="shared" si="271"/>
        <v>0</v>
      </c>
      <c r="Y1075" s="10">
        <v>19</v>
      </c>
      <c r="Z1075" s="30"/>
      <c r="AA1075" s="31"/>
      <c r="AB1075" s="32"/>
      <c r="AC1075" s="32"/>
      <c r="AD1075" s="32"/>
      <c r="AE1075" s="32">
        <f t="shared" si="272"/>
        <v>0</v>
      </c>
      <c r="AF1075" s="12"/>
      <c r="AG1075" s="12"/>
      <c r="AH1075" s="12"/>
      <c r="AI1075" s="12">
        <f t="shared" si="273"/>
        <v>0</v>
      </c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10">
        <v>20</v>
      </c>
      <c r="B1076" s="30"/>
      <c r="C1076" s="31"/>
      <c r="D1076" s="32"/>
      <c r="E1076" s="32"/>
      <c r="F1076" s="32"/>
      <c r="G1076" s="32">
        <f t="shared" si="268"/>
        <v>0</v>
      </c>
      <c r="H1076" s="12"/>
      <c r="I1076" s="12"/>
      <c r="J1076" s="12"/>
      <c r="K1076" s="12">
        <f t="shared" si="269"/>
        <v>0</v>
      </c>
      <c r="M1076" s="10">
        <v>20</v>
      </c>
      <c r="N1076" s="30"/>
      <c r="O1076" s="31"/>
      <c r="P1076" s="32"/>
      <c r="Q1076" s="32"/>
      <c r="R1076" s="32"/>
      <c r="S1076" s="32">
        <f t="shared" si="270"/>
        <v>0</v>
      </c>
      <c r="T1076" s="12"/>
      <c r="U1076" s="12"/>
      <c r="V1076" s="12"/>
      <c r="W1076" s="12">
        <f t="shared" si="271"/>
        <v>0</v>
      </c>
      <c r="Y1076" s="10">
        <v>20</v>
      </c>
      <c r="Z1076" s="30"/>
      <c r="AA1076" s="31"/>
      <c r="AB1076" s="32"/>
      <c r="AC1076" s="32"/>
      <c r="AD1076" s="32"/>
      <c r="AE1076" s="32">
        <f t="shared" si="272"/>
        <v>0</v>
      </c>
      <c r="AF1076" s="12"/>
      <c r="AG1076" s="12"/>
      <c r="AH1076" s="12"/>
      <c r="AI1076" s="12">
        <f t="shared" si="273"/>
        <v>0</v>
      </c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10">
        <v>21</v>
      </c>
      <c r="B1077" s="30"/>
      <c r="D1077" s="32"/>
      <c r="E1077" s="32"/>
      <c r="F1077" s="32"/>
      <c r="G1077" s="32">
        <f t="shared" si="268"/>
        <v>0</v>
      </c>
      <c r="H1077" s="10"/>
      <c r="I1077" s="10"/>
      <c r="J1077" s="10"/>
      <c r="K1077" s="12">
        <f t="shared" si="269"/>
        <v>0</v>
      </c>
      <c r="M1077" s="10">
        <v>21</v>
      </c>
      <c r="N1077" s="30"/>
      <c r="O1077" s="31"/>
      <c r="P1077" s="46"/>
      <c r="Q1077" s="32"/>
      <c r="R1077" s="31"/>
      <c r="S1077" s="32">
        <f t="shared" si="270"/>
        <v>0</v>
      </c>
      <c r="T1077" s="10"/>
      <c r="U1077" s="10"/>
      <c r="V1077" s="10"/>
      <c r="W1077" s="12">
        <f t="shared" si="271"/>
        <v>0</v>
      </c>
      <c r="Y1077" s="10">
        <v>21</v>
      </c>
      <c r="Z1077" s="30"/>
      <c r="AB1077" s="46"/>
      <c r="AC1077" s="31"/>
      <c r="AD1077" s="31"/>
      <c r="AE1077" s="32">
        <f t="shared" si="272"/>
        <v>0</v>
      </c>
      <c r="AF1077" s="10"/>
      <c r="AG1077" s="10"/>
      <c r="AH1077" s="10"/>
      <c r="AI1077" s="12">
        <f t="shared" si="273"/>
        <v>0</v>
      </c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10">
        <v>22</v>
      </c>
      <c r="B1078" s="30"/>
      <c r="C1078" s="31"/>
      <c r="D1078" s="32"/>
      <c r="E1078" s="32"/>
      <c r="F1078" s="32"/>
      <c r="G1078" s="32">
        <f t="shared" si="268"/>
        <v>0</v>
      </c>
      <c r="H1078" s="10"/>
      <c r="I1078" s="10"/>
      <c r="J1078" s="10"/>
      <c r="K1078" s="12">
        <f t="shared" si="269"/>
        <v>0</v>
      </c>
      <c r="M1078" s="10">
        <v>22</v>
      </c>
      <c r="N1078" s="30"/>
      <c r="O1078" s="31"/>
      <c r="P1078" s="45"/>
      <c r="Q1078" s="32"/>
      <c r="R1078" s="31"/>
      <c r="S1078" s="32">
        <f t="shared" si="270"/>
        <v>0</v>
      </c>
      <c r="T1078" s="10"/>
      <c r="U1078" s="10"/>
      <c r="V1078" s="10"/>
      <c r="W1078" s="12">
        <f t="shared" si="271"/>
        <v>0</v>
      </c>
      <c r="Y1078" s="10">
        <v>22</v>
      </c>
      <c r="Z1078" s="30"/>
      <c r="AA1078" s="31"/>
      <c r="AB1078" s="45"/>
      <c r="AC1078" s="31"/>
      <c r="AD1078" s="31"/>
      <c r="AE1078" s="32">
        <f t="shared" si="272"/>
        <v>0</v>
      </c>
      <c r="AF1078" s="10"/>
      <c r="AG1078" s="10"/>
      <c r="AH1078" s="10"/>
      <c r="AI1078" s="12">
        <f t="shared" si="273"/>
        <v>0</v>
      </c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10">
        <v>23</v>
      </c>
      <c r="B1079" s="30"/>
      <c r="C1079" s="31"/>
      <c r="D1079" s="32"/>
      <c r="E1079" s="32"/>
      <c r="F1079" s="32"/>
      <c r="G1079" s="32">
        <f t="shared" si="268"/>
        <v>0</v>
      </c>
      <c r="H1079" s="10"/>
      <c r="I1079" s="10"/>
      <c r="J1079" s="12"/>
      <c r="K1079" s="12">
        <f t="shared" si="269"/>
        <v>0</v>
      </c>
      <c r="M1079" s="10">
        <v>23</v>
      </c>
      <c r="N1079" s="30"/>
      <c r="O1079" s="31"/>
      <c r="P1079" s="47"/>
      <c r="Q1079" s="32"/>
      <c r="S1079" s="32">
        <f t="shared" si="270"/>
        <v>0</v>
      </c>
      <c r="T1079" s="10"/>
      <c r="U1079" s="10"/>
      <c r="V1079" s="10"/>
      <c r="W1079" s="12">
        <f t="shared" si="271"/>
        <v>0</v>
      </c>
      <c r="Y1079" s="10">
        <v>23</v>
      </c>
      <c r="Z1079" s="30"/>
      <c r="AA1079" s="31"/>
      <c r="AB1079" s="47"/>
      <c r="AC1079" s="31"/>
      <c r="AE1079" s="32">
        <f t="shared" si="272"/>
        <v>0</v>
      </c>
      <c r="AF1079" s="10"/>
      <c r="AG1079" s="10"/>
      <c r="AH1079" s="10"/>
      <c r="AI1079" s="12">
        <f t="shared" si="273"/>
        <v>0</v>
      </c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10">
        <v>24</v>
      </c>
      <c r="B1080" s="30"/>
      <c r="C1080" s="31"/>
      <c r="D1080" s="32"/>
      <c r="E1080" s="32"/>
      <c r="F1080" s="32"/>
      <c r="G1080" s="32">
        <f t="shared" si="268"/>
        <v>0</v>
      </c>
      <c r="H1080" s="10"/>
      <c r="I1080" s="10"/>
      <c r="J1080" s="10"/>
      <c r="K1080" s="12">
        <f t="shared" si="269"/>
        <v>0</v>
      </c>
      <c r="M1080" s="10">
        <v>24</v>
      </c>
      <c r="N1080" s="30"/>
      <c r="O1080" s="31"/>
      <c r="P1080" s="47"/>
      <c r="Q1080" s="32"/>
      <c r="R1080" s="31"/>
      <c r="S1080" s="32">
        <f t="shared" si="270"/>
        <v>0</v>
      </c>
      <c r="T1080" s="10"/>
      <c r="U1080" s="10"/>
      <c r="V1080" s="10"/>
      <c r="W1080" s="12">
        <f t="shared" si="271"/>
        <v>0</v>
      </c>
      <c r="Y1080" s="10">
        <v>24</v>
      </c>
      <c r="Z1080" s="30"/>
      <c r="AA1080" s="31"/>
      <c r="AB1080" s="47"/>
      <c r="AC1080" s="31"/>
      <c r="AD1080" s="31"/>
      <c r="AE1080" s="32">
        <f t="shared" si="272"/>
        <v>0</v>
      </c>
      <c r="AF1080" s="10"/>
      <c r="AG1080" s="10"/>
      <c r="AH1080" s="10"/>
      <c r="AI1080" s="12">
        <f t="shared" si="273"/>
        <v>0</v>
      </c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10">
        <v>25</v>
      </c>
      <c r="B1081" s="30"/>
      <c r="C1081" s="31"/>
      <c r="D1081" s="32"/>
      <c r="E1081" s="32"/>
      <c r="F1081" s="32"/>
      <c r="G1081" s="32">
        <f t="shared" si="268"/>
        <v>0</v>
      </c>
      <c r="H1081" s="10"/>
      <c r="I1081" s="10"/>
      <c r="J1081" s="10"/>
      <c r="K1081" s="12">
        <f t="shared" si="269"/>
        <v>0</v>
      </c>
      <c r="M1081" s="10">
        <v>25</v>
      </c>
      <c r="N1081" s="30"/>
      <c r="O1081" s="31"/>
      <c r="P1081" s="47"/>
      <c r="Q1081" s="32"/>
      <c r="R1081" s="31"/>
      <c r="S1081" s="32">
        <f t="shared" si="270"/>
        <v>0</v>
      </c>
      <c r="T1081" s="10"/>
      <c r="U1081" s="10"/>
      <c r="V1081" s="10"/>
      <c r="W1081" s="12">
        <f t="shared" si="271"/>
        <v>0</v>
      </c>
      <c r="Y1081" s="10">
        <v>25</v>
      </c>
      <c r="Z1081" s="30"/>
      <c r="AA1081" s="31"/>
      <c r="AB1081" s="47"/>
      <c r="AC1081" s="31"/>
      <c r="AD1081" s="31"/>
      <c r="AE1081" s="32">
        <f t="shared" si="272"/>
        <v>0</v>
      </c>
      <c r="AF1081" s="10"/>
      <c r="AG1081" s="10"/>
      <c r="AH1081" s="10"/>
      <c r="AI1081" s="12">
        <f t="shared" si="273"/>
        <v>0</v>
      </c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10">
        <v>26</v>
      </c>
      <c r="B1082" s="30"/>
      <c r="C1082" s="31"/>
      <c r="D1082" s="32"/>
      <c r="E1082" s="32"/>
      <c r="F1082" s="32"/>
      <c r="G1082" s="32">
        <f t="shared" si="268"/>
        <v>0</v>
      </c>
      <c r="H1082" s="10"/>
      <c r="I1082" s="10"/>
      <c r="J1082" s="10"/>
      <c r="K1082" s="12">
        <f t="shared" si="269"/>
        <v>0</v>
      </c>
      <c r="M1082" s="10">
        <v>26</v>
      </c>
      <c r="N1082" s="30"/>
      <c r="P1082" s="47"/>
      <c r="Q1082" s="32"/>
      <c r="R1082" s="31"/>
      <c r="S1082" s="32">
        <f t="shared" si="270"/>
        <v>0</v>
      </c>
      <c r="T1082" s="10"/>
      <c r="U1082" s="10"/>
      <c r="V1082" s="10"/>
      <c r="W1082" s="12">
        <f t="shared" si="271"/>
        <v>0</v>
      </c>
      <c r="Y1082" s="10">
        <v>26</v>
      </c>
      <c r="Z1082" s="30"/>
      <c r="AB1082" s="47"/>
      <c r="AC1082" s="31"/>
      <c r="AD1082" s="31"/>
      <c r="AE1082" s="32">
        <f t="shared" si="272"/>
        <v>0</v>
      </c>
      <c r="AF1082" s="10"/>
      <c r="AG1082" s="10"/>
      <c r="AH1082" s="10"/>
      <c r="AI1082" s="12">
        <f t="shared" si="273"/>
        <v>0</v>
      </c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10">
        <v>27</v>
      </c>
      <c r="B1083" s="30"/>
      <c r="C1083" s="31"/>
      <c r="D1083" s="32"/>
      <c r="E1083" s="32"/>
      <c r="F1083" s="32"/>
      <c r="G1083" s="32">
        <f t="shared" si="268"/>
        <v>0</v>
      </c>
      <c r="H1083" s="10"/>
      <c r="I1083" s="10"/>
      <c r="J1083" s="10"/>
      <c r="K1083" s="12">
        <f t="shared" si="269"/>
        <v>0</v>
      </c>
      <c r="M1083" s="10">
        <v>27</v>
      </c>
      <c r="N1083" s="30"/>
      <c r="O1083" s="31"/>
      <c r="P1083" s="47"/>
      <c r="Q1083" s="31"/>
      <c r="R1083" s="31"/>
      <c r="S1083" s="32">
        <f t="shared" si="270"/>
        <v>0</v>
      </c>
      <c r="T1083" s="10"/>
      <c r="U1083" s="10"/>
      <c r="V1083" s="10"/>
      <c r="W1083" s="12">
        <f t="shared" si="271"/>
        <v>0</v>
      </c>
      <c r="Y1083" s="10">
        <v>27</v>
      </c>
      <c r="Z1083" s="30"/>
      <c r="AA1083" s="31"/>
      <c r="AB1083" s="47"/>
      <c r="AC1083" s="31"/>
      <c r="AD1083" s="31"/>
      <c r="AE1083" s="32">
        <f t="shared" si="272"/>
        <v>0</v>
      </c>
      <c r="AF1083" s="10"/>
      <c r="AG1083" s="10"/>
      <c r="AH1083" s="10"/>
      <c r="AI1083" s="12">
        <f t="shared" si="273"/>
        <v>0</v>
      </c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10">
        <v>28</v>
      </c>
      <c r="B1084" s="30"/>
      <c r="C1084" s="57"/>
      <c r="D1084" s="32"/>
      <c r="E1084" s="32"/>
      <c r="F1084" s="32"/>
      <c r="G1084" s="32">
        <f t="shared" si="268"/>
        <v>0</v>
      </c>
      <c r="H1084" s="10"/>
      <c r="I1084" s="10"/>
      <c r="J1084" s="10"/>
      <c r="K1084" s="12">
        <f t="shared" si="269"/>
        <v>0</v>
      </c>
      <c r="M1084" s="10">
        <v>28</v>
      </c>
      <c r="N1084" s="30"/>
      <c r="O1084" s="31"/>
      <c r="P1084" s="47"/>
      <c r="Q1084" s="31"/>
      <c r="R1084" s="31"/>
      <c r="S1084" s="32">
        <f t="shared" si="270"/>
        <v>0</v>
      </c>
      <c r="T1084" s="10"/>
      <c r="U1084" s="10"/>
      <c r="V1084" s="10"/>
      <c r="W1084" s="12">
        <f t="shared" si="271"/>
        <v>0</v>
      </c>
      <c r="Y1084" s="10">
        <v>28</v>
      </c>
      <c r="Z1084" s="30"/>
      <c r="AA1084" s="31"/>
      <c r="AB1084" s="47"/>
      <c r="AC1084" s="31"/>
      <c r="AD1084" s="31"/>
      <c r="AE1084" s="32">
        <f t="shared" si="272"/>
        <v>0</v>
      </c>
      <c r="AF1084" s="10"/>
      <c r="AG1084" s="10"/>
      <c r="AH1084" s="10"/>
      <c r="AI1084" s="12">
        <f t="shared" si="273"/>
        <v>0</v>
      </c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10">
        <v>29</v>
      </c>
      <c r="B1085" s="30"/>
      <c r="C1085" s="31"/>
      <c r="D1085" s="32"/>
      <c r="E1085" s="32"/>
      <c r="F1085" s="32"/>
      <c r="G1085" s="32">
        <f t="shared" si="268"/>
        <v>0</v>
      </c>
      <c r="H1085" s="10"/>
      <c r="I1085" s="10"/>
      <c r="J1085" s="10"/>
      <c r="K1085" s="12">
        <f t="shared" si="269"/>
        <v>0</v>
      </c>
      <c r="M1085" s="10">
        <v>29</v>
      </c>
      <c r="N1085" s="30"/>
      <c r="O1085" s="31"/>
      <c r="P1085" s="47"/>
      <c r="Q1085" s="31"/>
      <c r="R1085" s="31"/>
      <c r="S1085" s="32">
        <f t="shared" si="270"/>
        <v>0</v>
      </c>
      <c r="T1085" s="10"/>
      <c r="U1085" s="10"/>
      <c r="V1085" s="10"/>
      <c r="W1085" s="12">
        <f t="shared" si="271"/>
        <v>0</v>
      </c>
      <c r="Y1085" s="10">
        <v>29</v>
      </c>
      <c r="Z1085" s="30"/>
      <c r="AA1085" s="31"/>
      <c r="AB1085" s="47"/>
      <c r="AC1085" s="31"/>
      <c r="AD1085" s="31"/>
      <c r="AE1085" s="32">
        <f t="shared" si="272"/>
        <v>0</v>
      </c>
      <c r="AF1085" s="10"/>
      <c r="AG1085" s="10"/>
      <c r="AH1085" s="10"/>
      <c r="AI1085" s="12">
        <f t="shared" si="273"/>
        <v>0</v>
      </c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10">
        <v>30</v>
      </c>
      <c r="B1086" s="30"/>
      <c r="C1086" s="31"/>
      <c r="D1086" s="32"/>
      <c r="E1086" s="32"/>
      <c r="F1086" s="32"/>
      <c r="G1086" s="32">
        <f t="shared" si="268"/>
        <v>0</v>
      </c>
      <c r="H1086" s="10"/>
      <c r="I1086" s="10"/>
      <c r="J1086" s="10"/>
      <c r="K1086" s="12">
        <f t="shared" si="269"/>
        <v>0</v>
      </c>
      <c r="M1086" s="10">
        <v>30</v>
      </c>
      <c r="N1086" s="30"/>
      <c r="O1086" s="31"/>
      <c r="P1086" s="47"/>
      <c r="Q1086" s="31"/>
      <c r="R1086" s="31"/>
      <c r="S1086" s="32">
        <f t="shared" si="270"/>
        <v>0</v>
      </c>
      <c r="T1086" s="10"/>
      <c r="U1086" s="10"/>
      <c r="V1086" s="10"/>
      <c r="W1086" s="12">
        <f t="shared" si="271"/>
        <v>0</v>
      </c>
      <c r="Y1086" s="10">
        <v>30</v>
      </c>
      <c r="Z1086" s="30"/>
      <c r="AA1086" s="31"/>
      <c r="AB1086" s="47"/>
      <c r="AC1086" s="31"/>
      <c r="AD1086" s="31"/>
      <c r="AE1086" s="32">
        <f t="shared" si="272"/>
        <v>0</v>
      </c>
      <c r="AF1086" s="10"/>
      <c r="AG1086" s="10"/>
      <c r="AH1086" s="10"/>
      <c r="AI1086" s="12">
        <f t="shared" si="273"/>
        <v>0</v>
      </c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10">
        <v>31</v>
      </c>
      <c r="B1087" s="30"/>
      <c r="C1087" s="31"/>
      <c r="D1087" s="32"/>
      <c r="E1087" s="32"/>
      <c r="F1087" s="32"/>
      <c r="G1087" s="32">
        <f t="shared" si="268"/>
        <v>0</v>
      </c>
      <c r="H1087" s="10"/>
      <c r="I1087" s="10"/>
      <c r="J1087" s="10"/>
      <c r="K1087" s="12">
        <f t="shared" si="269"/>
        <v>0</v>
      </c>
      <c r="M1087" s="10">
        <v>31</v>
      </c>
      <c r="N1087" s="30"/>
      <c r="O1087" s="31"/>
      <c r="P1087" s="47"/>
      <c r="Q1087" s="31"/>
      <c r="R1087" s="31"/>
      <c r="S1087" s="32">
        <f t="shared" si="270"/>
        <v>0</v>
      </c>
      <c r="T1087" s="10"/>
      <c r="U1087" s="10"/>
      <c r="V1087" s="10"/>
      <c r="W1087" s="12">
        <f t="shared" si="271"/>
        <v>0</v>
      </c>
      <c r="Y1087" s="10">
        <v>31</v>
      </c>
      <c r="Z1087" s="30"/>
      <c r="AA1087" s="31"/>
      <c r="AB1087" s="47"/>
      <c r="AC1087" s="31"/>
      <c r="AD1087" s="31"/>
      <c r="AE1087" s="32">
        <f t="shared" si="272"/>
        <v>0</v>
      </c>
      <c r="AF1087" s="10"/>
      <c r="AG1087" s="10"/>
      <c r="AH1087" s="10"/>
      <c r="AI1087" s="12">
        <f t="shared" si="273"/>
        <v>0</v>
      </c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10">
        <v>32</v>
      </c>
      <c r="B1088" s="30"/>
      <c r="C1088" s="57"/>
      <c r="D1088" s="32"/>
      <c r="E1088" s="32"/>
      <c r="F1088" s="32"/>
      <c r="G1088" s="32">
        <f t="shared" si="268"/>
        <v>0</v>
      </c>
      <c r="H1088" s="10"/>
      <c r="I1088" s="10"/>
      <c r="J1088" s="10"/>
      <c r="K1088" s="12">
        <f t="shared" si="269"/>
        <v>0</v>
      </c>
      <c r="M1088" s="10">
        <v>32</v>
      </c>
      <c r="N1088" s="30"/>
      <c r="O1088" s="31"/>
      <c r="P1088" s="47"/>
      <c r="Q1088" s="31"/>
      <c r="R1088" s="31"/>
      <c r="S1088" s="32">
        <f t="shared" si="270"/>
        <v>0</v>
      </c>
      <c r="T1088" s="10"/>
      <c r="U1088" s="10"/>
      <c r="V1088" s="10"/>
      <c r="W1088" s="12">
        <f t="shared" si="271"/>
        <v>0</v>
      </c>
      <c r="Y1088" s="10">
        <v>32</v>
      </c>
      <c r="Z1088" s="30"/>
      <c r="AA1088" s="31"/>
      <c r="AB1088" s="47"/>
      <c r="AC1088" s="31"/>
      <c r="AD1088" s="31"/>
      <c r="AE1088" s="32">
        <f t="shared" si="272"/>
        <v>0</v>
      </c>
      <c r="AF1088" s="10"/>
      <c r="AG1088" s="10"/>
      <c r="AH1088" s="10"/>
      <c r="AI1088" s="12">
        <f t="shared" si="273"/>
        <v>0</v>
      </c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10">
        <v>33</v>
      </c>
      <c r="B1089" s="30"/>
      <c r="C1089" s="31"/>
      <c r="D1089" s="32"/>
      <c r="E1089" s="32"/>
      <c r="F1089" s="32"/>
      <c r="G1089" s="32">
        <f t="shared" si="268"/>
        <v>0</v>
      </c>
      <c r="H1089" s="10"/>
      <c r="I1089" s="10"/>
      <c r="J1089" s="10"/>
      <c r="K1089" s="12">
        <f t="shared" si="269"/>
        <v>0</v>
      </c>
      <c r="M1089" s="10">
        <v>33</v>
      </c>
      <c r="N1089" s="30"/>
      <c r="O1089" s="31"/>
      <c r="P1089" s="47"/>
      <c r="Q1089" s="31"/>
      <c r="R1089" s="31"/>
      <c r="S1089" s="32">
        <f t="shared" si="270"/>
        <v>0</v>
      </c>
      <c r="T1089" s="10"/>
      <c r="U1089" s="10"/>
      <c r="V1089" s="10"/>
      <c r="W1089" s="12">
        <f t="shared" si="271"/>
        <v>0</v>
      </c>
      <c r="Y1089" s="10">
        <v>33</v>
      </c>
      <c r="Z1089" s="30"/>
      <c r="AA1089" s="31"/>
      <c r="AB1089" s="47"/>
      <c r="AC1089" s="31"/>
      <c r="AD1089" s="31"/>
      <c r="AE1089" s="32">
        <f t="shared" si="272"/>
        <v>0</v>
      </c>
      <c r="AF1089" s="10"/>
      <c r="AG1089" s="10"/>
      <c r="AH1089" s="10"/>
      <c r="AI1089" s="12">
        <f t="shared" si="273"/>
        <v>0</v>
      </c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10"/>
      <c r="B1090" s="30"/>
      <c r="C1090" s="31"/>
      <c r="D1090" s="32"/>
      <c r="E1090" s="32"/>
      <c r="F1090" s="32"/>
      <c r="G1090" s="32">
        <f t="shared" si="268"/>
        <v>0</v>
      </c>
      <c r="H1090" s="10"/>
      <c r="I1090" s="10"/>
      <c r="J1090" s="10"/>
      <c r="K1090" s="12">
        <f t="shared" si="269"/>
        <v>0</v>
      </c>
      <c r="M1090" s="10">
        <v>34</v>
      </c>
      <c r="N1090" s="30"/>
      <c r="O1090" s="31"/>
      <c r="P1090" s="47"/>
      <c r="Q1090" s="31"/>
      <c r="R1090" s="31"/>
      <c r="S1090" s="32">
        <f t="shared" si="270"/>
        <v>0</v>
      </c>
      <c r="T1090" s="10"/>
      <c r="U1090" s="10"/>
      <c r="V1090" s="10"/>
      <c r="W1090" s="12">
        <f t="shared" si="271"/>
        <v>0</v>
      </c>
      <c r="Y1090" s="10">
        <v>34</v>
      </c>
      <c r="Z1090" s="30"/>
      <c r="AA1090" s="31"/>
      <c r="AB1090" s="47"/>
      <c r="AC1090" s="31"/>
      <c r="AD1090" s="31"/>
      <c r="AE1090" s="32">
        <f t="shared" si="272"/>
        <v>0</v>
      </c>
      <c r="AF1090" s="10"/>
      <c r="AG1090" s="10"/>
      <c r="AH1090" s="10"/>
      <c r="AI1090" s="12">
        <f t="shared" si="273"/>
        <v>0</v>
      </c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10"/>
      <c r="B1091" s="30"/>
      <c r="C1091" s="31"/>
      <c r="D1091" s="32"/>
      <c r="E1091" s="32"/>
      <c r="F1091" s="32"/>
      <c r="G1091" s="32"/>
      <c r="H1091" s="10"/>
      <c r="I1091" s="10"/>
      <c r="J1091" s="10"/>
      <c r="K1091" s="12"/>
      <c r="M1091" s="10">
        <v>35</v>
      </c>
      <c r="N1091" s="30"/>
      <c r="O1091" s="31"/>
      <c r="P1091" s="47"/>
      <c r="Q1091" s="31"/>
      <c r="R1091" s="31"/>
      <c r="S1091" s="32">
        <f t="shared" si="270"/>
        <v>0</v>
      </c>
      <c r="T1091" s="10"/>
      <c r="U1091" s="10"/>
      <c r="V1091" s="10"/>
      <c r="W1091" s="12">
        <f t="shared" si="271"/>
        <v>0</v>
      </c>
      <c r="Y1091" s="10">
        <v>35</v>
      </c>
      <c r="Z1091" s="30"/>
      <c r="AA1091" s="31"/>
      <c r="AB1091" s="47"/>
      <c r="AC1091" s="31"/>
      <c r="AD1091" s="31"/>
      <c r="AE1091" s="32">
        <f t="shared" si="272"/>
        <v>0</v>
      </c>
      <c r="AF1091" s="10"/>
      <c r="AG1091" s="10"/>
      <c r="AH1091" s="10"/>
      <c r="AI1091" s="12">
        <f t="shared" si="273"/>
        <v>0</v>
      </c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10"/>
      <c r="B1092" s="30"/>
      <c r="C1092" s="31"/>
      <c r="D1092" s="32"/>
      <c r="E1092" s="32"/>
      <c r="F1092" s="32"/>
      <c r="G1092" s="32"/>
      <c r="H1092" s="10"/>
      <c r="I1092" s="10"/>
      <c r="J1092" s="10"/>
      <c r="K1092" s="12"/>
      <c r="M1092" s="10">
        <v>36</v>
      </c>
      <c r="N1092" s="30"/>
      <c r="O1092" s="31"/>
      <c r="P1092" s="47"/>
      <c r="Q1092" s="31"/>
      <c r="R1092" s="31"/>
      <c r="S1092" s="32">
        <f t="shared" si="270"/>
        <v>0</v>
      </c>
      <c r="T1092" s="10"/>
      <c r="U1092" s="10"/>
      <c r="V1092" s="10"/>
      <c r="W1092" s="12">
        <f t="shared" si="271"/>
        <v>0</v>
      </c>
      <c r="Y1092" s="10">
        <v>36</v>
      </c>
      <c r="Z1092" s="30"/>
      <c r="AA1092" s="31"/>
      <c r="AB1092" s="47"/>
      <c r="AC1092" s="31"/>
      <c r="AD1092" s="31"/>
      <c r="AE1092" s="32">
        <f t="shared" si="272"/>
        <v>0</v>
      </c>
      <c r="AF1092" s="10"/>
      <c r="AG1092" s="10"/>
      <c r="AH1092" s="10"/>
      <c r="AI1092" s="12">
        <f t="shared" si="273"/>
        <v>0</v>
      </c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10"/>
      <c r="B1093" s="30"/>
      <c r="C1093" s="31"/>
      <c r="D1093" s="32"/>
      <c r="E1093" s="32"/>
      <c r="F1093" s="32"/>
      <c r="G1093" s="32"/>
      <c r="H1093" s="10"/>
      <c r="I1093" s="10"/>
      <c r="J1093" s="10"/>
      <c r="K1093" s="12"/>
      <c r="M1093" s="10">
        <v>37</v>
      </c>
      <c r="N1093" s="30"/>
      <c r="P1093" s="47"/>
      <c r="Q1093" s="31"/>
      <c r="R1093" s="31"/>
      <c r="S1093" s="32">
        <f t="shared" si="270"/>
        <v>0</v>
      </c>
      <c r="T1093" s="10"/>
      <c r="U1093" s="10"/>
      <c r="V1093" s="10"/>
      <c r="W1093" s="12">
        <f t="shared" si="271"/>
        <v>0</v>
      </c>
      <c r="Y1093" s="10">
        <v>37</v>
      </c>
      <c r="Z1093" s="30"/>
      <c r="AA1093" s="31"/>
      <c r="AB1093" s="47"/>
      <c r="AC1093" s="31"/>
      <c r="AD1093" s="31"/>
      <c r="AE1093" s="32">
        <f t="shared" si="272"/>
        <v>0</v>
      </c>
      <c r="AF1093" s="10"/>
      <c r="AG1093" s="10"/>
      <c r="AH1093" s="10"/>
      <c r="AI1093" s="12">
        <f t="shared" si="273"/>
        <v>0</v>
      </c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10"/>
      <c r="B1094" s="30"/>
      <c r="C1094" s="31"/>
      <c r="D1094" s="32"/>
      <c r="E1094" s="32"/>
      <c r="F1094" s="32"/>
      <c r="G1094" s="32"/>
      <c r="H1094" s="10"/>
      <c r="I1094" s="10"/>
      <c r="J1094" s="10"/>
      <c r="K1094" s="12"/>
      <c r="M1094" s="10">
        <v>38</v>
      </c>
      <c r="N1094" s="30"/>
      <c r="O1094" s="31"/>
      <c r="P1094" s="47"/>
      <c r="Q1094" s="31"/>
      <c r="R1094" s="31"/>
      <c r="S1094" s="32">
        <f t="shared" si="270"/>
        <v>0</v>
      </c>
      <c r="T1094" s="10"/>
      <c r="U1094" s="10"/>
      <c r="V1094" s="10"/>
      <c r="W1094" s="12">
        <f t="shared" si="271"/>
        <v>0</v>
      </c>
      <c r="Y1094" s="10">
        <v>38</v>
      </c>
      <c r="Z1094" s="30"/>
      <c r="AA1094" s="31"/>
      <c r="AB1094" s="47"/>
      <c r="AC1094" s="31"/>
      <c r="AD1094" s="31"/>
      <c r="AE1094" s="32">
        <f t="shared" si="272"/>
        <v>0</v>
      </c>
      <c r="AF1094" s="10"/>
      <c r="AG1094" s="10"/>
      <c r="AH1094" s="10"/>
      <c r="AI1094" s="12">
        <f t="shared" si="273"/>
        <v>0</v>
      </c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10"/>
      <c r="B1095" s="30"/>
      <c r="C1095" s="31"/>
      <c r="D1095" s="32"/>
      <c r="E1095" s="32"/>
      <c r="F1095" s="32"/>
      <c r="G1095" s="32"/>
      <c r="H1095" s="10"/>
      <c r="I1095" s="10"/>
      <c r="J1095" s="10"/>
      <c r="K1095" s="12"/>
      <c r="M1095" s="10">
        <v>39</v>
      </c>
      <c r="N1095" s="30"/>
      <c r="O1095" s="31"/>
      <c r="P1095" s="47"/>
      <c r="Q1095" s="31"/>
      <c r="R1095" s="31"/>
      <c r="S1095" s="32">
        <f t="shared" si="270"/>
        <v>0</v>
      </c>
      <c r="T1095" s="10"/>
      <c r="U1095" s="10"/>
      <c r="V1095" s="10"/>
      <c r="W1095" s="12">
        <f t="shared" si="271"/>
        <v>0</v>
      </c>
      <c r="Y1095" s="10">
        <v>39</v>
      </c>
      <c r="Z1095" s="30"/>
      <c r="AA1095" s="31"/>
      <c r="AB1095" s="47"/>
      <c r="AC1095" s="31"/>
      <c r="AD1095" s="31"/>
      <c r="AE1095" s="32">
        <f t="shared" si="272"/>
        <v>0</v>
      </c>
      <c r="AF1095" s="10"/>
      <c r="AG1095" s="10"/>
      <c r="AH1095" s="10"/>
      <c r="AI1095" s="12">
        <f t="shared" si="273"/>
        <v>0</v>
      </c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10"/>
      <c r="B1096" s="30"/>
      <c r="C1096" s="31"/>
      <c r="D1096" s="32"/>
      <c r="E1096" s="32"/>
      <c r="F1096" s="32"/>
      <c r="G1096" s="32"/>
      <c r="H1096" s="10"/>
      <c r="I1096" s="10"/>
      <c r="J1096" s="10"/>
      <c r="K1096" s="12"/>
      <c r="M1096" s="10"/>
      <c r="N1096" s="30"/>
      <c r="P1096" s="47"/>
      <c r="Q1096" s="31"/>
      <c r="R1096" s="31"/>
      <c r="S1096" s="32"/>
      <c r="T1096" s="10"/>
      <c r="U1096" s="10"/>
      <c r="V1096" s="10"/>
      <c r="W1096" s="12">
        <f t="shared" si="271"/>
        <v>0</v>
      </c>
      <c r="Y1096" s="10"/>
      <c r="Z1096" s="30"/>
      <c r="AB1096" s="47"/>
      <c r="AC1096" s="31"/>
      <c r="AD1096" s="31"/>
      <c r="AE1096" s="32"/>
      <c r="AF1096" s="10"/>
      <c r="AG1096" s="10"/>
      <c r="AH1096" s="10"/>
      <c r="AI1096" s="12">
        <f t="shared" si="273"/>
        <v>0</v>
      </c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10"/>
      <c r="B1097" s="30"/>
      <c r="C1097" s="31"/>
      <c r="D1097" s="32"/>
      <c r="E1097" s="32"/>
      <c r="F1097" s="32"/>
      <c r="G1097" s="32">
        <f t="shared" ref="G1097" si="276">SUM(D1097:E1097)</f>
        <v>0</v>
      </c>
      <c r="H1097" s="10"/>
      <c r="I1097" s="10"/>
      <c r="J1097" s="10"/>
      <c r="K1097" s="12">
        <f t="shared" ref="K1097" si="277">SUM(G1097:J1097)</f>
        <v>0</v>
      </c>
      <c r="M1097" s="10"/>
      <c r="N1097" s="30"/>
      <c r="O1097" s="31"/>
      <c r="P1097" s="47"/>
      <c r="Q1097" s="31"/>
      <c r="R1097" s="31"/>
      <c r="S1097" s="32">
        <f t="shared" ref="S1097" si="278">SUM(P1097:Q1097)</f>
        <v>0</v>
      </c>
      <c r="T1097" s="10"/>
      <c r="U1097" s="10"/>
      <c r="V1097" s="10"/>
      <c r="W1097" s="12">
        <f t="shared" si="271"/>
        <v>0</v>
      </c>
      <c r="Y1097" s="10"/>
      <c r="Z1097" s="30"/>
      <c r="AA1097" s="31"/>
      <c r="AB1097" s="47"/>
      <c r="AC1097" s="31"/>
      <c r="AD1097" s="31"/>
      <c r="AE1097" s="32">
        <f t="shared" ref="AE1097" si="279">SUM(AB1097:AC1097)</f>
        <v>0</v>
      </c>
      <c r="AF1097" s="10"/>
      <c r="AG1097" s="10"/>
      <c r="AH1097" s="10"/>
      <c r="AI1097" s="12">
        <f t="shared" si="273"/>
        <v>0</v>
      </c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10"/>
      <c r="B1098" s="30"/>
      <c r="C1098" s="30"/>
      <c r="D1098" s="32"/>
      <c r="E1098" s="32"/>
      <c r="F1098" s="32"/>
      <c r="G1098" s="32"/>
      <c r="H1098" s="10"/>
      <c r="I1098" s="10"/>
      <c r="J1098" s="10"/>
      <c r="K1098" s="12"/>
      <c r="M1098" s="10"/>
      <c r="N1098" s="31"/>
      <c r="O1098" s="31"/>
      <c r="P1098" s="31"/>
      <c r="Q1098" s="31"/>
      <c r="R1098" s="31"/>
      <c r="S1098" s="31"/>
      <c r="T1098" s="10"/>
      <c r="U1098" s="10"/>
      <c r="V1098" s="10"/>
      <c r="W1098" s="12">
        <f t="shared" si="271"/>
        <v>0</v>
      </c>
      <c r="Y1098" s="10"/>
      <c r="Z1098" s="31"/>
      <c r="AA1098" s="31"/>
      <c r="AB1098" s="31"/>
      <c r="AC1098" s="31"/>
      <c r="AD1098" s="31"/>
      <c r="AE1098" s="31"/>
      <c r="AF1098" s="10"/>
      <c r="AG1098" s="10"/>
      <c r="AH1098" s="10"/>
      <c r="AI1098" s="12">
        <f t="shared" si="273"/>
        <v>0</v>
      </c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B1099" s="57"/>
      <c r="C1099" s="57"/>
      <c r="D1099" s="36"/>
      <c r="E1099" s="36"/>
      <c r="F1099" s="36"/>
      <c r="G1099" s="36"/>
      <c r="H1099" s="37"/>
      <c r="I1099" s="37"/>
      <c r="J1099" s="37"/>
      <c r="K1099" s="37"/>
      <c r="N1099" s="57"/>
      <c r="O1099" s="57"/>
      <c r="P1099" s="36"/>
      <c r="Q1099" s="36"/>
      <c r="R1099" s="36"/>
      <c r="S1099" s="36"/>
      <c r="T1099" s="37"/>
      <c r="U1099" s="37"/>
      <c r="V1099" s="37"/>
      <c r="W1099" s="37"/>
      <c r="Z1099" s="57"/>
      <c r="AA1099" s="57"/>
      <c r="AB1099" s="36"/>
      <c r="AC1099" s="36"/>
      <c r="AD1099" s="36"/>
      <c r="AE1099" s="36"/>
      <c r="AF1099" s="37"/>
      <c r="AG1099" s="37"/>
      <c r="AH1099" s="37"/>
      <c r="AI1099" s="37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B1100" s="57"/>
      <c r="C1100" s="57"/>
      <c r="D1100" s="38">
        <f>SUM(D1057:D1099)</f>
        <v>152534.5</v>
      </c>
      <c r="E1100" s="38">
        <f t="shared" ref="E1100:G1100" si="280">SUM(E1057:E1097)</f>
        <v>-1899</v>
      </c>
      <c r="F1100" s="38">
        <f t="shared" si="280"/>
        <v>0</v>
      </c>
      <c r="G1100" s="38">
        <f>SUM(G1057:G1099)</f>
        <v>150635.5</v>
      </c>
      <c r="H1100" s="4"/>
      <c r="I1100" s="39">
        <f>SUM(I1057:I1099)</f>
        <v>45</v>
      </c>
      <c r="J1100" s="39">
        <f>SUM(J1057:J1099)</f>
        <v>-14650.5</v>
      </c>
      <c r="K1100" s="40">
        <f>SUM(K1057:K1099)</f>
        <v>136030</v>
      </c>
      <c r="N1100" s="57"/>
      <c r="O1100" s="57"/>
      <c r="P1100" s="38">
        <f>SUM(P1057:P1099)</f>
        <v>443993</v>
      </c>
      <c r="Q1100" s="38">
        <f>SUM(Q1057:Q1081)</f>
        <v>-6579</v>
      </c>
      <c r="R1100" s="38">
        <f>SUM(R1057:R1081)</f>
        <v>0</v>
      </c>
      <c r="S1100" s="38">
        <f>SUM(S1057:S1099)</f>
        <v>437414</v>
      </c>
      <c r="T1100" s="4"/>
      <c r="U1100" s="41">
        <f>SUM(U1057:U1099)</f>
        <v>19077</v>
      </c>
      <c r="V1100" s="41">
        <f>SUM(V1057:V1081)</f>
        <v>-4206</v>
      </c>
      <c r="W1100" s="42">
        <f>SUM(W1057:W1099)</f>
        <v>452285</v>
      </c>
      <c r="Z1100" s="57"/>
      <c r="AA1100" s="57"/>
      <c r="AB1100" s="38">
        <f>SUM(AB1057:AB1099)</f>
        <v>409873</v>
      </c>
      <c r="AC1100" s="38">
        <f>SUM(AC1057:AC1081)</f>
        <v>-648</v>
      </c>
      <c r="AD1100" s="38">
        <f>SUM(AD1057:AD1081)</f>
        <v>0</v>
      </c>
      <c r="AE1100" s="38">
        <f>SUM(AE1057:AE1099)</f>
        <v>409225</v>
      </c>
      <c r="AF1100" s="4"/>
      <c r="AG1100" s="41">
        <f>SUM(AG1057:AG1099)</f>
        <v>62355</v>
      </c>
      <c r="AH1100" s="41">
        <f>SUM(AH1057:AH1081)</f>
        <v>-555</v>
      </c>
      <c r="AI1100" s="42">
        <f>SUM(AI1057:AI1099)</f>
        <v>471025</v>
      </c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4"/>
      <c r="C1102" s="84"/>
      <c r="D1102" s="84"/>
      <c r="E1102" s="84"/>
      <c r="F1102" s="84"/>
      <c r="G1102" s="84"/>
      <c r="H1102" s="62"/>
      <c r="I1102" s="62"/>
      <c r="J1102" s="62"/>
      <c r="K1102" s="62"/>
      <c r="L1102" s="62"/>
      <c r="M1102" s="62"/>
      <c r="N1102" s="84"/>
      <c r="O1102" s="84"/>
      <c r="P1102" s="84"/>
      <c r="Q1102" s="84"/>
      <c r="R1102" s="84"/>
      <c r="S1102" s="84"/>
      <c r="T1102" s="62"/>
      <c r="U1102" s="62"/>
      <c r="V1102" s="62"/>
      <c r="W1102" s="62"/>
      <c r="X1102" s="62"/>
      <c r="Y1102" s="62"/>
      <c r="Z1102" s="84"/>
      <c r="AA1102" s="84"/>
      <c r="AB1102" s="84"/>
      <c r="AC1102" s="84"/>
      <c r="AD1102" s="84"/>
      <c r="AE1102" s="84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4"/>
      <c r="C1103" s="84"/>
      <c r="D1103" s="84"/>
      <c r="E1103" s="84"/>
      <c r="F1103" s="84"/>
      <c r="G1103" s="84"/>
      <c r="H1103" s="62"/>
      <c r="I1103" s="62"/>
      <c r="J1103" s="62"/>
      <c r="K1103" s="62"/>
      <c r="L1103" s="62"/>
      <c r="M1103" s="62"/>
      <c r="N1103" s="84"/>
      <c r="O1103" s="84"/>
      <c r="P1103" s="84"/>
      <c r="Q1103" s="84"/>
      <c r="R1103" s="84"/>
      <c r="S1103" s="84"/>
      <c r="T1103" s="62"/>
      <c r="U1103" s="62"/>
      <c r="V1103" s="62"/>
      <c r="W1103" s="62"/>
      <c r="X1103" s="62"/>
      <c r="Y1103" s="62"/>
      <c r="Z1103" s="84"/>
      <c r="AA1103" s="84"/>
      <c r="AB1103" s="84"/>
      <c r="AC1103" s="84"/>
      <c r="AD1103" s="84"/>
      <c r="AE1103" s="84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4"/>
      <c r="C1104" s="84"/>
      <c r="D1104" s="84"/>
      <c r="E1104" s="84"/>
      <c r="F1104" s="84"/>
      <c r="G1104" s="84"/>
      <c r="H1104" s="62"/>
      <c r="I1104" s="62"/>
      <c r="J1104" s="62"/>
      <c r="K1104" s="62"/>
      <c r="L1104" s="62"/>
      <c r="M1104" s="62"/>
      <c r="N1104" s="84"/>
      <c r="O1104" s="84"/>
      <c r="P1104" s="84"/>
      <c r="Q1104" s="84"/>
      <c r="R1104" s="84"/>
      <c r="S1104" s="84"/>
      <c r="T1104" s="62"/>
      <c r="U1104" s="62"/>
      <c r="V1104" s="62"/>
      <c r="W1104" s="62"/>
      <c r="X1104" s="62"/>
      <c r="Y1104" s="62"/>
      <c r="Z1104" s="84"/>
      <c r="AA1104" s="84"/>
      <c r="AB1104" s="84"/>
      <c r="AC1104" s="84"/>
      <c r="AD1104" s="84"/>
      <c r="AE1104" s="84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4"/>
      <c r="C1105" s="84"/>
      <c r="D1105" s="84"/>
      <c r="E1105" s="84"/>
      <c r="F1105" s="84"/>
      <c r="G1105" s="84"/>
      <c r="H1105" s="62"/>
      <c r="I1105" s="62"/>
      <c r="J1105" s="62"/>
      <c r="K1105" s="62"/>
      <c r="L1105" s="62"/>
      <c r="M1105" s="63"/>
      <c r="N1105" s="84"/>
      <c r="O1105" s="84"/>
      <c r="P1105" s="84"/>
      <c r="Q1105" s="84"/>
      <c r="R1105" s="84"/>
      <c r="S1105" s="84"/>
      <c r="T1105" s="62"/>
      <c r="U1105" s="62"/>
      <c r="V1105" s="62"/>
      <c r="W1105" s="62"/>
      <c r="X1105" s="62"/>
      <c r="Y1105" s="63"/>
      <c r="Z1105" s="84"/>
      <c r="AA1105" s="84"/>
      <c r="AB1105" s="84"/>
      <c r="AC1105" s="84"/>
      <c r="AD1105" s="84"/>
      <c r="AE1105" s="84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4"/>
      <c r="C1106" s="84"/>
      <c r="D1106" s="84"/>
      <c r="E1106" s="84"/>
      <c r="F1106" s="84"/>
      <c r="G1106" s="84"/>
      <c r="H1106" s="62"/>
      <c r="I1106" s="62"/>
      <c r="J1106" s="62"/>
      <c r="K1106" s="62"/>
      <c r="L1106" s="62"/>
      <c r="M1106" s="62"/>
      <c r="N1106" s="84"/>
      <c r="O1106" s="84"/>
      <c r="P1106" s="84"/>
      <c r="Q1106" s="84"/>
      <c r="R1106" s="84"/>
      <c r="S1106" s="84"/>
      <c r="T1106" s="62"/>
      <c r="U1106" s="62"/>
      <c r="V1106" s="62"/>
      <c r="W1106" s="62"/>
      <c r="X1106" s="62"/>
      <c r="Y1106" s="62"/>
      <c r="Z1106" s="84"/>
      <c r="AA1106" s="84"/>
      <c r="AB1106" s="84"/>
      <c r="AC1106" s="84"/>
      <c r="AD1106" s="84"/>
      <c r="AE1106" s="84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4"/>
      <c r="C1107" s="84"/>
      <c r="D1107" s="84"/>
      <c r="E1107" s="84"/>
      <c r="F1107" s="84"/>
      <c r="G1107" s="84"/>
      <c r="H1107" s="62"/>
      <c r="I1107" s="84"/>
      <c r="J1107" s="74"/>
      <c r="K1107" s="62"/>
      <c r="L1107" s="62"/>
      <c r="M1107" s="62"/>
      <c r="N1107" s="84"/>
      <c r="O1107" s="84"/>
      <c r="P1107" s="84"/>
      <c r="Q1107" s="84"/>
      <c r="R1107" s="84"/>
      <c r="S1107" s="84"/>
      <c r="T1107" s="62"/>
      <c r="U1107" s="84"/>
      <c r="V1107" s="74"/>
      <c r="W1107" s="62"/>
      <c r="X1107" s="62"/>
      <c r="Y1107" s="62"/>
      <c r="Z1107" s="84"/>
      <c r="AA1107" s="84"/>
      <c r="AB1107" s="84"/>
      <c r="AC1107" s="84"/>
      <c r="AD1107" s="84"/>
      <c r="AE1107" s="84"/>
      <c r="AF1107" s="62"/>
      <c r="AG1107" s="84"/>
      <c r="AH1107" s="84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4"/>
      <c r="C1108" s="84"/>
      <c r="D1108" s="84"/>
      <c r="E1108" s="84"/>
      <c r="F1108" s="84"/>
      <c r="G1108" s="84"/>
      <c r="H1108" s="62"/>
      <c r="I1108" s="65"/>
      <c r="J1108" s="65"/>
      <c r="K1108" s="62"/>
      <c r="L1108" s="62"/>
      <c r="M1108" s="64"/>
      <c r="N1108" s="84"/>
      <c r="O1108" s="84"/>
      <c r="P1108" s="84"/>
      <c r="Q1108" s="84"/>
      <c r="R1108" s="84"/>
      <c r="S1108" s="84"/>
      <c r="T1108" s="62"/>
      <c r="U1108" s="65"/>
      <c r="V1108" s="65"/>
      <c r="W1108" s="62"/>
      <c r="X1108" s="62"/>
      <c r="Y1108" s="64"/>
      <c r="Z1108" s="84"/>
      <c r="AA1108" s="84"/>
      <c r="AB1108" s="84"/>
      <c r="AC1108" s="84"/>
      <c r="AD1108" s="84"/>
      <c r="AE1108" s="84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4"/>
      <c r="C1109" s="84"/>
      <c r="D1109" s="84"/>
      <c r="E1109" s="84"/>
      <c r="F1109" s="84"/>
      <c r="G1109" s="84"/>
      <c r="H1109" s="62"/>
      <c r="I1109" s="62"/>
      <c r="J1109" s="62"/>
      <c r="K1109" s="62"/>
      <c r="L1109" s="62"/>
      <c r="M1109" s="62"/>
      <c r="N1109" s="84"/>
      <c r="O1109" s="84"/>
      <c r="P1109" s="84"/>
      <c r="Q1109" s="84"/>
      <c r="R1109" s="84"/>
      <c r="S1109" s="84"/>
      <c r="T1109" s="62"/>
      <c r="U1109" s="62"/>
      <c r="V1109" s="62"/>
      <c r="W1109" s="62"/>
      <c r="X1109" s="62"/>
      <c r="Y1109" s="62"/>
      <c r="Z1109" s="84"/>
      <c r="AA1109" s="84"/>
      <c r="AB1109" s="84"/>
      <c r="AC1109" s="84"/>
      <c r="AD1109" s="84"/>
      <c r="AE1109" s="84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4"/>
      <c r="D1110" s="118"/>
      <c r="E1110" s="118"/>
      <c r="F1110" s="84"/>
      <c r="G1110" s="84"/>
      <c r="H1110" s="62"/>
      <c r="I1110" s="118"/>
      <c r="J1110" s="118"/>
      <c r="K1110" s="117"/>
      <c r="L1110" s="62"/>
      <c r="M1110" s="62"/>
      <c r="N1110" s="65"/>
      <c r="O1110" s="84"/>
      <c r="P1110" s="118"/>
      <c r="Q1110" s="118"/>
      <c r="R1110" s="84"/>
      <c r="S1110" s="84"/>
      <c r="T1110" s="62"/>
      <c r="U1110" s="118"/>
      <c r="V1110" s="118"/>
      <c r="W1110" s="117"/>
      <c r="X1110" s="62"/>
      <c r="Y1110" s="62"/>
      <c r="Z1110" s="65"/>
      <c r="AA1110" s="84"/>
      <c r="AB1110" s="118"/>
      <c r="AC1110" s="118"/>
      <c r="AD1110" s="84"/>
      <c r="AE1110" s="84"/>
      <c r="AF1110" s="62"/>
      <c r="AG1110" s="118"/>
      <c r="AH1110" s="118"/>
      <c r="AI1110" s="117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4"/>
      <c r="C1111" s="84"/>
      <c r="D1111" s="81"/>
      <c r="E1111" s="82"/>
      <c r="F1111" s="83"/>
      <c r="G1111" s="83"/>
      <c r="H1111" s="62"/>
      <c r="I1111" s="85"/>
      <c r="J1111" s="85"/>
      <c r="K1111" s="117"/>
      <c r="L1111" s="62"/>
      <c r="M1111" s="62"/>
      <c r="N1111" s="84"/>
      <c r="O1111" s="84"/>
      <c r="P1111" s="81"/>
      <c r="Q1111" s="83"/>
      <c r="R1111" s="83"/>
      <c r="S1111" s="83"/>
      <c r="T1111" s="62"/>
      <c r="U1111" s="85"/>
      <c r="V1111" s="85"/>
      <c r="W1111" s="117"/>
      <c r="X1111" s="62"/>
      <c r="Y1111" s="62"/>
      <c r="Z1111" s="84"/>
      <c r="AA1111" s="84"/>
      <c r="AB1111" s="81"/>
      <c r="AC1111" s="83"/>
      <c r="AD1111" s="83"/>
      <c r="AE1111" s="83"/>
      <c r="AF1111" s="62"/>
      <c r="AG1111" s="85"/>
      <c r="AH1111" s="85"/>
      <c r="AI1111" s="117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4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4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4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4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4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4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4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4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4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4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4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4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4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4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4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4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4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4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4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4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4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4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4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4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4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4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4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4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4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4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4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4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4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4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4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4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4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4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4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4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4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4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4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4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4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4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4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4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4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4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4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4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4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4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4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4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4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4"/>
      <c r="P1132" s="67"/>
      <c r="Q1132" s="84"/>
      <c r="R1132" s="84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4"/>
      <c r="AD1132" s="84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4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4"/>
      <c r="P1133" s="68"/>
      <c r="Q1133" s="84"/>
      <c r="R1133" s="84"/>
      <c r="S1133" s="60"/>
      <c r="T1133" s="62"/>
      <c r="U1133" s="62"/>
      <c r="V1133" s="62"/>
      <c r="W1133" s="61"/>
      <c r="X1133" s="62"/>
      <c r="Y1133" s="62"/>
      <c r="Z1133" s="66"/>
      <c r="AA1133" s="84"/>
      <c r="AB1133" s="68"/>
      <c r="AC1133" s="84"/>
      <c r="AD1133" s="84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4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4"/>
      <c r="P1134" s="69"/>
      <c r="Q1134" s="84"/>
      <c r="R1134" s="84"/>
      <c r="S1134" s="60"/>
      <c r="T1134" s="62"/>
      <c r="U1134" s="62"/>
      <c r="V1134" s="62"/>
      <c r="W1134" s="61"/>
      <c r="X1134" s="62"/>
      <c r="Y1134" s="62"/>
      <c r="Z1134" s="66"/>
      <c r="AA1134" s="84"/>
      <c r="AB1134" s="69"/>
      <c r="AC1134" s="84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4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4"/>
      <c r="R1135" s="84"/>
      <c r="S1135" s="60"/>
      <c r="T1135" s="62"/>
      <c r="U1135" s="62"/>
      <c r="V1135" s="62"/>
      <c r="W1135" s="61"/>
      <c r="X1135" s="62"/>
      <c r="Y1135" s="62"/>
      <c r="Z1135" s="66"/>
      <c r="AA1135" s="84"/>
      <c r="AB1135" s="69"/>
      <c r="AC1135" s="84"/>
      <c r="AD1135" s="84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4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4"/>
      <c r="P1136" s="69"/>
      <c r="Q1136" s="84"/>
      <c r="R1136" s="84"/>
      <c r="S1136" s="60"/>
      <c r="T1136" s="62"/>
      <c r="U1136" s="62"/>
      <c r="V1136" s="62"/>
      <c r="W1136" s="61"/>
      <c r="X1136" s="62"/>
      <c r="Y1136" s="62"/>
      <c r="Z1136" s="66"/>
      <c r="AA1136" s="84"/>
      <c r="AB1136" s="69"/>
      <c r="AC1136" s="84"/>
      <c r="AD1136" s="84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4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4"/>
      <c r="P1137" s="69"/>
      <c r="Q1137" s="84"/>
      <c r="R1137" s="84"/>
      <c r="S1137" s="60"/>
      <c r="T1137" s="62"/>
      <c r="U1137" s="62"/>
      <c r="V1137" s="62"/>
      <c r="W1137" s="61"/>
      <c r="X1137" s="62"/>
      <c r="Y1137" s="62"/>
      <c r="Z1137" s="66"/>
      <c r="AA1137" s="84"/>
      <c r="AB1137" s="69"/>
      <c r="AC1137" s="84"/>
      <c r="AD1137" s="84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4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4"/>
      <c r="P1138" s="69"/>
      <c r="Q1138" s="84"/>
      <c r="R1138" s="84"/>
      <c r="S1138" s="60"/>
      <c r="T1138" s="62"/>
      <c r="U1138" s="62"/>
      <c r="V1138" s="62"/>
      <c r="W1138" s="61"/>
      <c r="X1138" s="62"/>
      <c r="Y1138" s="62"/>
      <c r="Z1138" s="66"/>
      <c r="AA1138" s="84"/>
      <c r="AB1138" s="69"/>
      <c r="AC1138" s="84"/>
      <c r="AD1138" s="84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4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4"/>
      <c r="P1139" s="69"/>
      <c r="Q1139" s="84"/>
      <c r="R1139" s="84"/>
      <c r="S1139" s="60"/>
      <c r="T1139" s="62"/>
      <c r="U1139" s="62"/>
      <c r="V1139" s="62"/>
      <c r="W1139" s="61"/>
      <c r="X1139" s="62"/>
      <c r="Y1139" s="62"/>
      <c r="Z1139" s="66"/>
      <c r="AA1139" s="84"/>
      <c r="AB1139" s="69"/>
      <c r="AC1139" s="84"/>
      <c r="AD1139" s="84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4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4"/>
      <c r="P1140" s="69"/>
      <c r="Q1140" s="84"/>
      <c r="R1140" s="84"/>
      <c r="S1140" s="60"/>
      <c r="T1140" s="62"/>
      <c r="U1140" s="62"/>
      <c r="V1140" s="62"/>
      <c r="W1140" s="61"/>
      <c r="X1140" s="62"/>
      <c r="Y1140" s="62"/>
      <c r="Z1140" s="66"/>
      <c r="AA1140" s="84"/>
      <c r="AB1140" s="69"/>
      <c r="AC1140" s="84"/>
      <c r="AD1140" s="84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4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4"/>
      <c r="P1141" s="69"/>
      <c r="Q1141" s="84"/>
      <c r="R1141" s="84"/>
      <c r="S1141" s="60"/>
      <c r="T1141" s="62"/>
      <c r="U1141" s="62"/>
      <c r="V1141" s="62"/>
      <c r="W1141" s="61"/>
      <c r="X1141" s="62"/>
      <c r="Y1141" s="62"/>
      <c r="Z1141" s="66"/>
      <c r="AA1141" s="84"/>
      <c r="AB1141" s="69"/>
      <c r="AC1141" s="84"/>
      <c r="AD1141" s="84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4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4"/>
      <c r="P1142" s="69"/>
      <c r="Q1142" s="84"/>
      <c r="R1142" s="84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4"/>
      <c r="AD1142" s="84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4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4"/>
      <c r="P1143" s="69"/>
      <c r="Q1143" s="84"/>
      <c r="R1143" s="84"/>
      <c r="S1143" s="60"/>
      <c r="T1143" s="62"/>
      <c r="U1143" s="62"/>
      <c r="V1143" s="62"/>
      <c r="W1143" s="61"/>
      <c r="X1143" s="62"/>
      <c r="Y1143" s="62"/>
      <c r="Z1143" s="66"/>
      <c r="AA1143" s="84"/>
      <c r="AB1143" s="69"/>
      <c r="AC1143" s="84"/>
      <c r="AD1143" s="84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4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4"/>
      <c r="P1144" s="69"/>
      <c r="Q1144" s="84"/>
      <c r="R1144" s="84"/>
      <c r="S1144" s="60"/>
      <c r="T1144" s="62"/>
      <c r="U1144" s="62"/>
      <c r="V1144" s="62"/>
      <c r="W1144" s="61"/>
      <c r="X1144" s="62"/>
      <c r="Y1144" s="62"/>
      <c r="Z1144" s="66"/>
      <c r="AA1144" s="84"/>
      <c r="AB1144" s="69"/>
      <c r="AC1144" s="84"/>
      <c r="AD1144" s="84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4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4"/>
      <c r="P1145" s="69"/>
      <c r="Q1145" s="84"/>
      <c r="R1145" s="84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4"/>
      <c r="AD1145" s="84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4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4"/>
      <c r="P1146" s="69"/>
      <c r="Q1146" s="84"/>
      <c r="R1146" s="84"/>
      <c r="S1146" s="60"/>
      <c r="T1146" s="62"/>
      <c r="U1146" s="62"/>
      <c r="V1146" s="62"/>
      <c r="W1146" s="61"/>
      <c r="X1146" s="62"/>
      <c r="Y1146" s="62"/>
      <c r="Z1146" s="66"/>
      <c r="AA1146" s="84"/>
      <c r="AB1146" s="69"/>
      <c r="AC1146" s="84"/>
      <c r="AD1146" s="84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4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4"/>
      <c r="P1147" s="69"/>
      <c r="Q1147" s="84"/>
      <c r="R1147" s="84"/>
      <c r="S1147" s="60"/>
      <c r="T1147" s="62"/>
      <c r="U1147" s="62"/>
      <c r="V1147" s="62"/>
      <c r="W1147" s="61"/>
      <c r="X1147" s="62"/>
      <c r="Y1147" s="62"/>
      <c r="Z1147" s="66"/>
      <c r="AA1147" s="84"/>
      <c r="AB1147" s="69"/>
      <c r="AC1147" s="84"/>
      <c r="AD1147" s="84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4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4"/>
      <c r="R1148" s="84"/>
      <c r="S1148" s="60"/>
      <c r="T1148" s="62"/>
      <c r="U1148" s="62"/>
      <c r="V1148" s="62"/>
      <c r="W1148" s="61"/>
      <c r="X1148" s="62"/>
      <c r="Y1148" s="62"/>
      <c r="Z1148" s="66"/>
      <c r="AA1148" s="84"/>
      <c r="AB1148" s="69"/>
      <c r="AC1148" s="84"/>
      <c r="AD1148" s="84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4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4"/>
      <c r="P1149" s="69"/>
      <c r="Q1149" s="84"/>
      <c r="R1149" s="84"/>
      <c r="S1149" s="60"/>
      <c r="T1149" s="62"/>
      <c r="U1149" s="62"/>
      <c r="V1149" s="62"/>
      <c r="W1149" s="61"/>
      <c r="X1149" s="62"/>
      <c r="Y1149" s="62"/>
      <c r="Z1149" s="66"/>
      <c r="AA1149" s="84"/>
      <c r="AB1149" s="69"/>
      <c r="AC1149" s="84"/>
      <c r="AD1149" s="84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4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4"/>
      <c r="P1150" s="69"/>
      <c r="Q1150" s="84"/>
      <c r="R1150" s="84"/>
      <c r="S1150" s="60"/>
      <c r="T1150" s="62"/>
      <c r="U1150" s="62"/>
      <c r="V1150" s="62"/>
      <c r="W1150" s="61"/>
      <c r="X1150" s="62"/>
      <c r="Y1150" s="62"/>
      <c r="Z1150" s="66"/>
      <c r="AA1150" s="84"/>
      <c r="AB1150" s="69"/>
      <c r="AC1150" s="84"/>
      <c r="AD1150" s="84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4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4"/>
      <c r="R1151" s="84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4"/>
      <c r="AD1151" s="84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4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4"/>
      <c r="P1152" s="69"/>
      <c r="Q1152" s="84"/>
      <c r="R1152" s="84"/>
      <c r="S1152" s="60"/>
      <c r="T1152" s="62"/>
      <c r="U1152" s="62"/>
      <c r="V1152" s="62"/>
      <c r="W1152" s="61"/>
      <c r="X1152" s="62"/>
      <c r="Y1152" s="62"/>
      <c r="Z1152" s="66"/>
      <c r="AA1152" s="84"/>
      <c r="AB1152" s="69"/>
      <c r="AC1152" s="84"/>
      <c r="AD1152" s="84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4"/>
      <c r="O1153" s="84"/>
      <c r="P1153" s="84"/>
      <c r="Q1153" s="84"/>
      <c r="R1153" s="84"/>
      <c r="S1153" s="84"/>
      <c r="T1153" s="62"/>
      <c r="U1153" s="62"/>
      <c r="V1153" s="62"/>
      <c r="W1153" s="61"/>
      <c r="X1153" s="62"/>
      <c r="Y1153" s="62"/>
      <c r="Z1153" s="84"/>
      <c r="AA1153" s="84"/>
      <c r="AB1153" s="84"/>
      <c r="AC1153" s="84"/>
      <c r="AD1153" s="84"/>
      <c r="AE1153" s="84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4"/>
      <c r="C1154" s="84"/>
      <c r="D1154" s="84"/>
      <c r="E1154" s="84"/>
      <c r="F1154" s="84"/>
      <c r="G1154" s="84"/>
      <c r="H1154" s="62"/>
      <c r="I1154" s="62"/>
      <c r="J1154" s="62"/>
      <c r="K1154" s="62"/>
      <c r="L1154" s="62"/>
      <c r="M1154" s="62"/>
      <c r="N1154" s="84"/>
      <c r="O1154" s="84"/>
      <c r="P1154" s="84"/>
      <c r="Q1154" s="84"/>
      <c r="R1154" s="84"/>
      <c r="S1154" s="84"/>
      <c r="T1154" s="62"/>
      <c r="U1154" s="62"/>
      <c r="V1154" s="62"/>
      <c r="W1154" s="62"/>
      <c r="X1154" s="62"/>
      <c r="Y1154" s="62"/>
      <c r="Z1154" s="84"/>
      <c r="AA1154" s="84"/>
      <c r="AB1154" s="84"/>
      <c r="AC1154" s="84"/>
      <c r="AD1154" s="84"/>
      <c r="AE1154" s="84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4"/>
      <c r="C1155" s="84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4"/>
      <c r="O1155" s="84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4"/>
      <c r="AA1155" s="84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4"/>
      <c r="C1157" s="84"/>
      <c r="D1157" s="84"/>
      <c r="E1157" s="84"/>
      <c r="F1157" s="84"/>
      <c r="G1157" s="84"/>
      <c r="H1157" s="62"/>
      <c r="I1157" s="62"/>
      <c r="J1157" s="62"/>
      <c r="K1157" s="62"/>
      <c r="L1157" s="62"/>
      <c r="M1157" s="62"/>
      <c r="N1157" s="84"/>
      <c r="O1157" s="84"/>
      <c r="P1157" s="84"/>
      <c r="Q1157" s="84"/>
      <c r="R1157" s="84"/>
      <c r="S1157" s="84"/>
      <c r="T1157" s="62"/>
      <c r="U1157" s="62"/>
      <c r="V1157" s="62"/>
      <c r="W1157" s="62"/>
      <c r="X1157" s="62"/>
      <c r="Y1157" s="62"/>
      <c r="Z1157" s="84"/>
      <c r="AA1157" s="84"/>
      <c r="AB1157" s="84"/>
      <c r="AC1157" s="84"/>
      <c r="AD1157" s="84"/>
      <c r="AE1157" s="84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4"/>
      <c r="C1158" s="84"/>
      <c r="D1158" s="84"/>
      <c r="E1158" s="84"/>
      <c r="F1158" s="84"/>
      <c r="G1158" s="84"/>
      <c r="H1158" s="62"/>
      <c r="I1158" s="62"/>
      <c r="J1158" s="62"/>
      <c r="K1158" s="62"/>
      <c r="L1158" s="62"/>
      <c r="M1158" s="62"/>
      <c r="N1158" s="84"/>
      <c r="O1158" s="84"/>
      <c r="P1158" s="84"/>
      <c r="Q1158" s="84"/>
      <c r="R1158" s="84"/>
      <c r="S1158" s="84"/>
      <c r="T1158" s="62"/>
      <c r="U1158" s="62"/>
      <c r="V1158" s="62"/>
      <c r="W1158" s="62"/>
      <c r="X1158" s="62"/>
      <c r="Y1158" s="62"/>
      <c r="Z1158" s="84"/>
      <c r="AA1158" s="84"/>
      <c r="AB1158" s="84"/>
      <c r="AC1158" s="84"/>
      <c r="AD1158" s="84"/>
      <c r="AE1158" s="84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4"/>
      <c r="C1159" s="84"/>
      <c r="D1159" s="84"/>
      <c r="E1159" s="84"/>
      <c r="F1159" s="84"/>
      <c r="G1159" s="84"/>
      <c r="H1159" s="62"/>
      <c r="I1159" s="62"/>
      <c r="J1159" s="62"/>
      <c r="K1159" s="62"/>
      <c r="L1159" s="62"/>
      <c r="M1159" s="62"/>
      <c r="N1159" s="84"/>
      <c r="O1159" s="84"/>
      <c r="P1159" s="84"/>
      <c r="Q1159" s="84"/>
      <c r="R1159" s="84"/>
      <c r="S1159" s="84"/>
      <c r="T1159" s="62"/>
      <c r="U1159" s="62"/>
      <c r="V1159" s="62"/>
      <c r="W1159" s="62"/>
      <c r="X1159" s="62"/>
      <c r="Y1159" s="62"/>
      <c r="Z1159" s="84"/>
      <c r="AA1159" s="84"/>
      <c r="AB1159" s="84"/>
      <c r="AC1159" s="84"/>
      <c r="AD1159" s="84"/>
      <c r="AE1159" s="84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4"/>
      <c r="C1160" s="84"/>
      <c r="D1160" s="84"/>
      <c r="E1160" s="84"/>
      <c r="F1160" s="84"/>
      <c r="G1160" s="84"/>
      <c r="H1160" s="62"/>
      <c r="I1160" s="62"/>
      <c r="J1160" s="62"/>
      <c r="K1160" s="62"/>
      <c r="L1160" s="62"/>
      <c r="M1160" s="63"/>
      <c r="N1160" s="84"/>
      <c r="O1160" s="84"/>
      <c r="P1160" s="84"/>
      <c r="Q1160" s="84"/>
      <c r="R1160" s="84"/>
      <c r="S1160" s="84"/>
      <c r="T1160" s="62"/>
      <c r="U1160" s="62"/>
      <c r="V1160" s="62"/>
      <c r="W1160" s="62"/>
      <c r="X1160" s="62"/>
      <c r="Y1160" s="63"/>
      <c r="Z1160" s="84"/>
      <c r="AA1160" s="84"/>
      <c r="AB1160" s="84"/>
      <c r="AC1160" s="84"/>
      <c r="AD1160" s="84"/>
      <c r="AE1160" s="84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4"/>
      <c r="C1161" s="84"/>
      <c r="D1161" s="84"/>
      <c r="E1161" s="84"/>
      <c r="F1161" s="84"/>
      <c r="G1161" s="84"/>
      <c r="H1161" s="62"/>
      <c r="I1161" s="62"/>
      <c r="J1161" s="62"/>
      <c r="K1161" s="62"/>
      <c r="L1161" s="62"/>
      <c r="M1161" s="62"/>
      <c r="N1161" s="84"/>
      <c r="O1161" s="84"/>
      <c r="P1161" s="84"/>
      <c r="Q1161" s="84"/>
      <c r="R1161" s="84"/>
      <c r="S1161" s="84"/>
      <c r="T1161" s="62"/>
      <c r="U1161" s="62"/>
      <c r="V1161" s="62"/>
      <c r="W1161" s="62"/>
      <c r="X1161" s="62"/>
      <c r="Y1161" s="62"/>
      <c r="Z1161" s="84"/>
      <c r="AA1161" s="84"/>
      <c r="AB1161" s="84"/>
      <c r="AC1161" s="84"/>
      <c r="AD1161" s="84"/>
      <c r="AE1161" s="84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4"/>
      <c r="C1162" s="84"/>
      <c r="D1162" s="84"/>
      <c r="E1162" s="84"/>
      <c r="F1162" s="84"/>
      <c r="G1162" s="84"/>
      <c r="H1162" s="62"/>
      <c r="I1162" s="84"/>
      <c r="J1162" s="74"/>
      <c r="K1162" s="62"/>
      <c r="L1162" s="62"/>
      <c r="M1162" s="62"/>
      <c r="N1162" s="84"/>
      <c r="O1162" s="84"/>
      <c r="P1162" s="84"/>
      <c r="Q1162" s="84"/>
      <c r="R1162" s="84"/>
      <c r="S1162" s="84"/>
      <c r="T1162" s="62"/>
      <c r="U1162" s="84"/>
      <c r="V1162" s="74"/>
      <c r="W1162" s="62"/>
      <c r="X1162" s="62"/>
      <c r="Y1162" s="62"/>
      <c r="Z1162" s="84"/>
      <c r="AA1162" s="84"/>
      <c r="AB1162" s="84"/>
      <c r="AC1162" s="84"/>
      <c r="AD1162" s="84"/>
      <c r="AE1162" s="84"/>
      <c r="AF1162" s="62"/>
      <c r="AG1162" s="84"/>
      <c r="AH1162" s="84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4"/>
      <c r="C1163" s="84"/>
      <c r="D1163" s="84"/>
      <c r="E1163" s="84"/>
      <c r="F1163" s="84"/>
      <c r="G1163" s="84"/>
      <c r="H1163" s="62"/>
      <c r="I1163" s="65"/>
      <c r="J1163" s="65"/>
      <c r="K1163" s="62"/>
      <c r="L1163" s="62"/>
      <c r="M1163" s="64"/>
      <c r="N1163" s="84"/>
      <c r="O1163" s="84"/>
      <c r="P1163" s="84"/>
      <c r="Q1163" s="84"/>
      <c r="R1163" s="84"/>
      <c r="S1163" s="84"/>
      <c r="T1163" s="62"/>
      <c r="U1163" s="65"/>
      <c r="V1163" s="65"/>
      <c r="W1163" s="62"/>
      <c r="X1163" s="62"/>
      <c r="Y1163" s="64"/>
      <c r="Z1163" s="84"/>
      <c r="AA1163" s="84"/>
      <c r="AB1163" s="84"/>
      <c r="AC1163" s="84"/>
      <c r="AD1163" s="84"/>
      <c r="AE1163" s="84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4"/>
      <c r="C1164" s="84"/>
      <c r="D1164" s="84"/>
      <c r="E1164" s="84"/>
      <c r="F1164" s="84"/>
      <c r="G1164" s="84"/>
      <c r="H1164" s="62"/>
      <c r="I1164" s="62"/>
      <c r="J1164" s="62"/>
      <c r="K1164" s="62"/>
      <c r="L1164" s="62"/>
      <c r="M1164" s="62"/>
      <c r="N1164" s="84"/>
      <c r="O1164" s="84"/>
      <c r="P1164" s="84"/>
      <c r="Q1164" s="84"/>
      <c r="R1164" s="84"/>
      <c r="S1164" s="84"/>
      <c r="T1164" s="62"/>
      <c r="U1164" s="62"/>
      <c r="V1164" s="62"/>
      <c r="W1164" s="62"/>
      <c r="X1164" s="62"/>
      <c r="Y1164" s="62"/>
      <c r="Z1164" s="84"/>
      <c r="AA1164" s="84"/>
      <c r="AB1164" s="84"/>
      <c r="AC1164" s="84"/>
      <c r="AD1164" s="84"/>
      <c r="AE1164" s="84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4"/>
      <c r="D1165" s="118"/>
      <c r="E1165" s="118"/>
      <c r="F1165" s="84"/>
      <c r="G1165" s="84"/>
      <c r="H1165" s="62"/>
      <c r="I1165" s="118"/>
      <c r="J1165" s="118"/>
      <c r="K1165" s="117"/>
      <c r="L1165" s="62"/>
      <c r="M1165" s="62"/>
      <c r="N1165" s="65"/>
      <c r="O1165" s="84"/>
      <c r="P1165" s="118"/>
      <c r="Q1165" s="118"/>
      <c r="R1165" s="84"/>
      <c r="S1165" s="84"/>
      <c r="T1165" s="62"/>
      <c r="U1165" s="118"/>
      <c r="V1165" s="118"/>
      <c r="W1165" s="117"/>
      <c r="X1165" s="62"/>
      <c r="Y1165" s="62"/>
      <c r="Z1165" s="65"/>
      <c r="AA1165" s="84"/>
      <c r="AB1165" s="118"/>
      <c r="AC1165" s="118"/>
      <c r="AD1165" s="84"/>
      <c r="AE1165" s="84"/>
      <c r="AF1165" s="62"/>
      <c r="AG1165" s="118"/>
      <c r="AH1165" s="118"/>
      <c r="AI1165" s="117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4"/>
      <c r="C1166" s="84"/>
      <c r="D1166" s="81"/>
      <c r="E1166" s="82"/>
      <c r="F1166" s="83"/>
      <c r="G1166" s="83"/>
      <c r="H1166" s="62"/>
      <c r="I1166" s="85"/>
      <c r="J1166" s="85"/>
      <c r="K1166" s="117"/>
      <c r="L1166" s="62"/>
      <c r="M1166" s="62"/>
      <c r="N1166" s="84"/>
      <c r="O1166" s="84"/>
      <c r="P1166" s="81"/>
      <c r="Q1166" s="83"/>
      <c r="R1166" s="83"/>
      <c r="S1166" s="83"/>
      <c r="T1166" s="62"/>
      <c r="U1166" s="85"/>
      <c r="V1166" s="85"/>
      <c r="W1166" s="117"/>
      <c r="X1166" s="62"/>
      <c r="Y1166" s="62"/>
      <c r="Z1166" s="84"/>
      <c r="AA1166" s="84"/>
      <c r="AB1166" s="81"/>
      <c r="AC1166" s="83"/>
      <c r="AD1166" s="83"/>
      <c r="AE1166" s="83"/>
      <c r="AF1166" s="62"/>
      <c r="AG1166" s="85"/>
      <c r="AH1166" s="85"/>
      <c r="AI1166" s="117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4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4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4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4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4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4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4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4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4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4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4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4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4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4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4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4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4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4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4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4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4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4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4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4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4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4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4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4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4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4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4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4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4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4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4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4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4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4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4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4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4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4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4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4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4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4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4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4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4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4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4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4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4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4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4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4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4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4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4"/>
      <c r="R1187" s="84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4"/>
      <c r="AD1187" s="84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4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4"/>
      <c r="P1188" s="68"/>
      <c r="Q1188" s="84"/>
      <c r="R1188" s="84"/>
      <c r="S1188" s="60"/>
      <c r="T1188" s="62"/>
      <c r="U1188" s="62"/>
      <c r="V1188" s="62"/>
      <c r="W1188" s="61"/>
      <c r="X1188" s="62"/>
      <c r="Y1188" s="62"/>
      <c r="Z1188" s="66"/>
      <c r="AA1188" s="84"/>
      <c r="AB1188" s="68"/>
      <c r="AC1188" s="84"/>
      <c r="AD1188" s="84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4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4"/>
      <c r="P1189" s="69"/>
      <c r="Q1189" s="84"/>
      <c r="R1189" s="84"/>
      <c r="S1189" s="60"/>
      <c r="T1189" s="62"/>
      <c r="U1189" s="62"/>
      <c r="V1189" s="62"/>
      <c r="W1189" s="61"/>
      <c r="X1189" s="62"/>
      <c r="Y1189" s="62"/>
      <c r="Z1189" s="66"/>
      <c r="AA1189" s="84"/>
      <c r="AB1189" s="69"/>
      <c r="AC1189" s="84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4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4"/>
      <c r="R1190" s="84"/>
      <c r="S1190" s="60"/>
      <c r="T1190" s="62"/>
      <c r="U1190" s="62"/>
      <c r="V1190" s="62"/>
      <c r="W1190" s="61"/>
      <c r="X1190" s="62"/>
      <c r="Y1190" s="62"/>
      <c r="Z1190" s="66"/>
      <c r="AA1190" s="84"/>
      <c r="AB1190" s="69"/>
      <c r="AC1190" s="84"/>
      <c r="AD1190" s="84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4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4"/>
      <c r="P1191" s="69"/>
      <c r="Q1191" s="84"/>
      <c r="R1191" s="84"/>
      <c r="S1191" s="60"/>
      <c r="T1191" s="62"/>
      <c r="U1191" s="62"/>
      <c r="V1191" s="62"/>
      <c r="W1191" s="61"/>
      <c r="X1191" s="62"/>
      <c r="Y1191" s="62"/>
      <c r="Z1191" s="66"/>
      <c r="AA1191" s="84"/>
      <c r="AB1191" s="69"/>
      <c r="AC1191" s="84"/>
      <c r="AD1191" s="84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4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4"/>
      <c r="P1192" s="69"/>
      <c r="Q1192" s="84"/>
      <c r="R1192" s="84"/>
      <c r="S1192" s="60"/>
      <c r="T1192" s="62"/>
      <c r="U1192" s="62"/>
      <c r="V1192" s="62"/>
      <c r="W1192" s="61"/>
      <c r="X1192" s="62"/>
      <c r="Y1192" s="62"/>
      <c r="Z1192" s="66"/>
      <c r="AA1192" s="84"/>
      <c r="AB1192" s="69"/>
      <c r="AC1192" s="84"/>
      <c r="AD1192" s="84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4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4"/>
      <c r="P1193" s="69"/>
      <c r="Q1193" s="84"/>
      <c r="R1193" s="84"/>
      <c r="S1193" s="60"/>
      <c r="T1193" s="62"/>
      <c r="U1193" s="62"/>
      <c r="V1193" s="62"/>
      <c r="W1193" s="61"/>
      <c r="X1193" s="62"/>
      <c r="Y1193" s="62"/>
      <c r="Z1193" s="66"/>
      <c r="AA1193" s="84"/>
      <c r="AB1193" s="69"/>
      <c r="AC1193" s="84"/>
      <c r="AD1193" s="84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4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4"/>
      <c r="P1194" s="69"/>
      <c r="Q1194" s="84"/>
      <c r="R1194" s="84"/>
      <c r="S1194" s="60"/>
      <c r="T1194" s="62"/>
      <c r="U1194" s="62"/>
      <c r="V1194" s="62"/>
      <c r="W1194" s="61"/>
      <c r="X1194" s="62"/>
      <c r="Y1194" s="62"/>
      <c r="Z1194" s="66"/>
      <c r="AA1194" s="84"/>
      <c r="AB1194" s="69"/>
      <c r="AC1194" s="84"/>
      <c r="AD1194" s="84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4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4"/>
      <c r="P1195" s="69"/>
      <c r="Q1195" s="84"/>
      <c r="R1195" s="84"/>
      <c r="S1195" s="60"/>
      <c r="T1195" s="62"/>
      <c r="U1195" s="62"/>
      <c r="V1195" s="62"/>
      <c r="W1195" s="61"/>
      <c r="X1195" s="62"/>
      <c r="Y1195" s="62"/>
      <c r="Z1195" s="66"/>
      <c r="AA1195" s="84"/>
      <c r="AB1195" s="69"/>
      <c r="AC1195" s="84"/>
      <c r="AD1195" s="84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4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4"/>
      <c r="P1196" s="69"/>
      <c r="Q1196" s="84"/>
      <c r="R1196" s="84"/>
      <c r="S1196" s="60"/>
      <c r="T1196" s="62"/>
      <c r="U1196" s="62"/>
      <c r="V1196" s="62"/>
      <c r="W1196" s="61"/>
      <c r="X1196" s="62"/>
      <c r="Y1196" s="62"/>
      <c r="Z1196" s="66"/>
      <c r="AA1196" s="84"/>
      <c r="AB1196" s="69"/>
      <c r="AC1196" s="84"/>
      <c r="AD1196" s="84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4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4"/>
      <c r="P1197" s="69"/>
      <c r="Q1197" s="84"/>
      <c r="R1197" s="84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4"/>
      <c r="AD1197" s="84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4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4"/>
      <c r="P1198" s="69"/>
      <c r="Q1198" s="84"/>
      <c r="R1198" s="84"/>
      <c r="S1198" s="60"/>
      <c r="T1198" s="62"/>
      <c r="U1198" s="62"/>
      <c r="V1198" s="62"/>
      <c r="W1198" s="61"/>
      <c r="X1198" s="62"/>
      <c r="Y1198" s="62"/>
      <c r="Z1198" s="66"/>
      <c r="AA1198" s="84"/>
      <c r="AB1198" s="69"/>
      <c r="AC1198" s="84"/>
      <c r="AD1198" s="84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4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4"/>
      <c r="P1199" s="69"/>
      <c r="Q1199" s="84"/>
      <c r="R1199" s="84"/>
      <c r="S1199" s="60"/>
      <c r="T1199" s="62"/>
      <c r="U1199" s="62"/>
      <c r="V1199" s="62"/>
      <c r="W1199" s="61"/>
      <c r="X1199" s="62"/>
      <c r="Y1199" s="62"/>
      <c r="Z1199" s="66"/>
      <c r="AA1199" s="84"/>
      <c r="AB1199" s="69"/>
      <c r="AC1199" s="84"/>
      <c r="AD1199" s="84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4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4"/>
      <c r="P1200" s="69"/>
      <c r="Q1200" s="84"/>
      <c r="R1200" s="84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4"/>
      <c r="AD1200" s="84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4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4"/>
      <c r="P1201" s="69"/>
      <c r="Q1201" s="84"/>
      <c r="R1201" s="84"/>
      <c r="S1201" s="60"/>
      <c r="T1201" s="62"/>
      <c r="U1201" s="62"/>
      <c r="V1201" s="62"/>
      <c r="W1201" s="61"/>
      <c r="X1201" s="62"/>
      <c r="Y1201" s="62"/>
      <c r="Z1201" s="66"/>
      <c r="AA1201" s="84"/>
      <c r="AB1201" s="69"/>
      <c r="AC1201" s="84"/>
      <c r="AD1201" s="84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4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4"/>
      <c r="P1202" s="69"/>
      <c r="Q1202" s="84"/>
      <c r="R1202" s="84"/>
      <c r="S1202" s="60"/>
      <c r="T1202" s="62"/>
      <c r="U1202" s="62"/>
      <c r="V1202" s="62"/>
      <c r="W1202" s="61"/>
      <c r="X1202" s="62"/>
      <c r="Y1202" s="62"/>
      <c r="Z1202" s="66"/>
      <c r="AA1202" s="84"/>
      <c r="AB1202" s="69"/>
      <c r="AC1202" s="84"/>
      <c r="AD1202" s="84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4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4"/>
      <c r="R1203" s="84"/>
      <c r="S1203" s="60"/>
      <c r="T1203" s="62"/>
      <c r="U1203" s="62"/>
      <c r="V1203" s="62"/>
      <c r="W1203" s="61"/>
      <c r="X1203" s="62"/>
      <c r="Y1203" s="62"/>
      <c r="Z1203" s="66"/>
      <c r="AA1203" s="84"/>
      <c r="AB1203" s="69"/>
      <c r="AC1203" s="84"/>
      <c r="AD1203" s="84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4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4"/>
      <c r="P1204" s="69"/>
      <c r="Q1204" s="84"/>
      <c r="R1204" s="84"/>
      <c r="S1204" s="60"/>
      <c r="T1204" s="62"/>
      <c r="U1204" s="62"/>
      <c r="V1204" s="62"/>
      <c r="W1204" s="61"/>
      <c r="X1204" s="62"/>
      <c r="Y1204" s="62"/>
      <c r="Z1204" s="66"/>
      <c r="AA1204" s="84"/>
      <c r="AB1204" s="69"/>
      <c r="AC1204" s="84"/>
      <c r="AD1204" s="84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4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4"/>
      <c r="P1205" s="69"/>
      <c r="Q1205" s="84"/>
      <c r="R1205" s="84"/>
      <c r="S1205" s="60"/>
      <c r="T1205" s="62"/>
      <c r="U1205" s="62"/>
      <c r="V1205" s="62"/>
      <c r="W1205" s="61"/>
      <c r="X1205" s="62"/>
      <c r="Y1205" s="62"/>
      <c r="Z1205" s="66"/>
      <c r="AA1205" s="84"/>
      <c r="AB1205" s="69"/>
      <c r="AC1205" s="84"/>
      <c r="AD1205" s="84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4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4"/>
      <c r="R1206" s="84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4"/>
      <c r="AD1206" s="84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4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4"/>
      <c r="P1207" s="69"/>
      <c r="Q1207" s="84"/>
      <c r="R1207" s="84"/>
      <c r="S1207" s="60"/>
      <c r="T1207" s="62"/>
      <c r="U1207" s="62"/>
      <c r="V1207" s="62"/>
      <c r="W1207" s="61"/>
      <c r="X1207" s="62"/>
      <c r="Y1207" s="62"/>
      <c r="Z1207" s="66"/>
      <c r="AA1207" s="84"/>
      <c r="AB1207" s="69"/>
      <c r="AC1207" s="84"/>
      <c r="AD1207" s="84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4"/>
      <c r="O1208" s="84"/>
      <c r="P1208" s="84"/>
      <c r="Q1208" s="84"/>
      <c r="R1208" s="84"/>
      <c r="S1208" s="84"/>
      <c r="T1208" s="62"/>
      <c r="U1208" s="62"/>
      <c r="V1208" s="62"/>
      <c r="W1208" s="61"/>
      <c r="X1208" s="62"/>
      <c r="Y1208" s="62"/>
      <c r="Z1208" s="84"/>
      <c r="AA1208" s="84"/>
      <c r="AB1208" s="84"/>
      <c r="AC1208" s="84"/>
      <c r="AD1208" s="84"/>
      <c r="AE1208" s="84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4"/>
      <c r="C1209" s="84"/>
      <c r="D1209" s="84"/>
      <c r="E1209" s="84"/>
      <c r="F1209" s="84"/>
      <c r="G1209" s="84"/>
      <c r="H1209" s="62"/>
      <c r="I1209" s="62"/>
      <c r="J1209" s="62"/>
      <c r="K1209" s="62"/>
      <c r="L1209" s="62"/>
      <c r="M1209" s="62"/>
      <c r="N1209" s="84"/>
      <c r="O1209" s="84"/>
      <c r="P1209" s="84"/>
      <c r="Q1209" s="84"/>
      <c r="R1209" s="84"/>
      <c r="S1209" s="84"/>
      <c r="T1209" s="62"/>
      <c r="U1209" s="62"/>
      <c r="V1209" s="62"/>
      <c r="W1209" s="62"/>
      <c r="X1209" s="62"/>
      <c r="Y1209" s="62"/>
      <c r="Z1209" s="84"/>
      <c r="AA1209" s="84"/>
      <c r="AB1209" s="84"/>
      <c r="AC1209" s="84"/>
      <c r="AD1209" s="84"/>
      <c r="AE1209" s="84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4"/>
      <c r="C1210" s="84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4"/>
      <c r="O1210" s="84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4"/>
      <c r="AA1210" s="84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4"/>
      <c r="C1213" s="84"/>
      <c r="D1213" s="84"/>
      <c r="E1213" s="84"/>
      <c r="F1213" s="84"/>
      <c r="G1213" s="84"/>
      <c r="H1213" s="62"/>
      <c r="I1213" s="62"/>
      <c r="J1213" s="62"/>
      <c r="K1213" s="62"/>
      <c r="L1213" s="62"/>
      <c r="M1213" s="62"/>
      <c r="N1213" s="84"/>
      <c r="O1213" s="84"/>
      <c r="P1213" s="84"/>
      <c r="Q1213" s="84"/>
      <c r="R1213" s="84"/>
      <c r="S1213" s="84"/>
      <c r="T1213" s="62"/>
      <c r="U1213" s="62"/>
      <c r="V1213" s="62"/>
      <c r="W1213" s="62"/>
      <c r="X1213" s="62"/>
      <c r="Y1213" s="62"/>
      <c r="Z1213" s="84"/>
      <c r="AA1213" s="84"/>
      <c r="AB1213" s="84"/>
      <c r="AC1213" s="84"/>
      <c r="AD1213" s="84"/>
      <c r="AE1213" s="84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4"/>
      <c r="C1214" s="84"/>
      <c r="D1214" s="84"/>
      <c r="E1214" s="84"/>
      <c r="F1214" s="84"/>
      <c r="G1214" s="84"/>
      <c r="H1214" s="62"/>
      <c r="I1214" s="62"/>
      <c r="J1214" s="62"/>
      <c r="K1214" s="62"/>
      <c r="L1214" s="62"/>
      <c r="M1214" s="62"/>
      <c r="N1214" s="84"/>
      <c r="O1214" s="84"/>
      <c r="P1214" s="84"/>
      <c r="Q1214" s="84"/>
      <c r="R1214" s="84"/>
      <c r="S1214" s="84"/>
      <c r="T1214" s="62"/>
      <c r="U1214" s="62"/>
      <c r="V1214" s="62"/>
      <c r="W1214" s="62"/>
      <c r="X1214" s="62"/>
      <c r="Y1214" s="62"/>
      <c r="Z1214" s="84"/>
      <c r="AA1214" s="84"/>
      <c r="AB1214" s="84"/>
      <c r="AC1214" s="84"/>
      <c r="AD1214" s="84"/>
      <c r="AE1214" s="84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4"/>
      <c r="C1215" s="84"/>
      <c r="D1215" s="84"/>
      <c r="E1215" s="84"/>
      <c r="F1215" s="84"/>
      <c r="G1215" s="84"/>
      <c r="H1215" s="62"/>
      <c r="I1215" s="62"/>
      <c r="J1215" s="62"/>
      <c r="K1215" s="62"/>
      <c r="L1215" s="62"/>
      <c r="M1215" s="62"/>
      <c r="N1215" s="84"/>
      <c r="O1215" s="84"/>
      <c r="P1215" s="84"/>
      <c r="Q1215" s="84"/>
      <c r="R1215" s="84"/>
      <c r="S1215" s="84"/>
      <c r="T1215" s="62"/>
      <c r="U1215" s="62"/>
      <c r="V1215" s="62"/>
      <c r="W1215" s="62"/>
      <c r="X1215" s="62"/>
      <c r="Y1215" s="62"/>
      <c r="Z1215" s="84"/>
      <c r="AA1215" s="84"/>
      <c r="AB1215" s="84"/>
      <c r="AC1215" s="84"/>
      <c r="AD1215" s="84"/>
      <c r="AE1215" s="84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4"/>
      <c r="C1216" s="84"/>
      <c r="D1216" s="84"/>
      <c r="E1216" s="84"/>
      <c r="F1216" s="84"/>
      <c r="G1216" s="84"/>
      <c r="H1216" s="62"/>
      <c r="I1216" s="62"/>
      <c r="J1216" s="62"/>
      <c r="K1216" s="62"/>
      <c r="L1216" s="62"/>
      <c r="M1216" s="63"/>
      <c r="N1216" s="84"/>
      <c r="O1216" s="84"/>
      <c r="P1216" s="84"/>
      <c r="Q1216" s="84"/>
      <c r="R1216" s="84"/>
      <c r="S1216" s="84"/>
      <c r="T1216" s="62"/>
      <c r="U1216" s="62"/>
      <c r="V1216" s="62"/>
      <c r="W1216" s="62"/>
      <c r="X1216" s="62"/>
      <c r="Y1216" s="63"/>
      <c r="Z1216" s="84"/>
      <c r="AA1216" s="84"/>
      <c r="AB1216" s="84"/>
      <c r="AC1216" s="84"/>
      <c r="AD1216" s="84"/>
      <c r="AE1216" s="84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4"/>
      <c r="C1217" s="84"/>
      <c r="D1217" s="84"/>
      <c r="E1217" s="84"/>
      <c r="F1217" s="84"/>
      <c r="G1217" s="84"/>
      <c r="H1217" s="62"/>
      <c r="I1217" s="62"/>
      <c r="J1217" s="62"/>
      <c r="K1217" s="62"/>
      <c r="L1217" s="62"/>
      <c r="M1217" s="62"/>
      <c r="N1217" s="84"/>
      <c r="O1217" s="84"/>
      <c r="P1217" s="84"/>
      <c r="Q1217" s="84"/>
      <c r="R1217" s="84"/>
      <c r="S1217" s="84"/>
      <c r="T1217" s="62"/>
      <c r="U1217" s="62"/>
      <c r="V1217" s="62"/>
      <c r="W1217" s="62"/>
      <c r="X1217" s="62"/>
      <c r="Y1217" s="62"/>
      <c r="Z1217" s="84"/>
      <c r="AA1217" s="84"/>
      <c r="AB1217" s="84"/>
      <c r="AC1217" s="84"/>
      <c r="AD1217" s="84"/>
      <c r="AE1217" s="84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4"/>
      <c r="C1218" s="84"/>
      <c r="D1218" s="84"/>
      <c r="E1218" s="84"/>
      <c r="F1218" s="84"/>
      <c r="G1218" s="84"/>
      <c r="H1218" s="62"/>
      <c r="I1218" s="84"/>
      <c r="J1218" s="74"/>
      <c r="K1218" s="62"/>
      <c r="L1218" s="62"/>
      <c r="M1218" s="62"/>
      <c r="N1218" s="84"/>
      <c r="O1218" s="84"/>
      <c r="P1218" s="84"/>
      <c r="Q1218" s="84"/>
      <c r="R1218" s="84"/>
      <c r="S1218" s="84"/>
      <c r="T1218" s="62"/>
      <c r="U1218" s="84"/>
      <c r="V1218" s="74"/>
      <c r="W1218" s="62"/>
      <c r="X1218" s="62"/>
      <c r="Y1218" s="62"/>
      <c r="Z1218" s="84"/>
      <c r="AA1218" s="84"/>
      <c r="AB1218" s="84"/>
      <c r="AC1218" s="84"/>
      <c r="AD1218" s="84"/>
      <c r="AE1218" s="84"/>
      <c r="AF1218" s="62"/>
      <c r="AG1218" s="84"/>
      <c r="AH1218" s="84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4"/>
      <c r="C1219" s="84"/>
      <c r="D1219" s="84"/>
      <c r="E1219" s="84"/>
      <c r="F1219" s="84"/>
      <c r="G1219" s="84"/>
      <c r="H1219" s="62"/>
      <c r="I1219" s="65"/>
      <c r="J1219" s="65"/>
      <c r="K1219" s="62"/>
      <c r="L1219" s="62"/>
      <c r="M1219" s="64"/>
      <c r="N1219" s="84"/>
      <c r="O1219" s="84"/>
      <c r="P1219" s="84"/>
      <c r="Q1219" s="84"/>
      <c r="R1219" s="84"/>
      <c r="S1219" s="84"/>
      <c r="T1219" s="62"/>
      <c r="U1219" s="65"/>
      <c r="V1219" s="65"/>
      <c r="W1219" s="62"/>
      <c r="X1219" s="62"/>
      <c r="Y1219" s="64"/>
      <c r="Z1219" s="84"/>
      <c r="AA1219" s="84"/>
      <c r="AB1219" s="84"/>
      <c r="AC1219" s="84"/>
      <c r="AD1219" s="84"/>
      <c r="AE1219" s="84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4"/>
      <c r="C1220" s="84"/>
      <c r="D1220" s="84"/>
      <c r="E1220" s="84"/>
      <c r="F1220" s="84"/>
      <c r="G1220" s="84"/>
      <c r="H1220" s="62"/>
      <c r="I1220" s="62"/>
      <c r="J1220" s="62"/>
      <c r="K1220" s="62"/>
      <c r="L1220" s="62"/>
      <c r="M1220" s="62"/>
      <c r="N1220" s="84"/>
      <c r="O1220" s="84"/>
      <c r="P1220" s="84"/>
      <c r="Q1220" s="84"/>
      <c r="R1220" s="84"/>
      <c r="S1220" s="84"/>
      <c r="T1220" s="62"/>
      <c r="U1220" s="62"/>
      <c r="V1220" s="62"/>
      <c r="W1220" s="62"/>
      <c r="X1220" s="62"/>
      <c r="Y1220" s="62"/>
      <c r="Z1220" s="84"/>
      <c r="AA1220" s="84"/>
      <c r="AB1220" s="84"/>
      <c r="AC1220" s="84"/>
      <c r="AD1220" s="84"/>
      <c r="AE1220" s="84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4"/>
      <c r="D1221" s="118"/>
      <c r="E1221" s="118"/>
      <c r="F1221" s="84"/>
      <c r="G1221" s="84"/>
      <c r="H1221" s="62"/>
      <c r="I1221" s="118"/>
      <c r="J1221" s="118"/>
      <c r="K1221" s="117"/>
      <c r="L1221" s="62"/>
      <c r="M1221" s="62"/>
      <c r="N1221" s="65"/>
      <c r="O1221" s="84"/>
      <c r="P1221" s="118"/>
      <c r="Q1221" s="118"/>
      <c r="R1221" s="84"/>
      <c r="S1221" s="84"/>
      <c r="T1221" s="62"/>
      <c r="U1221" s="118"/>
      <c r="V1221" s="118"/>
      <c r="W1221" s="117"/>
      <c r="X1221" s="62"/>
      <c r="Y1221" s="62"/>
      <c r="Z1221" s="65"/>
      <c r="AA1221" s="84"/>
      <c r="AB1221" s="118"/>
      <c r="AC1221" s="118"/>
      <c r="AD1221" s="84"/>
      <c r="AE1221" s="84"/>
      <c r="AF1221" s="62"/>
      <c r="AG1221" s="118"/>
      <c r="AH1221" s="118"/>
      <c r="AI1221" s="117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4"/>
      <c r="C1222" s="84"/>
      <c r="D1222" s="81"/>
      <c r="E1222" s="82"/>
      <c r="F1222" s="83"/>
      <c r="G1222" s="83"/>
      <c r="H1222" s="62"/>
      <c r="I1222" s="85"/>
      <c r="J1222" s="85"/>
      <c r="K1222" s="117"/>
      <c r="L1222" s="62"/>
      <c r="M1222" s="62"/>
      <c r="N1222" s="84"/>
      <c r="O1222" s="84"/>
      <c r="P1222" s="81"/>
      <c r="Q1222" s="83"/>
      <c r="R1222" s="83"/>
      <c r="S1222" s="83"/>
      <c r="T1222" s="62"/>
      <c r="U1222" s="85"/>
      <c r="V1222" s="85"/>
      <c r="W1222" s="117"/>
      <c r="X1222" s="62"/>
      <c r="Y1222" s="62"/>
      <c r="Z1222" s="84"/>
      <c r="AA1222" s="84"/>
      <c r="AB1222" s="81"/>
      <c r="AC1222" s="82"/>
      <c r="AD1222" s="83"/>
      <c r="AE1222" s="83"/>
      <c r="AF1222" s="62"/>
      <c r="AG1222" s="85"/>
      <c r="AH1222" s="85"/>
      <c r="AI1222" s="117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4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4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4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4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4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4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4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4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4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4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4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4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4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4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4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4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4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4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4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4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4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4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4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4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4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4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4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4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4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4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4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4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4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4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4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4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4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4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4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4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4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4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4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4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4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4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4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4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4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4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4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4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4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4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4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4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4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4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4"/>
      <c r="P1243" s="67"/>
      <c r="Q1243" s="84"/>
      <c r="R1243" s="84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4"/>
      <c r="P1244" s="68"/>
      <c r="Q1244" s="84"/>
      <c r="R1244" s="84"/>
      <c r="S1244" s="60"/>
      <c r="T1244" s="62"/>
      <c r="U1244" s="62"/>
      <c r="V1244" s="62"/>
      <c r="W1244" s="61"/>
      <c r="X1244" s="62"/>
      <c r="Y1244" s="62"/>
      <c r="Z1244" s="66"/>
      <c r="AA1244" s="84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4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4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4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4"/>
      <c r="P1246" s="69"/>
      <c r="Q1246" s="84"/>
      <c r="R1246" s="84"/>
      <c r="S1246" s="60"/>
      <c r="T1246" s="62"/>
      <c r="U1246" s="62"/>
      <c r="V1246" s="62"/>
      <c r="W1246" s="61"/>
      <c r="X1246" s="62"/>
      <c r="Y1246" s="62"/>
      <c r="Z1246" s="66"/>
      <c r="AA1246" s="84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4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4"/>
      <c r="P1247" s="69"/>
      <c r="Q1247" s="84"/>
      <c r="R1247" s="84"/>
      <c r="S1247" s="60"/>
      <c r="T1247" s="62"/>
      <c r="U1247" s="62"/>
      <c r="V1247" s="62"/>
      <c r="W1247" s="61"/>
      <c r="X1247" s="62"/>
      <c r="Y1247" s="62"/>
      <c r="Z1247" s="66"/>
      <c r="AA1247" s="84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4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4"/>
      <c r="P1248" s="69"/>
      <c r="Q1248" s="84"/>
      <c r="R1248" s="84"/>
      <c r="S1248" s="60"/>
      <c r="T1248" s="62"/>
      <c r="U1248" s="62"/>
      <c r="V1248" s="62"/>
      <c r="W1248" s="61"/>
      <c r="X1248" s="62"/>
      <c r="Y1248" s="62"/>
      <c r="Z1248" s="66"/>
      <c r="AA1248" s="84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4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4"/>
      <c r="P1249" s="69"/>
      <c r="Q1249" s="84"/>
      <c r="R1249" s="84"/>
      <c r="S1249" s="60"/>
      <c r="T1249" s="62"/>
      <c r="U1249" s="62"/>
      <c r="V1249" s="62"/>
      <c r="W1249" s="61"/>
      <c r="X1249" s="62"/>
      <c r="Y1249" s="62"/>
      <c r="Z1249" s="66"/>
      <c r="AA1249" s="84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4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4"/>
      <c r="P1250" s="69"/>
      <c r="Q1250" s="84"/>
      <c r="R1250" s="84"/>
      <c r="S1250" s="60"/>
      <c r="T1250" s="62"/>
      <c r="U1250" s="62"/>
      <c r="V1250" s="62"/>
      <c r="W1250" s="61"/>
      <c r="X1250" s="62"/>
      <c r="Y1250" s="62"/>
      <c r="Z1250" s="66"/>
      <c r="AA1250" s="84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4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4"/>
      <c r="P1251" s="69"/>
      <c r="Q1251" s="84"/>
      <c r="R1251" s="84"/>
      <c r="S1251" s="60"/>
      <c r="T1251" s="62"/>
      <c r="U1251" s="62"/>
      <c r="V1251" s="62"/>
      <c r="W1251" s="61"/>
      <c r="X1251" s="62"/>
      <c r="Y1251" s="62"/>
      <c r="Z1251" s="66"/>
      <c r="AA1251" s="84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4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4"/>
      <c r="P1252" s="69"/>
      <c r="Q1252" s="84"/>
      <c r="R1252" s="84"/>
      <c r="S1252" s="60"/>
      <c r="T1252" s="62"/>
      <c r="U1252" s="62"/>
      <c r="V1252" s="62"/>
      <c r="W1252" s="61"/>
      <c r="X1252" s="62"/>
      <c r="Y1252" s="62"/>
      <c r="Z1252" s="66"/>
      <c r="AA1252" s="84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4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4"/>
      <c r="R1253" s="84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4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4"/>
      <c r="P1254" s="69"/>
      <c r="Q1254" s="84"/>
      <c r="R1254" s="84"/>
      <c r="S1254" s="60"/>
      <c r="T1254" s="62"/>
      <c r="U1254" s="62"/>
      <c r="V1254" s="62"/>
      <c r="W1254" s="61"/>
      <c r="X1254" s="62"/>
      <c r="Y1254" s="62"/>
      <c r="Z1254" s="66"/>
      <c r="AA1254" s="84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4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4"/>
      <c r="P1255" s="69"/>
      <c r="Q1255" s="84"/>
      <c r="R1255" s="84"/>
      <c r="S1255" s="60"/>
      <c r="T1255" s="62"/>
      <c r="U1255" s="62"/>
      <c r="V1255" s="62"/>
      <c r="W1255" s="61"/>
      <c r="X1255" s="62"/>
      <c r="Y1255" s="62"/>
      <c r="Z1255" s="66"/>
      <c r="AA1255" s="84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4"/>
      <c r="P1256" s="69"/>
      <c r="Q1256" s="84"/>
      <c r="R1256" s="84"/>
      <c r="S1256" s="60"/>
      <c r="T1256" s="62"/>
      <c r="U1256" s="62"/>
      <c r="V1256" s="62"/>
      <c r="W1256" s="61"/>
      <c r="X1256" s="62"/>
      <c r="Y1256" s="62"/>
      <c r="Z1256" s="66"/>
      <c r="AA1256" s="84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4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4"/>
      <c r="P1257" s="69"/>
      <c r="Q1257" s="84"/>
      <c r="R1257" s="84"/>
      <c r="S1257" s="60"/>
      <c r="T1257" s="62"/>
      <c r="U1257" s="62"/>
      <c r="V1257" s="62"/>
      <c r="W1257" s="61"/>
      <c r="X1257" s="62"/>
      <c r="Y1257" s="62"/>
      <c r="Z1257" s="66"/>
      <c r="AA1257" s="84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4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4"/>
      <c r="P1258" s="69"/>
      <c r="Q1258" s="84"/>
      <c r="R1258" s="84"/>
      <c r="S1258" s="60"/>
      <c r="T1258" s="62"/>
      <c r="U1258" s="62"/>
      <c r="V1258" s="62"/>
      <c r="W1258" s="61"/>
      <c r="X1258" s="62"/>
      <c r="Y1258" s="62"/>
      <c r="Z1258" s="66"/>
      <c r="AA1258" s="84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18"/>
      <c r="E1283" s="118"/>
      <c r="F1283" s="84"/>
      <c r="G1283" s="84"/>
      <c r="H1283" s="62"/>
      <c r="I1283" s="118"/>
      <c r="J1283" s="118"/>
      <c r="K1283" s="117"/>
      <c r="L1283" s="62"/>
      <c r="M1283" s="62"/>
      <c r="N1283" s="65"/>
      <c r="O1283" s="84"/>
      <c r="P1283" s="118"/>
      <c r="Q1283" s="118"/>
      <c r="R1283" s="84"/>
      <c r="S1283" s="84"/>
      <c r="T1283" s="62"/>
      <c r="U1283" s="118"/>
      <c r="V1283" s="118"/>
      <c r="W1283" s="117"/>
      <c r="X1283" s="62"/>
      <c r="Y1283" s="62"/>
      <c r="Z1283" s="65"/>
      <c r="AA1283" s="84"/>
      <c r="AB1283" s="118"/>
      <c r="AC1283" s="118"/>
      <c r="AD1283" s="84"/>
      <c r="AE1283" s="84"/>
      <c r="AF1283" s="62"/>
      <c r="AG1283" s="118"/>
      <c r="AH1283" s="118"/>
      <c r="AI1283" s="117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17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17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17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2025-09-26T02:06:03Z</dcterms:modified>
</cp:coreProperties>
</file>