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drawings/drawing39.xml" ContentType="application/vnd.openxmlformats-officedocument.drawing+xml"/>
  <Override PartName="/xl/drawings/drawing40.xml" ContentType="application/vnd.openxmlformats-officedocument.drawing+xml"/>
  <Override PartName="/xl/drawings/drawing41.xml" ContentType="application/vnd.openxmlformats-officedocument.drawing+xml"/>
  <Override PartName="/xl/drawings/drawing42.xml" ContentType="application/vnd.openxmlformats-officedocument.drawing+xml"/>
  <Override PartName="/xl/drawings/drawing43.xml" ContentType="application/vnd.openxmlformats-officedocument.drawing+xml"/>
  <Override PartName="/xl/drawings/drawing44.xml" ContentType="application/vnd.openxmlformats-officedocument.drawing+xml"/>
  <Override PartName="/xl/drawings/drawing45.xml" ContentType="application/vnd.openxmlformats-officedocument.drawing+xml"/>
  <Override PartName="/xl/drawings/drawing46.xml" ContentType="application/vnd.openxmlformats-officedocument.drawing+xml"/>
  <Override PartName="/xl/drawings/drawing47.xml" ContentType="application/vnd.openxmlformats-officedocument.drawing+xml"/>
  <Override PartName="/xl/drawings/drawing48.xml" ContentType="application/vnd.openxmlformats-officedocument.drawing+xml"/>
  <Override PartName="/xl/drawings/drawing49.xml" ContentType="application/vnd.openxmlformats-officedocument.drawing+xml"/>
  <Override PartName="/xl/drawings/drawing50.xml" ContentType="application/vnd.openxmlformats-officedocument.drawing+xml"/>
  <Override PartName="/xl/drawings/drawing51.xml" ContentType="application/vnd.openxmlformats-officedocument.drawing+xml"/>
  <Override PartName="/xl/drawings/drawing52.xml" ContentType="application/vnd.openxmlformats-officedocument.drawing+xml"/>
  <Override PartName="/xl/drawings/drawing53.xml" ContentType="application/vnd.openxmlformats-officedocument.drawing+xml"/>
  <Override PartName="/xl/drawings/drawing54.xml" ContentType="application/vnd.openxmlformats-officedocument.drawing+xml"/>
  <Override PartName="/xl/drawings/drawing55.xml" ContentType="application/vnd.openxmlformats-officedocument.drawing+xml"/>
  <Override PartName="/xl/drawings/drawing56.xml" ContentType="application/vnd.openxmlformats-officedocument.drawing+xml"/>
  <Override PartName="/xl/drawings/drawing57.xml" ContentType="application/vnd.openxmlformats-officedocument.drawing+xml"/>
  <Override PartName="/xl/drawings/drawing58.xml" ContentType="application/vnd.openxmlformats-officedocument.drawing+xml"/>
  <Override PartName="/xl/drawings/drawing59.xml" ContentType="application/vnd.openxmlformats-officedocument.drawing+xml"/>
  <Override PartName="/xl/drawings/drawing60.xml" ContentType="application/vnd.openxmlformats-officedocument.drawing+xml"/>
  <Override PartName="/xl/drawings/drawing61.xml" ContentType="application/vnd.openxmlformats-officedocument.drawing+xml"/>
  <Override PartName="/xl/drawings/drawing62.xml" ContentType="application/vnd.openxmlformats-officedocument.drawing+xml"/>
  <Override PartName="/xl/drawings/drawing63.xml" ContentType="application/vnd.openxmlformats-officedocument.drawing+xml"/>
  <Override PartName="/xl/drawings/drawing64.xml" ContentType="application/vnd.openxmlformats-officedocument.drawing+xml"/>
  <Override PartName="/xl/drawings/drawing65.xml" ContentType="application/vnd.openxmlformats-officedocument.drawing+xml"/>
  <Override PartName="/xl/drawings/drawing66.xml" ContentType="application/vnd.openxmlformats-officedocument.drawing+xml"/>
  <Override PartName="/xl/drawings/drawing6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GBDS MAY FILES 2025\"/>
    </mc:Choice>
  </mc:AlternateContent>
  <xr:revisionPtr revIDLastSave="0" documentId="13_ncr:1_{D3717164-D454-4594-9BAA-24C92E29FACA}" xr6:coauthVersionLast="45" xr6:coauthVersionMax="45" xr10:uidLastSave="{00000000-0000-0000-0000-000000000000}"/>
  <bookViews>
    <workbookView xWindow="-120" yWindow="-120" windowWidth="29040" windowHeight="15840" firstSheet="77" activeTab="84" xr2:uid="{00000000-000D-0000-FFFF-FFFF00000000}"/>
  </bookViews>
  <sheets>
    <sheet name="(May 2025)" sheetId="814" r:id="rId1"/>
    <sheet name="(1)" sheetId="818" r:id="rId2"/>
    <sheet name="1,05 R1" sheetId="815" r:id="rId3"/>
    <sheet name="1,05 R2" sheetId="816" r:id="rId4"/>
    <sheet name="1,05 R3" sheetId="817" r:id="rId5"/>
    <sheet name="(2)" sheetId="819" r:id="rId6"/>
    <sheet name="2,05 R1" sheetId="820" r:id="rId7"/>
    <sheet name="2,05 R2" sheetId="821" r:id="rId8"/>
    <sheet name="2,05 R3" sheetId="822" r:id="rId9"/>
    <sheet name="(3)" sheetId="823" r:id="rId10"/>
    <sheet name="3,05 R1" sheetId="824" r:id="rId11"/>
    <sheet name="3,05 R2" sheetId="825" r:id="rId12"/>
    <sheet name="3,05 R3" sheetId="826" r:id="rId13"/>
    <sheet name="(5)" sheetId="827" r:id="rId14"/>
    <sheet name="5,05 R1" sheetId="828" r:id="rId15"/>
    <sheet name="5,05 R2" sheetId="829" r:id="rId16"/>
    <sheet name="5,05 R3" sheetId="830" r:id="rId17"/>
    <sheet name="(6)" sheetId="832" r:id="rId18"/>
    <sheet name="6,05 R1" sheetId="833" r:id="rId19"/>
    <sheet name="6,05 R2" sheetId="834" r:id="rId20"/>
    <sheet name="6,05 R3" sheetId="835" r:id="rId21"/>
    <sheet name="(7)" sheetId="836" r:id="rId22"/>
    <sheet name="7,05 R1" sheetId="837" r:id="rId23"/>
    <sheet name="7,05 R2" sheetId="838" r:id="rId24"/>
    <sheet name="7,05 R3" sheetId="839" r:id="rId25"/>
    <sheet name="(8)" sheetId="840" r:id="rId26"/>
    <sheet name="8,05 R1" sheetId="841" r:id="rId27"/>
    <sheet name="8,05 R2" sheetId="842" r:id="rId28"/>
    <sheet name="8,05 R3" sheetId="843" r:id="rId29"/>
    <sheet name="(9)" sheetId="844" r:id="rId30"/>
    <sheet name="9,05 R1" sheetId="845" r:id="rId31"/>
    <sheet name="9,05 R2" sheetId="846" r:id="rId32"/>
    <sheet name="9,05 R3" sheetId="847" r:id="rId33"/>
    <sheet name="(10)" sheetId="848" r:id="rId34"/>
    <sheet name="10,05 R1" sheetId="849" r:id="rId35"/>
    <sheet name="10,05 R2" sheetId="850" r:id="rId36"/>
    <sheet name="10,05 R3" sheetId="851" r:id="rId37"/>
    <sheet name="(13)" sheetId="852" r:id="rId38"/>
    <sheet name="13,05 R1" sheetId="853" r:id="rId39"/>
    <sheet name="13,05 R2" sheetId="854" r:id="rId40"/>
    <sheet name="13,05 R3" sheetId="855" r:id="rId41"/>
    <sheet name="(14)" sheetId="856" r:id="rId42"/>
    <sheet name="14,05 R1" sheetId="857" r:id="rId43"/>
    <sheet name="14,05 R2" sheetId="858" r:id="rId44"/>
    <sheet name="14,05 R3 a" sheetId="859" r:id="rId45"/>
    <sheet name="14,05 R3 b" sheetId="868" r:id="rId46"/>
    <sheet name="(15)" sheetId="860" r:id="rId47"/>
    <sheet name="15,05 R1" sheetId="861" r:id="rId48"/>
    <sheet name="15,05 R2" sheetId="862" r:id="rId49"/>
    <sheet name="15,05 R3" sheetId="863" r:id="rId50"/>
    <sheet name="(16)" sheetId="864" r:id="rId51"/>
    <sheet name="16,05 R1" sheetId="865" r:id="rId52"/>
    <sheet name="16,05 R2" sheetId="866" r:id="rId53"/>
    <sheet name="16,05 R3" sheetId="867" r:id="rId54"/>
    <sheet name="(17)" sheetId="869" r:id="rId55"/>
    <sheet name="17,05 R1" sheetId="870" r:id="rId56"/>
    <sheet name="17,05 R2" sheetId="871" r:id="rId57"/>
    <sheet name="17,05 R3" sheetId="872" r:id="rId58"/>
    <sheet name="(18)" sheetId="873" r:id="rId59"/>
    <sheet name="18,05 R1" sheetId="874" r:id="rId60"/>
    <sheet name="18,05 R2" sheetId="875" r:id="rId61"/>
    <sheet name="18,05 R3" sheetId="876" r:id="rId62"/>
    <sheet name="(19)" sheetId="877" r:id="rId63"/>
    <sheet name="19,05 R1" sheetId="878" r:id="rId64"/>
    <sheet name="19,05 R2" sheetId="879" r:id="rId65"/>
    <sheet name="19,05 R3" sheetId="880" r:id="rId66"/>
    <sheet name="(20)" sheetId="881" r:id="rId67"/>
    <sheet name="20,05 R1" sheetId="882" r:id="rId68"/>
    <sheet name="20,05 R2" sheetId="883" r:id="rId69"/>
    <sheet name="20,05 R3" sheetId="884" r:id="rId70"/>
    <sheet name="(21)" sheetId="885" r:id="rId71"/>
    <sheet name="21,05 R1" sheetId="886" r:id="rId72"/>
    <sheet name="21,05 R2" sheetId="887" r:id="rId73"/>
    <sheet name="21,05 R3" sheetId="888" r:id="rId74"/>
    <sheet name="(22)" sheetId="889" r:id="rId75"/>
    <sheet name="22,05 R1" sheetId="890" r:id="rId76"/>
    <sheet name="22,05 R2" sheetId="891" r:id="rId77"/>
    <sheet name="22,05 R3" sheetId="892" r:id="rId78"/>
    <sheet name="(23)" sheetId="893" r:id="rId79"/>
    <sheet name="23,05 R1" sheetId="894" r:id="rId80"/>
    <sheet name="23,05 R2" sheetId="895" r:id="rId81"/>
    <sheet name="23,05 R3" sheetId="896" r:id="rId82"/>
    <sheet name="(24)" sheetId="897" r:id="rId83"/>
    <sheet name="24,05 R1" sheetId="898" r:id="rId84"/>
    <sheet name="24,05 R2" sheetId="899" r:id="rId85"/>
    <sheet name="24,05 R3" sheetId="900" r:id="rId86"/>
    <sheet name="(26)" sheetId="901" r:id="rId87"/>
    <sheet name="26,05 R1" sheetId="902" r:id="rId88"/>
    <sheet name="26,05 R2" sheetId="903" r:id="rId89"/>
    <sheet name="26,05 R3" sheetId="904" r:id="rId90"/>
    <sheet name="(27)" sheetId="905" r:id="rId91"/>
  </sheets>
  <definedNames>
    <definedName name="_xlnm.Print_Area" localSheetId="2">'1,05 R1'!$A$1:$J$60</definedName>
    <definedName name="_xlnm.Print_Area" localSheetId="3">'1,05 R2'!$A$1:$J$60</definedName>
    <definedName name="_xlnm.Print_Area" localSheetId="4">'1,05 R3'!$A$1:$J$60</definedName>
    <definedName name="_xlnm.Print_Area" localSheetId="34">'10,05 R1'!$A$1:$J$60</definedName>
    <definedName name="_xlnm.Print_Area" localSheetId="35">'10,05 R2'!$A$1:$J$60</definedName>
    <definedName name="_xlnm.Print_Area" localSheetId="36">'10,05 R3'!$A$1:$J$60</definedName>
    <definedName name="_xlnm.Print_Area" localSheetId="38">'13,05 R1'!$A$1:$J$60</definedName>
    <definedName name="_xlnm.Print_Area" localSheetId="39">'13,05 R2'!$A$1:$J$60</definedName>
    <definedName name="_xlnm.Print_Area" localSheetId="40">'13,05 R3'!$A$1:$J$60</definedName>
    <definedName name="_xlnm.Print_Area" localSheetId="42">'14,05 R1'!$A$1:$J$60</definedName>
    <definedName name="_xlnm.Print_Area" localSheetId="43">'14,05 R2'!$A$1:$J$60</definedName>
    <definedName name="_xlnm.Print_Area" localSheetId="44">'14,05 R3 a'!$A$1:$J$60</definedName>
    <definedName name="_xlnm.Print_Area" localSheetId="45">'14,05 R3 b'!$A$1:$J$60</definedName>
    <definedName name="_xlnm.Print_Area" localSheetId="47">'15,05 R1'!$A$1:$J$60</definedName>
    <definedName name="_xlnm.Print_Area" localSheetId="48">'15,05 R2'!$A$1:$J$60</definedName>
    <definedName name="_xlnm.Print_Area" localSheetId="49">'15,05 R3'!$A$1:$J$60</definedName>
    <definedName name="_xlnm.Print_Area" localSheetId="51">'16,05 R1'!$A$1:$J$60</definedName>
    <definedName name="_xlnm.Print_Area" localSheetId="52">'16,05 R2'!$A$1:$J$60</definedName>
    <definedName name="_xlnm.Print_Area" localSheetId="53">'16,05 R3'!$A$1:$J$60</definedName>
    <definedName name="_xlnm.Print_Area" localSheetId="55">'17,05 R1'!$A$1:$J$60</definedName>
    <definedName name="_xlnm.Print_Area" localSheetId="56">'17,05 R2'!$A$1:$J$60</definedName>
    <definedName name="_xlnm.Print_Area" localSheetId="57">'17,05 R3'!$A$1:$J$60</definedName>
    <definedName name="_xlnm.Print_Area" localSheetId="59">'18,05 R1'!$A$1:$J$60</definedName>
    <definedName name="_xlnm.Print_Area" localSheetId="60">'18,05 R2'!$A$1:$J$60</definedName>
    <definedName name="_xlnm.Print_Area" localSheetId="61">'18,05 R3'!$A$1:$J$60</definedName>
    <definedName name="_xlnm.Print_Area" localSheetId="63">'19,05 R1'!$A$1:$J$60</definedName>
    <definedName name="_xlnm.Print_Area" localSheetId="64">'19,05 R2'!$A$1:$J$60</definedName>
    <definedName name="_xlnm.Print_Area" localSheetId="65">'19,05 R3'!$A$1:$J$60</definedName>
    <definedName name="_xlnm.Print_Area" localSheetId="6">'2,05 R1'!$A$1:$J$60</definedName>
    <definedName name="_xlnm.Print_Area" localSheetId="7">'2,05 R2'!$A$1:$J$60</definedName>
    <definedName name="_xlnm.Print_Area" localSheetId="8">'2,05 R3'!$A$1:$J$60</definedName>
    <definedName name="_xlnm.Print_Area" localSheetId="67">'20,05 R1'!$A$1:$J$60</definedName>
    <definedName name="_xlnm.Print_Area" localSheetId="68">'20,05 R2'!$A$1:$J$60</definedName>
    <definedName name="_xlnm.Print_Area" localSheetId="69">'20,05 R3'!$A$1:$J$60</definedName>
    <definedName name="_xlnm.Print_Area" localSheetId="71">'21,05 R1'!$A$1:$J$60</definedName>
    <definedName name="_xlnm.Print_Area" localSheetId="72">'21,05 R2'!$A$1:$J$60</definedName>
    <definedName name="_xlnm.Print_Area" localSheetId="73">'21,05 R3'!$A$1:$J$60</definedName>
    <definedName name="_xlnm.Print_Area" localSheetId="75">'22,05 R1'!$A$1:$J$60</definedName>
    <definedName name="_xlnm.Print_Area" localSheetId="76">'22,05 R2'!$A$1:$J$60</definedName>
    <definedName name="_xlnm.Print_Area" localSheetId="77">'22,05 R3'!$A$1:$J$60</definedName>
    <definedName name="_xlnm.Print_Area" localSheetId="79">'23,05 R1'!$A$1:$J$60</definedName>
    <definedName name="_xlnm.Print_Area" localSheetId="80">'23,05 R2'!$A$1:$J$60</definedName>
    <definedName name="_xlnm.Print_Area" localSheetId="81">'23,05 R3'!$A$1:$J$60</definedName>
    <definedName name="_xlnm.Print_Area" localSheetId="83">'24,05 R1'!$A$1:$J$60</definedName>
    <definedName name="_xlnm.Print_Area" localSheetId="84">'24,05 R2'!$A$1:$J$60</definedName>
    <definedName name="_xlnm.Print_Area" localSheetId="85">'24,05 R3'!$A$1:$J$60</definedName>
    <definedName name="_xlnm.Print_Area" localSheetId="87">'26,05 R1'!$A$1:$J$60</definedName>
    <definedName name="_xlnm.Print_Area" localSheetId="88">'26,05 R2'!$A$1:$J$60</definedName>
    <definedName name="_xlnm.Print_Area" localSheetId="89">'26,05 R3'!$A$1:$J$60</definedName>
    <definedName name="_xlnm.Print_Area" localSheetId="10">'3,05 R1'!$A$1:$J$60</definedName>
    <definedName name="_xlnm.Print_Area" localSheetId="11">'3,05 R2'!$A$1:$J$60</definedName>
    <definedName name="_xlnm.Print_Area" localSheetId="12">'3,05 R3'!$A$1:$J$60</definedName>
    <definedName name="_xlnm.Print_Area" localSheetId="14">'5,05 R1'!$A$1:$J$60</definedName>
    <definedName name="_xlnm.Print_Area" localSheetId="15">'5,05 R2'!$A$1:$J$60</definedName>
    <definedName name="_xlnm.Print_Area" localSheetId="16">'5,05 R3'!$A$1:$J$60</definedName>
    <definedName name="_xlnm.Print_Area" localSheetId="18">'6,05 R1'!$A$1:$J$60</definedName>
    <definedName name="_xlnm.Print_Area" localSheetId="19">'6,05 R2'!$A$1:$J$60</definedName>
    <definedName name="_xlnm.Print_Area" localSheetId="20">'6,05 R3'!$A$1:$J$60</definedName>
    <definedName name="_xlnm.Print_Area" localSheetId="22">'7,05 R1'!$A$1:$J$60</definedName>
    <definedName name="_xlnm.Print_Area" localSheetId="23">'7,05 R2'!$A$1:$J$60</definedName>
    <definedName name="_xlnm.Print_Area" localSheetId="24">'7,05 R3'!$A$1:$J$60</definedName>
    <definedName name="_xlnm.Print_Area" localSheetId="26">'8,05 R1'!$A$1:$J$60</definedName>
    <definedName name="_xlnm.Print_Area" localSheetId="27">'8,05 R2'!$A$1:$J$60</definedName>
    <definedName name="_xlnm.Print_Area" localSheetId="28">'8,05 R3'!$A$1:$J$60</definedName>
    <definedName name="_xlnm.Print_Area" localSheetId="30">'9,05 R1'!$A$1:$J$60</definedName>
    <definedName name="_xlnm.Print_Area" localSheetId="31">'9,05 R2'!$A$1:$J$60</definedName>
    <definedName name="_xlnm.Print_Area" localSheetId="32">'9,05 R3'!$A$1:$J$60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6" i="900" l="1"/>
  <c r="H20" i="899"/>
  <c r="H16" i="898"/>
  <c r="R52" i="904" l="1"/>
  <c r="R51" i="904"/>
  <c r="D50" i="904"/>
  <c r="R49" i="904"/>
  <c r="D49" i="904"/>
  <c r="R48" i="904"/>
  <c r="D48" i="904"/>
  <c r="D46" i="904"/>
  <c r="D45" i="904"/>
  <c r="D44" i="904"/>
  <c r="R42" i="904"/>
  <c r="D42" i="904"/>
  <c r="R41" i="904"/>
  <c r="L7" i="904" s="1"/>
  <c r="D7" i="904" s="1"/>
  <c r="D41" i="904"/>
  <c r="R40" i="904"/>
  <c r="D40" i="904"/>
  <c r="R39" i="904"/>
  <c r="H39" i="904"/>
  <c r="D39" i="904"/>
  <c r="R38" i="904"/>
  <c r="H38" i="904"/>
  <c r="D38" i="904"/>
  <c r="R37" i="904"/>
  <c r="H37" i="904"/>
  <c r="D37" i="904"/>
  <c r="R36" i="904"/>
  <c r="H36" i="904"/>
  <c r="D36" i="904"/>
  <c r="R35" i="904"/>
  <c r="L19" i="904" s="1"/>
  <c r="D19" i="904" s="1"/>
  <c r="H35" i="904"/>
  <c r="G49" i="904" s="1"/>
  <c r="D35" i="904"/>
  <c r="D54" i="904" s="1"/>
  <c r="H14" i="904" s="1"/>
  <c r="R34" i="904"/>
  <c r="L12" i="904" s="1"/>
  <c r="D12" i="904" s="1"/>
  <c r="H34" i="904"/>
  <c r="D34" i="904"/>
  <c r="R33" i="904"/>
  <c r="R32" i="904"/>
  <c r="L11" i="904" s="1"/>
  <c r="D11" i="904" s="1"/>
  <c r="R31" i="904"/>
  <c r="R30" i="904"/>
  <c r="R29" i="904"/>
  <c r="R28" i="904"/>
  <c r="D28" i="904"/>
  <c r="R27" i="904"/>
  <c r="D27" i="904"/>
  <c r="R26" i="904"/>
  <c r="L26" i="904"/>
  <c r="D26" i="904"/>
  <c r="R25" i="904"/>
  <c r="L25" i="904"/>
  <c r="D25" i="904"/>
  <c r="R24" i="904"/>
  <c r="D24" i="904"/>
  <c r="R23" i="904"/>
  <c r="L23" i="904"/>
  <c r="D23" i="904"/>
  <c r="R22" i="904"/>
  <c r="L22" i="904"/>
  <c r="D22" i="904"/>
  <c r="R21" i="904"/>
  <c r="D21" i="904"/>
  <c r="R20" i="904"/>
  <c r="L20" i="904"/>
  <c r="D20" i="904"/>
  <c r="R19" i="904"/>
  <c r="R18" i="904"/>
  <c r="D18" i="904"/>
  <c r="R17" i="904"/>
  <c r="D17" i="904"/>
  <c r="R16" i="904"/>
  <c r="L16" i="904"/>
  <c r="D16" i="904" s="1"/>
  <c r="S15" i="904"/>
  <c r="R15" i="904"/>
  <c r="D15" i="904"/>
  <c r="S14" i="904"/>
  <c r="R14" i="904"/>
  <c r="D14" i="904"/>
  <c r="R13" i="904"/>
  <c r="D13" i="904"/>
  <c r="R12" i="904"/>
  <c r="R11" i="904"/>
  <c r="L10" i="904"/>
  <c r="D10" i="904"/>
  <c r="L9" i="904"/>
  <c r="D9" i="904"/>
  <c r="L8" i="904"/>
  <c r="D8" i="904" s="1"/>
  <c r="R6" i="904"/>
  <c r="L6" i="904"/>
  <c r="D6" i="904"/>
  <c r="R5" i="904"/>
  <c r="R4" i="904"/>
  <c r="R52" i="903"/>
  <c r="R51" i="903"/>
  <c r="D50" i="903"/>
  <c r="R49" i="903"/>
  <c r="D49" i="903"/>
  <c r="R48" i="903"/>
  <c r="D48" i="903"/>
  <c r="D46" i="903"/>
  <c r="D45" i="903"/>
  <c r="D44" i="903"/>
  <c r="R42" i="903"/>
  <c r="D42" i="903"/>
  <c r="R41" i="903"/>
  <c r="L7" i="903" s="1"/>
  <c r="D7" i="903" s="1"/>
  <c r="D41" i="903"/>
  <c r="R40" i="903"/>
  <c r="L8" i="903" s="1"/>
  <c r="D8" i="903" s="1"/>
  <c r="D40" i="903"/>
  <c r="R39" i="903"/>
  <c r="L20" i="903" s="1"/>
  <c r="D20" i="903" s="1"/>
  <c r="H39" i="903"/>
  <c r="D39" i="903"/>
  <c r="R38" i="903"/>
  <c r="H38" i="903"/>
  <c r="D38" i="903"/>
  <c r="R37" i="903"/>
  <c r="H37" i="903"/>
  <c r="D37" i="903"/>
  <c r="R36" i="903"/>
  <c r="L10" i="903" s="1"/>
  <c r="D10" i="903" s="1"/>
  <c r="H36" i="903"/>
  <c r="D36" i="903"/>
  <c r="R35" i="903"/>
  <c r="L19" i="903" s="1"/>
  <c r="D19" i="903" s="1"/>
  <c r="H35" i="903"/>
  <c r="D35" i="903"/>
  <c r="D54" i="903" s="1"/>
  <c r="H14" i="903" s="1"/>
  <c r="R34" i="903"/>
  <c r="H34" i="903"/>
  <c r="G49" i="903" s="1"/>
  <c r="D34" i="903"/>
  <c r="R33" i="903"/>
  <c r="R32" i="903"/>
  <c r="R31" i="903"/>
  <c r="R30" i="903"/>
  <c r="R29" i="903"/>
  <c r="R28" i="903"/>
  <c r="L16" i="903" s="1"/>
  <c r="D16" i="903" s="1"/>
  <c r="D28" i="903"/>
  <c r="R27" i="903"/>
  <c r="D27" i="903"/>
  <c r="R26" i="903"/>
  <c r="L26" i="903"/>
  <c r="D26" i="903" s="1"/>
  <c r="R25" i="903"/>
  <c r="L25" i="903"/>
  <c r="D25" i="903" s="1"/>
  <c r="R24" i="903"/>
  <c r="L24" i="903"/>
  <c r="D24" i="903"/>
  <c r="R23" i="903"/>
  <c r="L23" i="903"/>
  <c r="D23" i="903"/>
  <c r="R22" i="903"/>
  <c r="L22" i="903"/>
  <c r="D22" i="903"/>
  <c r="R21" i="903"/>
  <c r="L17" i="903" s="1"/>
  <c r="D17" i="903" s="1"/>
  <c r="D21" i="903"/>
  <c r="R20" i="903"/>
  <c r="R19" i="903"/>
  <c r="R18" i="903"/>
  <c r="D18" i="903"/>
  <c r="R17" i="903"/>
  <c r="R16" i="903"/>
  <c r="R15" i="903"/>
  <c r="D15" i="903"/>
  <c r="R14" i="903"/>
  <c r="D14" i="903"/>
  <c r="R13" i="903"/>
  <c r="D13" i="903"/>
  <c r="R12" i="903"/>
  <c r="L12" i="903"/>
  <c r="D12" i="903" s="1"/>
  <c r="R11" i="903"/>
  <c r="L11" i="903"/>
  <c r="D11" i="903" s="1"/>
  <c r="L9" i="903"/>
  <c r="D9" i="903"/>
  <c r="R6" i="903"/>
  <c r="L6" i="903"/>
  <c r="D6" i="903"/>
  <c r="R5" i="903"/>
  <c r="R4" i="903"/>
  <c r="R52" i="902"/>
  <c r="R51" i="902"/>
  <c r="D50" i="902"/>
  <c r="R49" i="902"/>
  <c r="G49" i="902"/>
  <c r="D49" i="902"/>
  <c r="R48" i="902"/>
  <c r="D48" i="902"/>
  <c r="D46" i="902"/>
  <c r="D45" i="902"/>
  <c r="P44" i="902"/>
  <c r="R44" i="902" s="1"/>
  <c r="D44" i="902"/>
  <c r="R42" i="902"/>
  <c r="D42" i="902"/>
  <c r="R41" i="902"/>
  <c r="D41" i="902"/>
  <c r="R40" i="902"/>
  <c r="D40" i="902"/>
  <c r="R39" i="902"/>
  <c r="L20" i="902" s="1"/>
  <c r="D20" i="902" s="1"/>
  <c r="H39" i="902"/>
  <c r="D39" i="902"/>
  <c r="R38" i="902"/>
  <c r="L9" i="902" s="1"/>
  <c r="D9" i="902" s="1"/>
  <c r="H38" i="902"/>
  <c r="D38" i="902"/>
  <c r="R37" i="902"/>
  <c r="H37" i="902"/>
  <c r="D37" i="902"/>
  <c r="R36" i="902"/>
  <c r="H36" i="902"/>
  <c r="D36" i="902"/>
  <c r="R35" i="902"/>
  <c r="H35" i="902"/>
  <c r="D35" i="902"/>
  <c r="R34" i="902"/>
  <c r="L12" i="902" s="1"/>
  <c r="D12" i="902" s="1"/>
  <c r="H34" i="902"/>
  <c r="D34" i="902"/>
  <c r="D54" i="902" s="1"/>
  <c r="H14" i="902" s="1"/>
  <c r="R33" i="902"/>
  <c r="R32" i="902"/>
  <c r="L11" i="902" s="1"/>
  <c r="D11" i="902" s="1"/>
  <c r="R31" i="902"/>
  <c r="R30" i="902"/>
  <c r="R29" i="902"/>
  <c r="R28" i="902"/>
  <c r="D28" i="902"/>
  <c r="R27" i="902"/>
  <c r="L27" i="902"/>
  <c r="D27" i="902"/>
  <c r="R26" i="902"/>
  <c r="L26" i="902"/>
  <c r="D26" i="902"/>
  <c r="R25" i="902"/>
  <c r="L25" i="902"/>
  <c r="D25" i="902"/>
  <c r="R24" i="902"/>
  <c r="L24" i="902"/>
  <c r="D24" i="902"/>
  <c r="R23" i="902"/>
  <c r="L23" i="902"/>
  <c r="D23" i="902" s="1"/>
  <c r="R22" i="902"/>
  <c r="D22" i="902"/>
  <c r="R21" i="902"/>
  <c r="D21" i="902"/>
  <c r="R20" i="902"/>
  <c r="R19" i="902"/>
  <c r="D19" i="902"/>
  <c r="R18" i="902"/>
  <c r="D18" i="902"/>
  <c r="R17" i="902"/>
  <c r="L17" i="902"/>
  <c r="D17" i="902"/>
  <c r="R16" i="902"/>
  <c r="L16" i="902"/>
  <c r="D16" i="902"/>
  <c r="R15" i="902"/>
  <c r="D15" i="902"/>
  <c r="R14" i="902"/>
  <c r="D14" i="902"/>
  <c r="R13" i="902"/>
  <c r="D13" i="902"/>
  <c r="R12" i="902"/>
  <c r="R11" i="902"/>
  <c r="L10" i="902"/>
  <c r="D10" i="902"/>
  <c r="L8" i="902"/>
  <c r="D8" i="902"/>
  <c r="L7" i="902"/>
  <c r="D7" i="902"/>
  <c r="R6" i="902"/>
  <c r="L6" i="902"/>
  <c r="D6" i="902" s="1"/>
  <c r="R5" i="902"/>
  <c r="R4" i="902"/>
  <c r="D29" i="904" l="1"/>
  <c r="H13" i="904" s="1"/>
  <c r="H15" i="904" s="1"/>
  <c r="H29" i="904" s="1"/>
  <c r="G51" i="904" s="1"/>
  <c r="D29" i="903"/>
  <c r="H13" i="903" s="1"/>
  <c r="H15" i="903" s="1"/>
  <c r="H29" i="903" s="1"/>
  <c r="G51" i="903" s="1"/>
  <c r="D29" i="902"/>
  <c r="H13" i="902" s="1"/>
  <c r="H15" i="902" s="1"/>
  <c r="H29" i="902" s="1"/>
  <c r="G51" i="902"/>
  <c r="H16" i="896"/>
  <c r="H20" i="895"/>
  <c r="H16" i="894"/>
  <c r="C21" i="896"/>
  <c r="C12" i="894"/>
  <c r="C21" i="894"/>
  <c r="R52" i="900" l="1"/>
  <c r="R51" i="900"/>
  <c r="D50" i="900"/>
  <c r="R49" i="900"/>
  <c r="D49" i="900"/>
  <c r="R48" i="900"/>
  <c r="D48" i="900"/>
  <c r="D46" i="900"/>
  <c r="D45" i="900"/>
  <c r="D44" i="900"/>
  <c r="R42" i="900"/>
  <c r="L6" i="900" s="1"/>
  <c r="D6" i="900" s="1"/>
  <c r="D42" i="900"/>
  <c r="R41" i="900"/>
  <c r="L7" i="900" s="1"/>
  <c r="D7" i="900" s="1"/>
  <c r="D41" i="900"/>
  <c r="R40" i="900"/>
  <c r="D40" i="900"/>
  <c r="R39" i="900"/>
  <c r="H39" i="900"/>
  <c r="D39" i="900"/>
  <c r="R38" i="900"/>
  <c r="L9" i="900" s="1"/>
  <c r="D9" i="900" s="1"/>
  <c r="H38" i="900"/>
  <c r="D38" i="900"/>
  <c r="R37" i="900"/>
  <c r="H37" i="900"/>
  <c r="D37" i="900"/>
  <c r="R36" i="900"/>
  <c r="H36" i="900"/>
  <c r="D36" i="900"/>
  <c r="R35" i="900"/>
  <c r="L19" i="900" s="1"/>
  <c r="D19" i="900" s="1"/>
  <c r="H35" i="900"/>
  <c r="D35" i="900"/>
  <c r="R34" i="900"/>
  <c r="L12" i="900" s="1"/>
  <c r="D12" i="900" s="1"/>
  <c r="H34" i="900"/>
  <c r="D34" i="900"/>
  <c r="R33" i="900"/>
  <c r="R32" i="900"/>
  <c r="R31" i="900"/>
  <c r="R30" i="900"/>
  <c r="R29" i="900"/>
  <c r="R28" i="900"/>
  <c r="L16" i="900" s="1"/>
  <c r="D16" i="900" s="1"/>
  <c r="D28" i="900"/>
  <c r="R27" i="900"/>
  <c r="D27" i="900"/>
  <c r="R26" i="900"/>
  <c r="L26" i="900"/>
  <c r="D26" i="900"/>
  <c r="R25" i="900"/>
  <c r="L25" i="900"/>
  <c r="D25" i="900"/>
  <c r="R24" i="900"/>
  <c r="D24" i="900"/>
  <c r="R23" i="900"/>
  <c r="L23" i="900"/>
  <c r="D23" i="900"/>
  <c r="R22" i="900"/>
  <c r="L22" i="900"/>
  <c r="D22" i="900"/>
  <c r="R21" i="900"/>
  <c r="D21" i="900"/>
  <c r="R20" i="900"/>
  <c r="L20" i="900"/>
  <c r="D20" i="900"/>
  <c r="R19" i="900"/>
  <c r="R18" i="900"/>
  <c r="D18" i="900"/>
  <c r="R17" i="900"/>
  <c r="D17" i="900"/>
  <c r="R16" i="900"/>
  <c r="S15" i="900"/>
  <c r="R15" i="900"/>
  <c r="D15" i="900"/>
  <c r="S14" i="900"/>
  <c r="R14" i="900"/>
  <c r="D14" i="900"/>
  <c r="R13" i="900"/>
  <c r="D13" i="900"/>
  <c r="R12" i="900"/>
  <c r="R11" i="900"/>
  <c r="L11" i="900"/>
  <c r="D11" i="900"/>
  <c r="L10" i="900"/>
  <c r="D10" i="900"/>
  <c r="L8" i="900"/>
  <c r="D8" i="900" s="1"/>
  <c r="R6" i="900"/>
  <c r="R5" i="900"/>
  <c r="R4" i="900"/>
  <c r="R52" i="899"/>
  <c r="R51" i="899"/>
  <c r="D50" i="899"/>
  <c r="R49" i="899"/>
  <c r="D49" i="899"/>
  <c r="R48" i="899"/>
  <c r="D48" i="899"/>
  <c r="D46" i="899"/>
  <c r="D45" i="899"/>
  <c r="D44" i="899"/>
  <c r="R42" i="899"/>
  <c r="L6" i="899" s="1"/>
  <c r="D6" i="899" s="1"/>
  <c r="D42" i="899"/>
  <c r="R41" i="899"/>
  <c r="L7" i="899" s="1"/>
  <c r="D7" i="899" s="1"/>
  <c r="D41" i="899"/>
  <c r="R40" i="899"/>
  <c r="D40" i="899"/>
  <c r="R39" i="899"/>
  <c r="H39" i="899"/>
  <c r="D39" i="899"/>
  <c r="R38" i="899"/>
  <c r="H38" i="899"/>
  <c r="D38" i="899"/>
  <c r="R37" i="899"/>
  <c r="H37" i="899"/>
  <c r="D37" i="899"/>
  <c r="R36" i="899"/>
  <c r="L10" i="899" s="1"/>
  <c r="D10" i="899" s="1"/>
  <c r="H36" i="899"/>
  <c r="D36" i="899"/>
  <c r="R35" i="899"/>
  <c r="L19" i="899" s="1"/>
  <c r="D19" i="899" s="1"/>
  <c r="H35" i="899"/>
  <c r="D35" i="899"/>
  <c r="R34" i="899"/>
  <c r="L12" i="899" s="1"/>
  <c r="D12" i="899" s="1"/>
  <c r="H34" i="899"/>
  <c r="D34" i="899"/>
  <c r="R33" i="899"/>
  <c r="R32" i="899"/>
  <c r="R31" i="899"/>
  <c r="R30" i="899"/>
  <c r="R29" i="899"/>
  <c r="R28" i="899"/>
  <c r="L16" i="899" s="1"/>
  <c r="D16" i="899" s="1"/>
  <c r="D28" i="899"/>
  <c r="R27" i="899"/>
  <c r="D27" i="899"/>
  <c r="R26" i="899"/>
  <c r="L26" i="899"/>
  <c r="D26" i="899"/>
  <c r="R25" i="899"/>
  <c r="L25" i="899"/>
  <c r="D25" i="899"/>
  <c r="R24" i="899"/>
  <c r="L24" i="899"/>
  <c r="D24" i="899"/>
  <c r="R23" i="899"/>
  <c r="L23" i="899"/>
  <c r="D23" i="899"/>
  <c r="R22" i="899"/>
  <c r="L22" i="899"/>
  <c r="D22" i="899" s="1"/>
  <c r="R21" i="899"/>
  <c r="D21" i="899"/>
  <c r="R20" i="899"/>
  <c r="L20" i="899"/>
  <c r="D20" i="899" s="1"/>
  <c r="R19" i="899"/>
  <c r="R18" i="899"/>
  <c r="D18" i="899"/>
  <c r="R17" i="899"/>
  <c r="L17" i="899"/>
  <c r="D17" i="899"/>
  <c r="R16" i="899"/>
  <c r="R15" i="899"/>
  <c r="D15" i="899"/>
  <c r="R14" i="899"/>
  <c r="D14" i="899"/>
  <c r="R13" i="899"/>
  <c r="D13" i="899"/>
  <c r="R12" i="899"/>
  <c r="R11" i="899"/>
  <c r="L11" i="899"/>
  <c r="D11" i="899" s="1"/>
  <c r="L9" i="899"/>
  <c r="D9" i="899"/>
  <c r="L8" i="899"/>
  <c r="D8" i="899" s="1"/>
  <c r="R6" i="899"/>
  <c r="R5" i="899"/>
  <c r="R4" i="899"/>
  <c r="R52" i="898"/>
  <c r="R51" i="898"/>
  <c r="D50" i="898"/>
  <c r="R49" i="898"/>
  <c r="D49" i="898"/>
  <c r="R48" i="898"/>
  <c r="D48" i="898"/>
  <c r="D46" i="898"/>
  <c r="D45" i="898"/>
  <c r="P44" i="898"/>
  <c r="R44" i="898" s="1"/>
  <c r="D44" i="898"/>
  <c r="R42" i="898"/>
  <c r="D42" i="898"/>
  <c r="R41" i="898"/>
  <c r="D41" i="898"/>
  <c r="R40" i="898"/>
  <c r="D40" i="898"/>
  <c r="R39" i="898"/>
  <c r="L20" i="898" s="1"/>
  <c r="D20" i="898" s="1"/>
  <c r="H39" i="898"/>
  <c r="D39" i="898"/>
  <c r="R38" i="898"/>
  <c r="H38" i="898"/>
  <c r="D38" i="898"/>
  <c r="R37" i="898"/>
  <c r="H37" i="898"/>
  <c r="D37" i="898"/>
  <c r="R36" i="898"/>
  <c r="L10" i="898" s="1"/>
  <c r="D10" i="898" s="1"/>
  <c r="H36" i="898"/>
  <c r="D36" i="898"/>
  <c r="R35" i="898"/>
  <c r="H35" i="898"/>
  <c r="D35" i="898"/>
  <c r="R34" i="898"/>
  <c r="L12" i="898" s="1"/>
  <c r="D12" i="898" s="1"/>
  <c r="H34" i="898"/>
  <c r="D34" i="898"/>
  <c r="R33" i="898"/>
  <c r="R32" i="898"/>
  <c r="R31" i="898"/>
  <c r="R30" i="898"/>
  <c r="R29" i="898"/>
  <c r="R28" i="898"/>
  <c r="D28" i="898"/>
  <c r="R27" i="898"/>
  <c r="L27" i="898"/>
  <c r="D27" i="898"/>
  <c r="R26" i="898"/>
  <c r="L26" i="898"/>
  <c r="D26" i="898"/>
  <c r="R25" i="898"/>
  <c r="L25" i="898"/>
  <c r="D25" i="898" s="1"/>
  <c r="R24" i="898"/>
  <c r="L24" i="898"/>
  <c r="D24" i="898" s="1"/>
  <c r="R23" i="898"/>
  <c r="L23" i="898"/>
  <c r="D23" i="898" s="1"/>
  <c r="R22" i="898"/>
  <c r="D22" i="898"/>
  <c r="R21" i="898"/>
  <c r="D21" i="898"/>
  <c r="R20" i="898"/>
  <c r="R19" i="898"/>
  <c r="D19" i="898"/>
  <c r="R18" i="898"/>
  <c r="D18" i="898"/>
  <c r="R17" i="898"/>
  <c r="L17" i="898"/>
  <c r="D17" i="898"/>
  <c r="R16" i="898"/>
  <c r="L16" i="898"/>
  <c r="D16" i="898" s="1"/>
  <c r="R15" i="898"/>
  <c r="D15" i="898"/>
  <c r="R14" i="898"/>
  <c r="D14" i="898"/>
  <c r="R13" i="898"/>
  <c r="D13" i="898"/>
  <c r="R12" i="898"/>
  <c r="R11" i="898"/>
  <c r="L11" i="898"/>
  <c r="D11" i="898" s="1"/>
  <c r="L9" i="898"/>
  <c r="D9" i="898"/>
  <c r="L8" i="898"/>
  <c r="D8" i="898"/>
  <c r="L7" i="898"/>
  <c r="D7" i="898"/>
  <c r="R6" i="898"/>
  <c r="L6" i="898"/>
  <c r="D6" i="898"/>
  <c r="R5" i="898"/>
  <c r="R4" i="898"/>
  <c r="G49" i="900" l="1"/>
  <c r="G49" i="899"/>
  <c r="G49" i="898"/>
  <c r="D54" i="900"/>
  <c r="H14" i="900" s="1"/>
  <c r="D54" i="899"/>
  <c r="H14" i="899" s="1"/>
  <c r="D54" i="898"/>
  <c r="H14" i="898" s="1"/>
  <c r="D29" i="900"/>
  <c r="H13" i="900" s="1"/>
  <c r="D29" i="899"/>
  <c r="H13" i="899" s="1"/>
  <c r="D29" i="898"/>
  <c r="H13" i="898" s="1"/>
  <c r="H20" i="890"/>
  <c r="H15" i="900" l="1"/>
  <c r="H29" i="900" s="1"/>
  <c r="G51" i="900" s="1"/>
  <c r="H15" i="899"/>
  <c r="H29" i="899" s="1"/>
  <c r="G51" i="899" s="1"/>
  <c r="H15" i="898"/>
  <c r="H29" i="898" s="1"/>
  <c r="G51" i="898" s="1"/>
  <c r="H20" i="891"/>
  <c r="H16" i="892" l="1"/>
  <c r="H16" i="890"/>
  <c r="C23" i="892"/>
  <c r="C19" i="892"/>
  <c r="C12" i="892"/>
  <c r="C25" i="892"/>
  <c r="C21" i="892"/>
  <c r="C12" i="890"/>
  <c r="H20" i="887" l="1"/>
  <c r="H16" i="888" l="1"/>
  <c r="H16" i="887"/>
  <c r="C21" i="886"/>
  <c r="R52" i="896"/>
  <c r="R51" i="896"/>
  <c r="D50" i="896"/>
  <c r="R49" i="896"/>
  <c r="D49" i="896"/>
  <c r="R48" i="896"/>
  <c r="D48" i="896"/>
  <c r="D46" i="896"/>
  <c r="D45" i="896"/>
  <c r="D44" i="896"/>
  <c r="R42" i="896"/>
  <c r="L6" i="896" s="1"/>
  <c r="D6" i="896" s="1"/>
  <c r="D42" i="896"/>
  <c r="R41" i="896"/>
  <c r="L7" i="896" s="1"/>
  <c r="D7" i="896" s="1"/>
  <c r="D41" i="896"/>
  <c r="R40" i="896"/>
  <c r="D40" i="896"/>
  <c r="R39" i="896"/>
  <c r="H39" i="896"/>
  <c r="D39" i="896"/>
  <c r="R38" i="896"/>
  <c r="L9" i="896" s="1"/>
  <c r="D9" i="896" s="1"/>
  <c r="H38" i="896"/>
  <c r="D38" i="896"/>
  <c r="R37" i="896"/>
  <c r="H37" i="896"/>
  <c r="D37" i="896"/>
  <c r="R36" i="896"/>
  <c r="L10" i="896" s="1"/>
  <c r="D10" i="896" s="1"/>
  <c r="H36" i="896"/>
  <c r="D36" i="896"/>
  <c r="R35" i="896"/>
  <c r="L19" i="896" s="1"/>
  <c r="D19" i="896" s="1"/>
  <c r="H35" i="896"/>
  <c r="D35" i="896"/>
  <c r="R34" i="896"/>
  <c r="H34" i="896"/>
  <c r="D34" i="896"/>
  <c r="R33" i="896"/>
  <c r="R32" i="896"/>
  <c r="R31" i="896"/>
  <c r="R30" i="896"/>
  <c r="R29" i="896"/>
  <c r="R28" i="896"/>
  <c r="D28" i="896"/>
  <c r="R27" i="896"/>
  <c r="D27" i="896"/>
  <c r="R26" i="896"/>
  <c r="L26" i="896"/>
  <c r="D26" i="896" s="1"/>
  <c r="R25" i="896"/>
  <c r="L25" i="896"/>
  <c r="D25" i="896"/>
  <c r="R24" i="896"/>
  <c r="D24" i="896"/>
  <c r="R23" i="896"/>
  <c r="L23" i="896"/>
  <c r="D23" i="896"/>
  <c r="R22" i="896"/>
  <c r="L22" i="896"/>
  <c r="D22" i="896"/>
  <c r="R21" i="896"/>
  <c r="D21" i="896"/>
  <c r="R20" i="896"/>
  <c r="L20" i="896"/>
  <c r="D20" i="896"/>
  <c r="R19" i="896"/>
  <c r="R18" i="896"/>
  <c r="D18" i="896"/>
  <c r="R17" i="896"/>
  <c r="D17" i="896"/>
  <c r="R16" i="896"/>
  <c r="L16" i="896"/>
  <c r="D16" i="896" s="1"/>
  <c r="S15" i="896"/>
  <c r="R15" i="896"/>
  <c r="D15" i="896"/>
  <c r="S14" i="896"/>
  <c r="R14" i="896"/>
  <c r="D14" i="896"/>
  <c r="R13" i="896"/>
  <c r="D13" i="896"/>
  <c r="R12" i="896"/>
  <c r="L12" i="896"/>
  <c r="D12" i="896"/>
  <c r="R11" i="896"/>
  <c r="L11" i="896"/>
  <c r="D11" i="896"/>
  <c r="L8" i="896"/>
  <c r="D8" i="896"/>
  <c r="R6" i="896"/>
  <c r="R5" i="896"/>
  <c r="R4" i="896"/>
  <c r="R52" i="895"/>
  <c r="R51" i="895"/>
  <c r="D50" i="895"/>
  <c r="R49" i="895"/>
  <c r="D49" i="895"/>
  <c r="R48" i="895"/>
  <c r="D48" i="895"/>
  <c r="D46" i="895"/>
  <c r="D45" i="895"/>
  <c r="D44" i="895"/>
  <c r="R42" i="895"/>
  <c r="D42" i="895"/>
  <c r="R41" i="895"/>
  <c r="D41" i="895"/>
  <c r="R40" i="895"/>
  <c r="D40" i="895"/>
  <c r="R39" i="895"/>
  <c r="L20" i="895" s="1"/>
  <c r="D20" i="895" s="1"/>
  <c r="H39" i="895"/>
  <c r="D39" i="895"/>
  <c r="R38" i="895"/>
  <c r="H38" i="895"/>
  <c r="D38" i="895"/>
  <c r="R37" i="895"/>
  <c r="H37" i="895"/>
  <c r="D37" i="895"/>
  <c r="R36" i="895"/>
  <c r="L10" i="895" s="1"/>
  <c r="D10" i="895" s="1"/>
  <c r="H36" i="895"/>
  <c r="D36" i="895"/>
  <c r="R35" i="895"/>
  <c r="H35" i="895"/>
  <c r="D35" i="895"/>
  <c r="R34" i="895"/>
  <c r="L12" i="895" s="1"/>
  <c r="D12" i="895" s="1"/>
  <c r="H34" i="895"/>
  <c r="D34" i="895"/>
  <c r="R33" i="895"/>
  <c r="L23" i="895" s="1"/>
  <c r="D23" i="895" s="1"/>
  <c r="R32" i="895"/>
  <c r="R31" i="895"/>
  <c r="R30" i="895"/>
  <c r="R29" i="895"/>
  <c r="R28" i="895"/>
  <c r="L16" i="895" s="1"/>
  <c r="D16" i="895" s="1"/>
  <c r="D28" i="895"/>
  <c r="R27" i="895"/>
  <c r="D27" i="895"/>
  <c r="R26" i="895"/>
  <c r="L26" i="895"/>
  <c r="D26" i="895"/>
  <c r="R25" i="895"/>
  <c r="L25" i="895"/>
  <c r="D25" i="895"/>
  <c r="R24" i="895"/>
  <c r="L24" i="895"/>
  <c r="D24" i="895"/>
  <c r="R23" i="895"/>
  <c r="R22" i="895"/>
  <c r="L22" i="895"/>
  <c r="D22" i="895" s="1"/>
  <c r="R21" i="895"/>
  <c r="L17" i="895" s="1"/>
  <c r="D17" i="895" s="1"/>
  <c r="D21" i="895"/>
  <c r="R20" i="895"/>
  <c r="R19" i="895"/>
  <c r="L19" i="895"/>
  <c r="D19" i="895" s="1"/>
  <c r="R18" i="895"/>
  <c r="D18" i="895"/>
  <c r="R17" i="895"/>
  <c r="R16" i="895"/>
  <c r="R15" i="895"/>
  <c r="D15" i="895"/>
  <c r="R14" i="895"/>
  <c r="D14" i="895"/>
  <c r="R13" i="895"/>
  <c r="D13" i="895"/>
  <c r="R12" i="895"/>
  <c r="R11" i="895"/>
  <c r="L11" i="895"/>
  <c r="D11" i="895" s="1"/>
  <c r="L9" i="895"/>
  <c r="D9" i="895"/>
  <c r="L8" i="895"/>
  <c r="D8" i="895"/>
  <c r="L7" i="895"/>
  <c r="D7" i="895"/>
  <c r="R6" i="895"/>
  <c r="L6" i="895"/>
  <c r="D6" i="895"/>
  <c r="R5" i="895"/>
  <c r="R4" i="895"/>
  <c r="R52" i="894"/>
  <c r="R51" i="894"/>
  <c r="D50" i="894"/>
  <c r="R49" i="894"/>
  <c r="D49" i="894"/>
  <c r="R48" i="894"/>
  <c r="D48" i="894"/>
  <c r="D46" i="894"/>
  <c r="D45" i="894"/>
  <c r="P44" i="894"/>
  <c r="R44" i="894" s="1"/>
  <c r="D44" i="894"/>
  <c r="R42" i="894"/>
  <c r="L6" i="894" s="1"/>
  <c r="D6" i="894" s="1"/>
  <c r="D42" i="894"/>
  <c r="R41" i="894"/>
  <c r="D41" i="894"/>
  <c r="R40" i="894"/>
  <c r="D40" i="894"/>
  <c r="R39" i="894"/>
  <c r="L20" i="894" s="1"/>
  <c r="D20" i="894" s="1"/>
  <c r="H39" i="894"/>
  <c r="D39" i="894"/>
  <c r="R38" i="894"/>
  <c r="H38" i="894"/>
  <c r="D38" i="894"/>
  <c r="R37" i="894"/>
  <c r="H37" i="894"/>
  <c r="D37" i="894"/>
  <c r="R36" i="894"/>
  <c r="H36" i="894"/>
  <c r="D36" i="894"/>
  <c r="R35" i="894"/>
  <c r="H35" i="894"/>
  <c r="D35" i="894"/>
  <c r="R34" i="894"/>
  <c r="L12" i="894" s="1"/>
  <c r="D12" i="894" s="1"/>
  <c r="H34" i="894"/>
  <c r="D34" i="894"/>
  <c r="R33" i="894"/>
  <c r="R32" i="894"/>
  <c r="R31" i="894"/>
  <c r="R30" i="894"/>
  <c r="R29" i="894"/>
  <c r="R28" i="894"/>
  <c r="D28" i="894"/>
  <c r="R27" i="894"/>
  <c r="L27" i="894"/>
  <c r="D27" i="894" s="1"/>
  <c r="R26" i="894"/>
  <c r="L26" i="894"/>
  <c r="D26" i="894"/>
  <c r="R25" i="894"/>
  <c r="L25" i="894"/>
  <c r="D25" i="894" s="1"/>
  <c r="R24" i="894"/>
  <c r="L24" i="894"/>
  <c r="D24" i="894"/>
  <c r="R23" i="894"/>
  <c r="L23" i="894"/>
  <c r="D23" i="894" s="1"/>
  <c r="R22" i="894"/>
  <c r="D22" i="894"/>
  <c r="R21" i="894"/>
  <c r="D21" i="894"/>
  <c r="R20" i="894"/>
  <c r="R19" i="894"/>
  <c r="D19" i="894"/>
  <c r="R18" i="894"/>
  <c r="D18" i="894"/>
  <c r="R17" i="894"/>
  <c r="L17" i="894"/>
  <c r="D17" i="894"/>
  <c r="R16" i="894"/>
  <c r="L16" i="894"/>
  <c r="D16" i="894"/>
  <c r="R15" i="894"/>
  <c r="D15" i="894"/>
  <c r="R14" i="894"/>
  <c r="D14" i="894"/>
  <c r="R13" i="894"/>
  <c r="D13" i="894"/>
  <c r="R12" i="894"/>
  <c r="R11" i="894"/>
  <c r="L11" i="894"/>
  <c r="D11" i="894" s="1"/>
  <c r="L10" i="894"/>
  <c r="D10" i="894" s="1"/>
  <c r="L9" i="894"/>
  <c r="D9" i="894" s="1"/>
  <c r="L8" i="894"/>
  <c r="D8" i="894"/>
  <c r="L7" i="894"/>
  <c r="D7" i="894"/>
  <c r="R6" i="894"/>
  <c r="R5" i="894"/>
  <c r="R4" i="894"/>
  <c r="G49" i="896" l="1"/>
  <c r="G49" i="895"/>
  <c r="G49" i="894"/>
  <c r="D54" i="896"/>
  <c r="H14" i="896" s="1"/>
  <c r="D54" i="895"/>
  <c r="H14" i="895" s="1"/>
  <c r="D54" i="894"/>
  <c r="H14" i="894" s="1"/>
  <c r="D29" i="896"/>
  <c r="H13" i="896" s="1"/>
  <c r="D29" i="895"/>
  <c r="H13" i="895" s="1"/>
  <c r="D29" i="894"/>
  <c r="H13" i="894" s="1"/>
  <c r="G38" i="884"/>
  <c r="G37" i="884"/>
  <c r="G35" i="884"/>
  <c r="H15" i="896" l="1"/>
  <c r="H29" i="896" s="1"/>
  <c r="G51" i="896" s="1"/>
  <c r="H15" i="895"/>
  <c r="H29" i="895" s="1"/>
  <c r="G51" i="895" s="1"/>
  <c r="H15" i="894"/>
  <c r="H29" i="894" s="1"/>
  <c r="G51" i="894" s="1"/>
  <c r="H16" i="884"/>
  <c r="H16" i="883" l="1"/>
  <c r="C21" i="882" l="1"/>
  <c r="R52" i="892"/>
  <c r="R51" i="892"/>
  <c r="D50" i="892"/>
  <c r="R49" i="892"/>
  <c r="D49" i="892"/>
  <c r="R48" i="892"/>
  <c r="D48" i="892"/>
  <c r="D46" i="892"/>
  <c r="D45" i="892"/>
  <c r="D44" i="892"/>
  <c r="R42" i="892"/>
  <c r="D42" i="892"/>
  <c r="R41" i="892"/>
  <c r="D41" i="892"/>
  <c r="R40" i="892"/>
  <c r="D40" i="892"/>
  <c r="R39" i="892"/>
  <c r="H39" i="892"/>
  <c r="D39" i="892"/>
  <c r="R38" i="892"/>
  <c r="L9" i="892" s="1"/>
  <c r="D9" i="892" s="1"/>
  <c r="H38" i="892"/>
  <c r="D38" i="892"/>
  <c r="R37" i="892"/>
  <c r="H37" i="892"/>
  <c r="D37" i="892"/>
  <c r="R36" i="892"/>
  <c r="H36" i="892"/>
  <c r="D36" i="892"/>
  <c r="R35" i="892"/>
  <c r="H35" i="892"/>
  <c r="D35" i="892"/>
  <c r="R34" i="892"/>
  <c r="L12" i="892" s="1"/>
  <c r="D12" i="892" s="1"/>
  <c r="H34" i="892"/>
  <c r="D34" i="892"/>
  <c r="R33" i="892"/>
  <c r="L23" i="892" s="1"/>
  <c r="D23" i="892" s="1"/>
  <c r="R32" i="892"/>
  <c r="R31" i="892"/>
  <c r="R30" i="892"/>
  <c r="R29" i="892"/>
  <c r="R28" i="892"/>
  <c r="D28" i="892"/>
  <c r="R27" i="892"/>
  <c r="D27" i="892"/>
  <c r="R26" i="892"/>
  <c r="L26" i="892"/>
  <c r="D26" i="892"/>
  <c r="R25" i="892"/>
  <c r="L25" i="892"/>
  <c r="D25" i="892"/>
  <c r="R24" i="892"/>
  <c r="D24" i="892"/>
  <c r="R23" i="892"/>
  <c r="R22" i="892"/>
  <c r="D22" i="892"/>
  <c r="R21" i="892"/>
  <c r="D21" i="892"/>
  <c r="R20" i="892"/>
  <c r="D20" i="892"/>
  <c r="R19" i="892"/>
  <c r="L19" i="892"/>
  <c r="D19" i="892"/>
  <c r="R18" i="892"/>
  <c r="D18" i="892"/>
  <c r="R17" i="892"/>
  <c r="D17" i="892"/>
  <c r="R16" i="892"/>
  <c r="L16" i="892"/>
  <c r="D16" i="892" s="1"/>
  <c r="S15" i="892"/>
  <c r="R15" i="892"/>
  <c r="D15" i="892"/>
  <c r="S14" i="892"/>
  <c r="R14" i="892"/>
  <c r="D14" i="892"/>
  <c r="R13" i="892"/>
  <c r="D13" i="892"/>
  <c r="R12" i="892"/>
  <c r="R11" i="892"/>
  <c r="L11" i="892"/>
  <c r="D11" i="892"/>
  <c r="L10" i="892"/>
  <c r="D10" i="892"/>
  <c r="L8" i="892"/>
  <c r="D8" i="892"/>
  <c r="L7" i="892"/>
  <c r="D7" i="892"/>
  <c r="R6" i="892"/>
  <c r="L6" i="892"/>
  <c r="D6" i="892" s="1"/>
  <c r="R5" i="892"/>
  <c r="R4" i="892"/>
  <c r="R52" i="891"/>
  <c r="R51" i="891"/>
  <c r="D50" i="891"/>
  <c r="R49" i="891"/>
  <c r="D49" i="891"/>
  <c r="R48" i="891"/>
  <c r="D48" i="891"/>
  <c r="D46" i="891"/>
  <c r="D45" i="891"/>
  <c r="D44" i="891"/>
  <c r="R42" i="891"/>
  <c r="D42" i="891"/>
  <c r="R41" i="891"/>
  <c r="L7" i="891" s="1"/>
  <c r="D7" i="891" s="1"/>
  <c r="D41" i="891"/>
  <c r="R40" i="891"/>
  <c r="D40" i="891"/>
  <c r="R39" i="891"/>
  <c r="L20" i="891" s="1"/>
  <c r="D20" i="891" s="1"/>
  <c r="H39" i="891"/>
  <c r="D39" i="891"/>
  <c r="R38" i="891"/>
  <c r="L9" i="891" s="1"/>
  <c r="D9" i="891" s="1"/>
  <c r="H38" i="891"/>
  <c r="D38" i="891"/>
  <c r="R37" i="891"/>
  <c r="H37" i="891"/>
  <c r="D37" i="891"/>
  <c r="R36" i="891"/>
  <c r="L10" i="891" s="1"/>
  <c r="D10" i="891" s="1"/>
  <c r="H36" i="891"/>
  <c r="D36" i="891"/>
  <c r="R35" i="891"/>
  <c r="L19" i="891" s="1"/>
  <c r="D19" i="891" s="1"/>
  <c r="H35" i="891"/>
  <c r="D35" i="891"/>
  <c r="R34" i="891"/>
  <c r="L12" i="891" s="1"/>
  <c r="D12" i="891" s="1"/>
  <c r="H34" i="891"/>
  <c r="D34" i="891"/>
  <c r="R33" i="891"/>
  <c r="L23" i="891" s="1"/>
  <c r="D23" i="891" s="1"/>
  <c r="R32" i="891"/>
  <c r="L11" i="891" s="1"/>
  <c r="D11" i="891" s="1"/>
  <c r="R31" i="891"/>
  <c r="R30" i="891"/>
  <c r="R29" i="891"/>
  <c r="R28" i="891"/>
  <c r="D28" i="891"/>
  <c r="R27" i="891"/>
  <c r="D27" i="891"/>
  <c r="R26" i="891"/>
  <c r="L26" i="891"/>
  <c r="D26" i="891"/>
  <c r="R25" i="891"/>
  <c r="L25" i="891"/>
  <c r="D25" i="891"/>
  <c r="R24" i="891"/>
  <c r="L24" i="891"/>
  <c r="D24" i="891" s="1"/>
  <c r="R23" i="891"/>
  <c r="R22" i="891"/>
  <c r="L22" i="891"/>
  <c r="D22" i="891" s="1"/>
  <c r="R21" i="891"/>
  <c r="L17" i="891" s="1"/>
  <c r="D17" i="891" s="1"/>
  <c r="D21" i="891"/>
  <c r="R20" i="891"/>
  <c r="R19" i="891"/>
  <c r="R18" i="891"/>
  <c r="D18" i="891"/>
  <c r="R17" i="891"/>
  <c r="R16" i="891"/>
  <c r="L16" i="891"/>
  <c r="D16" i="891" s="1"/>
  <c r="R15" i="891"/>
  <c r="D15" i="891"/>
  <c r="R14" i="891"/>
  <c r="D14" i="891"/>
  <c r="R13" i="891"/>
  <c r="D13" i="891"/>
  <c r="R12" i="891"/>
  <c r="R11" i="891"/>
  <c r="L8" i="891"/>
  <c r="D8" i="891"/>
  <c r="R6" i="891"/>
  <c r="L6" i="891"/>
  <c r="D6" i="891" s="1"/>
  <c r="R5" i="891"/>
  <c r="R4" i="891"/>
  <c r="R52" i="890"/>
  <c r="R51" i="890"/>
  <c r="D50" i="890"/>
  <c r="R49" i="890"/>
  <c r="D49" i="890"/>
  <c r="R48" i="890"/>
  <c r="D48" i="890"/>
  <c r="D46" i="890"/>
  <c r="D45" i="890"/>
  <c r="P44" i="890"/>
  <c r="R44" i="890" s="1"/>
  <c r="D44" i="890"/>
  <c r="R42" i="890"/>
  <c r="D42" i="890"/>
  <c r="R41" i="890"/>
  <c r="D41" i="890"/>
  <c r="R40" i="890"/>
  <c r="D40" i="890"/>
  <c r="R39" i="890"/>
  <c r="L20" i="890" s="1"/>
  <c r="D20" i="890" s="1"/>
  <c r="H39" i="890"/>
  <c r="D39" i="890"/>
  <c r="R38" i="890"/>
  <c r="H38" i="890"/>
  <c r="D38" i="890"/>
  <c r="R37" i="890"/>
  <c r="H37" i="890"/>
  <c r="D37" i="890"/>
  <c r="R36" i="890"/>
  <c r="L10" i="890" s="1"/>
  <c r="D10" i="890" s="1"/>
  <c r="H36" i="890"/>
  <c r="D36" i="890"/>
  <c r="R35" i="890"/>
  <c r="H35" i="890"/>
  <c r="D35" i="890"/>
  <c r="R34" i="890"/>
  <c r="L12" i="890" s="1"/>
  <c r="D12" i="890" s="1"/>
  <c r="H34" i="890"/>
  <c r="D34" i="890"/>
  <c r="R33" i="890"/>
  <c r="R32" i="890"/>
  <c r="R31" i="890"/>
  <c r="R30" i="890"/>
  <c r="R29" i="890"/>
  <c r="R28" i="890"/>
  <c r="D28" i="890"/>
  <c r="R27" i="890"/>
  <c r="L27" i="890"/>
  <c r="D27" i="890"/>
  <c r="R26" i="890"/>
  <c r="L26" i="890"/>
  <c r="D26" i="890"/>
  <c r="R25" i="890"/>
  <c r="L25" i="890"/>
  <c r="D25" i="890" s="1"/>
  <c r="R24" i="890"/>
  <c r="L24" i="890"/>
  <c r="D24" i="890" s="1"/>
  <c r="R23" i="890"/>
  <c r="L23" i="890"/>
  <c r="D23" i="890"/>
  <c r="R22" i="890"/>
  <c r="D22" i="890"/>
  <c r="R21" i="890"/>
  <c r="D21" i="890"/>
  <c r="R20" i="890"/>
  <c r="R19" i="890"/>
  <c r="D19" i="890"/>
  <c r="R18" i="890"/>
  <c r="D18" i="890"/>
  <c r="R17" i="890"/>
  <c r="L17" i="890"/>
  <c r="D17" i="890"/>
  <c r="R16" i="890"/>
  <c r="L16" i="890"/>
  <c r="D16" i="890" s="1"/>
  <c r="R15" i="890"/>
  <c r="D15" i="890"/>
  <c r="R14" i="890"/>
  <c r="D14" i="890"/>
  <c r="R13" i="890"/>
  <c r="D13" i="890"/>
  <c r="R12" i="890"/>
  <c r="R11" i="890"/>
  <c r="L11" i="890"/>
  <c r="D11" i="890"/>
  <c r="L9" i="890"/>
  <c r="D9" i="890"/>
  <c r="L8" i="890"/>
  <c r="D8" i="890"/>
  <c r="L7" i="890"/>
  <c r="D7" i="890"/>
  <c r="R6" i="890"/>
  <c r="L6" i="890"/>
  <c r="D6" i="890"/>
  <c r="R5" i="890"/>
  <c r="R4" i="890"/>
  <c r="G49" i="892" l="1"/>
  <c r="G49" i="891"/>
  <c r="G49" i="890"/>
  <c r="D54" i="892"/>
  <c r="H14" i="892" s="1"/>
  <c r="D54" i="891"/>
  <c r="H14" i="891" s="1"/>
  <c r="D29" i="891"/>
  <c r="H13" i="891" s="1"/>
  <c r="D54" i="890"/>
  <c r="H14" i="890" s="1"/>
  <c r="D29" i="892"/>
  <c r="H13" i="892" s="1"/>
  <c r="D29" i="890"/>
  <c r="H13" i="890" s="1"/>
  <c r="H16" i="878"/>
  <c r="G42" i="878"/>
  <c r="G39" i="878"/>
  <c r="G37" i="878"/>
  <c r="G35" i="878"/>
  <c r="G34" i="878"/>
  <c r="H15" i="892" l="1"/>
  <c r="H29" i="892" s="1"/>
  <c r="G51" i="892" s="1"/>
  <c r="H15" i="891"/>
  <c r="H29" i="891" s="1"/>
  <c r="G51" i="891" s="1"/>
  <c r="H15" i="890"/>
  <c r="H29" i="890" s="1"/>
  <c r="G51" i="890" s="1"/>
  <c r="H20" i="880"/>
  <c r="H16" i="880"/>
  <c r="H16" i="879"/>
  <c r="C12" i="880" l="1"/>
  <c r="C12" i="878"/>
  <c r="C21" i="878"/>
  <c r="R52" i="888" l="1"/>
  <c r="R51" i="888"/>
  <c r="D50" i="888"/>
  <c r="R49" i="888"/>
  <c r="D49" i="888"/>
  <c r="R48" i="888"/>
  <c r="D48" i="888"/>
  <c r="D46" i="888"/>
  <c r="D45" i="888"/>
  <c r="D44" i="888"/>
  <c r="R42" i="888"/>
  <c r="D42" i="888"/>
  <c r="R41" i="888"/>
  <c r="L7" i="888" s="1"/>
  <c r="D7" i="888" s="1"/>
  <c r="D41" i="888"/>
  <c r="R40" i="888"/>
  <c r="L8" i="888" s="1"/>
  <c r="D8" i="888" s="1"/>
  <c r="D40" i="888"/>
  <c r="R39" i="888"/>
  <c r="H39" i="888"/>
  <c r="D39" i="888"/>
  <c r="R38" i="888"/>
  <c r="H38" i="888"/>
  <c r="D38" i="888"/>
  <c r="R37" i="888"/>
  <c r="H37" i="888"/>
  <c r="D37" i="888"/>
  <c r="R36" i="888"/>
  <c r="L10" i="888" s="1"/>
  <c r="D10" i="888" s="1"/>
  <c r="H36" i="888"/>
  <c r="D36" i="888"/>
  <c r="R35" i="888"/>
  <c r="L19" i="888" s="1"/>
  <c r="D19" i="888" s="1"/>
  <c r="H35" i="888"/>
  <c r="D35" i="888"/>
  <c r="R34" i="888"/>
  <c r="H34" i="888"/>
  <c r="D34" i="888"/>
  <c r="R33" i="888"/>
  <c r="R32" i="888"/>
  <c r="R31" i="888"/>
  <c r="R30" i="888"/>
  <c r="R29" i="888"/>
  <c r="R28" i="888"/>
  <c r="D28" i="888"/>
  <c r="R27" i="888"/>
  <c r="D27" i="888"/>
  <c r="R26" i="888"/>
  <c r="L26" i="888"/>
  <c r="D26" i="888" s="1"/>
  <c r="R25" i="888"/>
  <c r="L25" i="888"/>
  <c r="D25" i="888" s="1"/>
  <c r="R24" i="888"/>
  <c r="D24" i="888"/>
  <c r="R23" i="888"/>
  <c r="L23" i="888"/>
  <c r="D23" i="888" s="1"/>
  <c r="R22" i="888"/>
  <c r="L22" i="888"/>
  <c r="D22" i="888" s="1"/>
  <c r="R21" i="888"/>
  <c r="D21" i="888"/>
  <c r="R20" i="888"/>
  <c r="L20" i="888"/>
  <c r="D20" i="888" s="1"/>
  <c r="R19" i="888"/>
  <c r="R18" i="888"/>
  <c r="D18" i="888"/>
  <c r="R17" i="888"/>
  <c r="D17" i="888"/>
  <c r="R16" i="888"/>
  <c r="L16" i="888"/>
  <c r="D16" i="888"/>
  <c r="S15" i="888"/>
  <c r="R15" i="888"/>
  <c r="D15" i="888"/>
  <c r="S14" i="888"/>
  <c r="R14" i="888"/>
  <c r="D14" i="888"/>
  <c r="R13" i="888"/>
  <c r="D13" i="888"/>
  <c r="R12" i="888"/>
  <c r="L12" i="888"/>
  <c r="D12" i="888" s="1"/>
  <c r="R11" i="888"/>
  <c r="L11" i="888"/>
  <c r="D11" i="888" s="1"/>
  <c r="L9" i="888"/>
  <c r="D9" i="888"/>
  <c r="R6" i="888"/>
  <c r="L6" i="888"/>
  <c r="D6" i="888"/>
  <c r="R5" i="888"/>
  <c r="R4" i="888"/>
  <c r="R52" i="887"/>
  <c r="R51" i="887"/>
  <c r="D50" i="887"/>
  <c r="R49" i="887"/>
  <c r="D49" i="887"/>
  <c r="R48" i="887"/>
  <c r="D48" i="887"/>
  <c r="D46" i="887"/>
  <c r="D45" i="887"/>
  <c r="D44" i="887"/>
  <c r="R42" i="887"/>
  <c r="L6" i="887" s="1"/>
  <c r="D6" i="887" s="1"/>
  <c r="D42" i="887"/>
  <c r="R41" i="887"/>
  <c r="L7" i="887" s="1"/>
  <c r="D7" i="887" s="1"/>
  <c r="D41" i="887"/>
  <c r="R40" i="887"/>
  <c r="L8" i="887" s="1"/>
  <c r="D8" i="887" s="1"/>
  <c r="D40" i="887"/>
  <c r="R39" i="887"/>
  <c r="L20" i="887" s="1"/>
  <c r="D20" i="887" s="1"/>
  <c r="H39" i="887"/>
  <c r="D39" i="887"/>
  <c r="R38" i="887"/>
  <c r="L9" i="887" s="1"/>
  <c r="D9" i="887" s="1"/>
  <c r="H38" i="887"/>
  <c r="D38" i="887"/>
  <c r="R37" i="887"/>
  <c r="H37" i="887"/>
  <c r="D37" i="887"/>
  <c r="R36" i="887"/>
  <c r="H36" i="887"/>
  <c r="D36" i="887"/>
  <c r="R35" i="887"/>
  <c r="L19" i="887" s="1"/>
  <c r="D19" i="887" s="1"/>
  <c r="H35" i="887"/>
  <c r="D35" i="887"/>
  <c r="R34" i="887"/>
  <c r="H34" i="887"/>
  <c r="D34" i="887"/>
  <c r="R33" i="887"/>
  <c r="R32" i="887"/>
  <c r="R31" i="887"/>
  <c r="R30" i="887"/>
  <c r="R29" i="887"/>
  <c r="R28" i="887"/>
  <c r="D28" i="887"/>
  <c r="R27" i="887"/>
  <c r="D27" i="887"/>
  <c r="R26" i="887"/>
  <c r="L26" i="887"/>
  <c r="D26" i="887" s="1"/>
  <c r="R25" i="887"/>
  <c r="L25" i="887"/>
  <c r="D25" i="887" s="1"/>
  <c r="R24" i="887"/>
  <c r="L24" i="887"/>
  <c r="D24" i="887" s="1"/>
  <c r="R23" i="887"/>
  <c r="L23" i="887"/>
  <c r="D23" i="887"/>
  <c r="R22" i="887"/>
  <c r="L22" i="887"/>
  <c r="D22" i="887"/>
  <c r="R21" i="887"/>
  <c r="L17" i="887" s="1"/>
  <c r="D17" i="887" s="1"/>
  <c r="D21" i="887"/>
  <c r="R20" i="887"/>
  <c r="R19" i="887"/>
  <c r="R18" i="887"/>
  <c r="D18" i="887"/>
  <c r="R17" i="887"/>
  <c r="R16" i="887"/>
  <c r="L16" i="887"/>
  <c r="D16" i="887"/>
  <c r="R15" i="887"/>
  <c r="D15" i="887"/>
  <c r="R14" i="887"/>
  <c r="D14" i="887"/>
  <c r="R13" i="887"/>
  <c r="D13" i="887"/>
  <c r="R12" i="887"/>
  <c r="L12" i="887"/>
  <c r="D12" i="887"/>
  <c r="R11" i="887"/>
  <c r="L11" i="887"/>
  <c r="D11" i="887"/>
  <c r="L10" i="887"/>
  <c r="D10" i="887"/>
  <c r="R6" i="887"/>
  <c r="R5" i="887"/>
  <c r="R4" i="887"/>
  <c r="R52" i="886"/>
  <c r="R51" i="886"/>
  <c r="D50" i="886"/>
  <c r="R49" i="886"/>
  <c r="D49" i="886"/>
  <c r="R48" i="886"/>
  <c r="D48" i="886"/>
  <c r="D46" i="886"/>
  <c r="D45" i="886"/>
  <c r="P44" i="886"/>
  <c r="R44" i="886" s="1"/>
  <c r="D44" i="886"/>
  <c r="R42" i="886"/>
  <c r="L6" i="886" s="1"/>
  <c r="D6" i="886" s="1"/>
  <c r="D42" i="886"/>
  <c r="R41" i="886"/>
  <c r="L7" i="886" s="1"/>
  <c r="D7" i="886" s="1"/>
  <c r="D41" i="886"/>
  <c r="R40" i="886"/>
  <c r="L8" i="886" s="1"/>
  <c r="D8" i="886" s="1"/>
  <c r="D40" i="886"/>
  <c r="R39" i="886"/>
  <c r="H39" i="886"/>
  <c r="D39" i="886"/>
  <c r="R38" i="886"/>
  <c r="H38" i="886"/>
  <c r="D38" i="886"/>
  <c r="R37" i="886"/>
  <c r="H37" i="886"/>
  <c r="D37" i="886"/>
  <c r="R36" i="886"/>
  <c r="H36" i="886"/>
  <c r="D36" i="886"/>
  <c r="R35" i="886"/>
  <c r="H35" i="886"/>
  <c r="D35" i="886"/>
  <c r="R34" i="886"/>
  <c r="L12" i="886" s="1"/>
  <c r="D12" i="886" s="1"/>
  <c r="H34" i="886"/>
  <c r="D34" i="886"/>
  <c r="R33" i="886"/>
  <c r="R32" i="886"/>
  <c r="R31" i="886"/>
  <c r="R30" i="886"/>
  <c r="R29" i="886"/>
  <c r="R28" i="886"/>
  <c r="D28" i="886"/>
  <c r="R27" i="886"/>
  <c r="L27" i="886"/>
  <c r="D27" i="886"/>
  <c r="R26" i="886"/>
  <c r="L26" i="886"/>
  <c r="D26" i="886" s="1"/>
  <c r="R25" i="886"/>
  <c r="L25" i="886"/>
  <c r="D25" i="886" s="1"/>
  <c r="R24" i="886"/>
  <c r="L24" i="886"/>
  <c r="D24" i="886" s="1"/>
  <c r="R23" i="886"/>
  <c r="L23" i="886"/>
  <c r="D23" i="886"/>
  <c r="R22" i="886"/>
  <c r="D22" i="886"/>
  <c r="R21" i="886"/>
  <c r="D21" i="886"/>
  <c r="R20" i="886"/>
  <c r="L20" i="886"/>
  <c r="D20" i="886" s="1"/>
  <c r="R19" i="886"/>
  <c r="D19" i="886"/>
  <c r="R18" i="886"/>
  <c r="D18" i="886"/>
  <c r="R17" i="886"/>
  <c r="L17" i="886"/>
  <c r="D17" i="886"/>
  <c r="R16" i="886"/>
  <c r="L16" i="886"/>
  <c r="D16" i="886"/>
  <c r="R15" i="886"/>
  <c r="D15" i="886"/>
  <c r="R14" i="886"/>
  <c r="D14" i="886"/>
  <c r="R13" i="886"/>
  <c r="D13" i="886"/>
  <c r="R12" i="886"/>
  <c r="R11" i="886"/>
  <c r="L11" i="886"/>
  <c r="D11" i="886"/>
  <c r="L10" i="886"/>
  <c r="D10" i="886"/>
  <c r="L9" i="886"/>
  <c r="D9" i="886"/>
  <c r="R6" i="886"/>
  <c r="R5" i="886"/>
  <c r="R4" i="886"/>
  <c r="G49" i="888" l="1"/>
  <c r="G49" i="887"/>
  <c r="G49" i="886"/>
  <c r="D54" i="888"/>
  <c r="H14" i="888" s="1"/>
  <c r="D54" i="887"/>
  <c r="H14" i="887" s="1"/>
  <c r="D54" i="886"/>
  <c r="H14" i="886" s="1"/>
  <c r="D29" i="888"/>
  <c r="H13" i="888" s="1"/>
  <c r="D29" i="887"/>
  <c r="H13" i="887" s="1"/>
  <c r="D29" i="886"/>
  <c r="H13" i="886" s="1"/>
  <c r="R52" i="884"/>
  <c r="R51" i="884"/>
  <c r="D50" i="884"/>
  <c r="R49" i="884"/>
  <c r="D49" i="884"/>
  <c r="R48" i="884"/>
  <c r="D48" i="884"/>
  <c r="D46" i="884"/>
  <c r="D45" i="884"/>
  <c r="D44" i="884"/>
  <c r="R42" i="884"/>
  <c r="D42" i="884"/>
  <c r="R41" i="884"/>
  <c r="L7" i="884" s="1"/>
  <c r="D7" i="884" s="1"/>
  <c r="D41" i="884"/>
  <c r="R40" i="884"/>
  <c r="D40" i="884"/>
  <c r="R39" i="884"/>
  <c r="H39" i="884"/>
  <c r="D39" i="884"/>
  <c r="R38" i="884"/>
  <c r="H38" i="884"/>
  <c r="D38" i="884"/>
  <c r="R37" i="884"/>
  <c r="H37" i="884"/>
  <c r="D37" i="884"/>
  <c r="R36" i="884"/>
  <c r="H36" i="884"/>
  <c r="D36" i="884"/>
  <c r="R35" i="884"/>
  <c r="L19" i="884" s="1"/>
  <c r="D19" i="884" s="1"/>
  <c r="H35" i="884"/>
  <c r="D35" i="884"/>
  <c r="R34" i="884"/>
  <c r="L12" i="884" s="1"/>
  <c r="D12" i="884" s="1"/>
  <c r="H34" i="884"/>
  <c r="D34" i="884"/>
  <c r="R33" i="884"/>
  <c r="L23" i="884" s="1"/>
  <c r="D23" i="884" s="1"/>
  <c r="R32" i="884"/>
  <c r="L11" i="884" s="1"/>
  <c r="D11" i="884" s="1"/>
  <c r="R31" i="884"/>
  <c r="R30" i="884"/>
  <c r="R29" i="884"/>
  <c r="R28" i="884"/>
  <c r="L16" i="884" s="1"/>
  <c r="D16" i="884" s="1"/>
  <c r="D28" i="884"/>
  <c r="R27" i="884"/>
  <c r="D27" i="884"/>
  <c r="R26" i="884"/>
  <c r="L26" i="884"/>
  <c r="D26" i="884"/>
  <c r="R25" i="884"/>
  <c r="L25" i="884"/>
  <c r="D25" i="884"/>
  <c r="R24" i="884"/>
  <c r="D24" i="884"/>
  <c r="R23" i="884"/>
  <c r="R22" i="884"/>
  <c r="L22" i="884"/>
  <c r="D22" i="884"/>
  <c r="R21" i="884"/>
  <c r="D21" i="884"/>
  <c r="R20" i="884"/>
  <c r="L20" i="884"/>
  <c r="D20" i="884"/>
  <c r="R19" i="884"/>
  <c r="R18" i="884"/>
  <c r="D18" i="884"/>
  <c r="R17" i="884"/>
  <c r="D17" i="884"/>
  <c r="R16" i="884"/>
  <c r="S15" i="884"/>
  <c r="R15" i="884"/>
  <c r="D15" i="884"/>
  <c r="S14" i="884"/>
  <c r="R14" i="884"/>
  <c r="D14" i="884"/>
  <c r="R13" i="884"/>
  <c r="D13" i="884"/>
  <c r="R12" i="884"/>
  <c r="R11" i="884"/>
  <c r="L10" i="884"/>
  <c r="D10" i="884"/>
  <c r="L9" i="884"/>
  <c r="D9" i="884" s="1"/>
  <c r="L8" i="884"/>
  <c r="D8" i="884" s="1"/>
  <c r="R6" i="884"/>
  <c r="L6" i="884"/>
  <c r="D6" i="884"/>
  <c r="R5" i="884"/>
  <c r="R4" i="884"/>
  <c r="R52" i="883"/>
  <c r="R51" i="883"/>
  <c r="D50" i="883"/>
  <c r="R49" i="883"/>
  <c r="D49" i="883"/>
  <c r="R48" i="883"/>
  <c r="D48" i="883"/>
  <c r="D46" i="883"/>
  <c r="D45" i="883"/>
  <c r="D44" i="883"/>
  <c r="R42" i="883"/>
  <c r="D42" i="883"/>
  <c r="R41" i="883"/>
  <c r="L7" i="883" s="1"/>
  <c r="D7" i="883" s="1"/>
  <c r="D41" i="883"/>
  <c r="R40" i="883"/>
  <c r="D40" i="883"/>
  <c r="R39" i="883"/>
  <c r="H39" i="883"/>
  <c r="D39" i="883"/>
  <c r="R38" i="883"/>
  <c r="L9" i="883" s="1"/>
  <c r="D9" i="883" s="1"/>
  <c r="H38" i="883"/>
  <c r="D38" i="883"/>
  <c r="R37" i="883"/>
  <c r="H37" i="883"/>
  <c r="D37" i="883"/>
  <c r="R36" i="883"/>
  <c r="H36" i="883"/>
  <c r="D36" i="883"/>
  <c r="R35" i="883"/>
  <c r="H35" i="883"/>
  <c r="D35" i="883"/>
  <c r="R34" i="883"/>
  <c r="H34" i="883"/>
  <c r="D34" i="883"/>
  <c r="R33" i="883"/>
  <c r="R32" i="883"/>
  <c r="L11" i="883" s="1"/>
  <c r="D11" i="883" s="1"/>
  <c r="R31" i="883"/>
  <c r="R30" i="883"/>
  <c r="R29" i="883"/>
  <c r="R28" i="883"/>
  <c r="D28" i="883"/>
  <c r="R27" i="883"/>
  <c r="D27" i="883"/>
  <c r="R26" i="883"/>
  <c r="L26" i="883"/>
  <c r="D26" i="883"/>
  <c r="R25" i="883"/>
  <c r="L25" i="883"/>
  <c r="D25" i="883"/>
  <c r="R24" i="883"/>
  <c r="L24" i="883"/>
  <c r="D24" i="883"/>
  <c r="R23" i="883"/>
  <c r="L23" i="883"/>
  <c r="D23" i="883" s="1"/>
  <c r="R22" i="883"/>
  <c r="L22" i="883"/>
  <c r="D22" i="883" s="1"/>
  <c r="R21" i="883"/>
  <c r="D21" i="883"/>
  <c r="R20" i="883"/>
  <c r="L20" i="883"/>
  <c r="D20" i="883" s="1"/>
  <c r="R19" i="883"/>
  <c r="L19" i="883"/>
  <c r="D19" i="883"/>
  <c r="R18" i="883"/>
  <c r="D18" i="883"/>
  <c r="R17" i="883"/>
  <c r="L17" i="883"/>
  <c r="D17" i="883" s="1"/>
  <c r="R16" i="883"/>
  <c r="L16" i="883"/>
  <c r="D16" i="883" s="1"/>
  <c r="R15" i="883"/>
  <c r="D15" i="883"/>
  <c r="R14" i="883"/>
  <c r="D14" i="883"/>
  <c r="R13" i="883"/>
  <c r="D13" i="883"/>
  <c r="R12" i="883"/>
  <c r="L12" i="883"/>
  <c r="D12" i="883"/>
  <c r="R11" i="883"/>
  <c r="L10" i="883"/>
  <c r="D10" i="883"/>
  <c r="L8" i="883"/>
  <c r="D8" i="883" s="1"/>
  <c r="R6" i="883"/>
  <c r="L6" i="883"/>
  <c r="D6" i="883"/>
  <c r="R5" i="883"/>
  <c r="R4" i="883"/>
  <c r="R52" i="882"/>
  <c r="R51" i="882"/>
  <c r="D50" i="882"/>
  <c r="R49" i="882"/>
  <c r="D49" i="882"/>
  <c r="R48" i="882"/>
  <c r="D48" i="882"/>
  <c r="D46" i="882"/>
  <c r="D45" i="882"/>
  <c r="P44" i="882"/>
  <c r="R44" i="882" s="1"/>
  <c r="D44" i="882"/>
  <c r="R42" i="882"/>
  <c r="D42" i="882"/>
  <c r="R41" i="882"/>
  <c r="D41" i="882"/>
  <c r="R40" i="882"/>
  <c r="D40" i="882"/>
  <c r="R39" i="882"/>
  <c r="L20" i="882" s="1"/>
  <c r="D20" i="882" s="1"/>
  <c r="H39" i="882"/>
  <c r="D39" i="882"/>
  <c r="R38" i="882"/>
  <c r="L9" i="882" s="1"/>
  <c r="D9" i="882" s="1"/>
  <c r="H38" i="882"/>
  <c r="D38" i="882"/>
  <c r="R37" i="882"/>
  <c r="H37" i="882"/>
  <c r="D37" i="882"/>
  <c r="R36" i="882"/>
  <c r="H36" i="882"/>
  <c r="D36" i="882"/>
  <c r="R35" i="882"/>
  <c r="H35" i="882"/>
  <c r="D35" i="882"/>
  <c r="R34" i="882"/>
  <c r="L12" i="882" s="1"/>
  <c r="D12" i="882" s="1"/>
  <c r="H34" i="882"/>
  <c r="D34" i="882"/>
  <c r="R33" i="882"/>
  <c r="R32" i="882"/>
  <c r="L11" i="882" s="1"/>
  <c r="D11" i="882" s="1"/>
  <c r="R31" i="882"/>
  <c r="R30" i="882"/>
  <c r="R29" i="882"/>
  <c r="R28" i="882"/>
  <c r="D28" i="882"/>
  <c r="R27" i="882"/>
  <c r="L27" i="882"/>
  <c r="D27" i="882"/>
  <c r="R26" i="882"/>
  <c r="L26" i="882"/>
  <c r="D26" i="882"/>
  <c r="R25" i="882"/>
  <c r="L25" i="882"/>
  <c r="D25" i="882"/>
  <c r="R24" i="882"/>
  <c r="L24" i="882"/>
  <c r="D24" i="882"/>
  <c r="R23" i="882"/>
  <c r="L23" i="882"/>
  <c r="D23" i="882"/>
  <c r="R22" i="882"/>
  <c r="D22" i="882"/>
  <c r="R21" i="882"/>
  <c r="D21" i="882"/>
  <c r="R20" i="882"/>
  <c r="R19" i="882"/>
  <c r="D19" i="882"/>
  <c r="R18" i="882"/>
  <c r="D18" i="882"/>
  <c r="R17" i="882"/>
  <c r="L17" i="882"/>
  <c r="D17" i="882"/>
  <c r="R16" i="882"/>
  <c r="L16" i="882"/>
  <c r="D16" i="882"/>
  <c r="R15" i="882"/>
  <c r="D15" i="882"/>
  <c r="R14" i="882"/>
  <c r="D14" i="882"/>
  <c r="R13" i="882"/>
  <c r="D13" i="882"/>
  <c r="R12" i="882"/>
  <c r="R11" i="882"/>
  <c r="L10" i="882"/>
  <c r="D10" i="882"/>
  <c r="L8" i="882"/>
  <c r="D8" i="882"/>
  <c r="L7" i="882"/>
  <c r="D7" i="882"/>
  <c r="R6" i="882"/>
  <c r="L6" i="882"/>
  <c r="D6" i="882" s="1"/>
  <c r="R5" i="882"/>
  <c r="R4" i="882"/>
  <c r="H20" i="876"/>
  <c r="H16" i="876"/>
  <c r="C12" i="876"/>
  <c r="C21" i="876"/>
  <c r="C12" i="874"/>
  <c r="H16" i="872"/>
  <c r="H16" i="871"/>
  <c r="H15" i="888" l="1"/>
  <c r="H29" i="888" s="1"/>
  <c r="G51" i="888" s="1"/>
  <c r="H15" i="887"/>
  <c r="H29" i="887" s="1"/>
  <c r="G51" i="887" s="1"/>
  <c r="H15" i="886"/>
  <c r="H29" i="886" s="1"/>
  <c r="G51" i="886" s="1"/>
  <c r="G49" i="884"/>
  <c r="G49" i="883"/>
  <c r="G49" i="882"/>
  <c r="D54" i="884"/>
  <c r="H14" i="884" s="1"/>
  <c r="D54" i="883"/>
  <c r="H14" i="883" s="1"/>
  <c r="D54" i="882"/>
  <c r="H14" i="882" s="1"/>
  <c r="D29" i="884"/>
  <c r="H13" i="884" s="1"/>
  <c r="D29" i="883"/>
  <c r="H13" i="883" s="1"/>
  <c r="D29" i="882"/>
  <c r="H13" i="882" s="1"/>
  <c r="R52" i="880"/>
  <c r="R51" i="880"/>
  <c r="D50" i="880"/>
  <c r="R49" i="880"/>
  <c r="D49" i="880"/>
  <c r="R48" i="880"/>
  <c r="D48" i="880"/>
  <c r="D46" i="880"/>
  <c r="D45" i="880"/>
  <c r="D44" i="880"/>
  <c r="R42" i="880"/>
  <c r="D42" i="880"/>
  <c r="R41" i="880"/>
  <c r="D41" i="880"/>
  <c r="R40" i="880"/>
  <c r="D40" i="880"/>
  <c r="R39" i="880"/>
  <c r="H39" i="880"/>
  <c r="D39" i="880"/>
  <c r="R38" i="880"/>
  <c r="H38" i="880"/>
  <c r="D38" i="880"/>
  <c r="R37" i="880"/>
  <c r="H37" i="880"/>
  <c r="D37" i="880"/>
  <c r="R36" i="880"/>
  <c r="L10" i="880" s="1"/>
  <c r="D10" i="880" s="1"/>
  <c r="H36" i="880"/>
  <c r="D36" i="880"/>
  <c r="R35" i="880"/>
  <c r="H35" i="880"/>
  <c r="D35" i="880"/>
  <c r="R34" i="880"/>
  <c r="L12" i="880" s="1"/>
  <c r="D12" i="880" s="1"/>
  <c r="H34" i="880"/>
  <c r="D34" i="880"/>
  <c r="R33" i="880"/>
  <c r="L23" i="880" s="1"/>
  <c r="D23" i="880" s="1"/>
  <c r="R32" i="880"/>
  <c r="R31" i="880"/>
  <c r="R30" i="880"/>
  <c r="R29" i="880"/>
  <c r="R28" i="880"/>
  <c r="L16" i="880" s="1"/>
  <c r="D16" i="880" s="1"/>
  <c r="D28" i="880"/>
  <c r="R27" i="880"/>
  <c r="D27" i="880"/>
  <c r="R26" i="880"/>
  <c r="L26" i="880"/>
  <c r="D26" i="880"/>
  <c r="R25" i="880"/>
  <c r="L25" i="880"/>
  <c r="D25" i="880" s="1"/>
  <c r="R24" i="880"/>
  <c r="D24" i="880"/>
  <c r="R23" i="880"/>
  <c r="R22" i="880"/>
  <c r="L22" i="880"/>
  <c r="D22" i="880" s="1"/>
  <c r="R21" i="880"/>
  <c r="D21" i="880"/>
  <c r="R20" i="880"/>
  <c r="L20" i="880"/>
  <c r="D20" i="880"/>
  <c r="R19" i="880"/>
  <c r="L19" i="880"/>
  <c r="D19" i="880" s="1"/>
  <c r="R18" i="880"/>
  <c r="D18" i="880"/>
  <c r="R17" i="880"/>
  <c r="D17" i="880"/>
  <c r="R16" i="880"/>
  <c r="S15" i="880"/>
  <c r="R15" i="880"/>
  <c r="D15" i="880"/>
  <c r="S14" i="880"/>
  <c r="R14" i="880"/>
  <c r="D14" i="880"/>
  <c r="R13" i="880"/>
  <c r="D13" i="880"/>
  <c r="R12" i="880"/>
  <c r="R11" i="880"/>
  <c r="L11" i="880"/>
  <c r="D11" i="880" s="1"/>
  <c r="L9" i="880"/>
  <c r="D9" i="880"/>
  <c r="L8" i="880"/>
  <c r="D8" i="880" s="1"/>
  <c r="L7" i="880"/>
  <c r="D7" i="880" s="1"/>
  <c r="R6" i="880"/>
  <c r="L6" i="880"/>
  <c r="D6" i="880" s="1"/>
  <c r="R5" i="880"/>
  <c r="R4" i="880"/>
  <c r="R52" i="879"/>
  <c r="R51" i="879"/>
  <c r="D50" i="879"/>
  <c r="R49" i="879"/>
  <c r="D49" i="879"/>
  <c r="R48" i="879"/>
  <c r="D48" i="879"/>
  <c r="D46" i="879"/>
  <c r="D45" i="879"/>
  <c r="D44" i="879"/>
  <c r="R42" i="879"/>
  <c r="L6" i="879" s="1"/>
  <c r="D6" i="879" s="1"/>
  <c r="D42" i="879"/>
  <c r="R41" i="879"/>
  <c r="D41" i="879"/>
  <c r="R40" i="879"/>
  <c r="D40" i="879"/>
  <c r="R39" i="879"/>
  <c r="L20" i="879" s="1"/>
  <c r="D20" i="879" s="1"/>
  <c r="H39" i="879"/>
  <c r="D39" i="879"/>
  <c r="R38" i="879"/>
  <c r="H38" i="879"/>
  <c r="D38" i="879"/>
  <c r="R37" i="879"/>
  <c r="H37" i="879"/>
  <c r="D37" i="879"/>
  <c r="R36" i="879"/>
  <c r="L10" i="879" s="1"/>
  <c r="D10" i="879" s="1"/>
  <c r="H36" i="879"/>
  <c r="D36" i="879"/>
  <c r="R35" i="879"/>
  <c r="L19" i="879" s="1"/>
  <c r="D19" i="879" s="1"/>
  <c r="H35" i="879"/>
  <c r="D35" i="879"/>
  <c r="R34" i="879"/>
  <c r="L12" i="879" s="1"/>
  <c r="D12" i="879" s="1"/>
  <c r="H34" i="879"/>
  <c r="D34" i="879"/>
  <c r="R33" i="879"/>
  <c r="R32" i="879"/>
  <c r="R31" i="879"/>
  <c r="R30" i="879"/>
  <c r="R29" i="879"/>
  <c r="R28" i="879"/>
  <c r="D28" i="879"/>
  <c r="R27" i="879"/>
  <c r="D27" i="879"/>
  <c r="R26" i="879"/>
  <c r="L26" i="879"/>
  <c r="D26" i="879"/>
  <c r="R25" i="879"/>
  <c r="L25" i="879"/>
  <c r="D25" i="879" s="1"/>
  <c r="R24" i="879"/>
  <c r="L24" i="879"/>
  <c r="D24" i="879"/>
  <c r="R23" i="879"/>
  <c r="L23" i="879"/>
  <c r="D23" i="879"/>
  <c r="R22" i="879"/>
  <c r="L22" i="879"/>
  <c r="D22" i="879" s="1"/>
  <c r="R21" i="879"/>
  <c r="D21" i="879"/>
  <c r="R20" i="879"/>
  <c r="R19" i="879"/>
  <c r="R18" i="879"/>
  <c r="D18" i="879"/>
  <c r="R17" i="879"/>
  <c r="L17" i="879"/>
  <c r="D17" i="879"/>
  <c r="R16" i="879"/>
  <c r="L16" i="879"/>
  <c r="D16" i="879" s="1"/>
  <c r="R15" i="879"/>
  <c r="D15" i="879"/>
  <c r="R14" i="879"/>
  <c r="D14" i="879"/>
  <c r="R13" i="879"/>
  <c r="D13" i="879"/>
  <c r="R12" i="879"/>
  <c r="R11" i="879"/>
  <c r="L11" i="879"/>
  <c r="D11" i="879"/>
  <c r="L9" i="879"/>
  <c r="D9" i="879" s="1"/>
  <c r="L8" i="879"/>
  <c r="D8" i="879"/>
  <c r="L7" i="879"/>
  <c r="D7" i="879" s="1"/>
  <c r="R6" i="879"/>
  <c r="R5" i="879"/>
  <c r="R4" i="879"/>
  <c r="R52" i="878"/>
  <c r="R51" i="878"/>
  <c r="D50" i="878"/>
  <c r="R49" i="878"/>
  <c r="D49" i="878"/>
  <c r="R48" i="878"/>
  <c r="D48" i="878"/>
  <c r="D46" i="878"/>
  <c r="D45" i="878"/>
  <c r="P44" i="878"/>
  <c r="R44" i="878" s="1"/>
  <c r="D44" i="878"/>
  <c r="R42" i="878"/>
  <c r="D42" i="878"/>
  <c r="R41" i="878"/>
  <c r="D41" i="878"/>
  <c r="R40" i="878"/>
  <c r="D40" i="878"/>
  <c r="R39" i="878"/>
  <c r="L20" i="878" s="1"/>
  <c r="D20" i="878" s="1"/>
  <c r="H39" i="878"/>
  <c r="D39" i="878"/>
  <c r="R38" i="878"/>
  <c r="L9" i="878" s="1"/>
  <c r="D9" i="878" s="1"/>
  <c r="H38" i="878"/>
  <c r="D38" i="878"/>
  <c r="R37" i="878"/>
  <c r="H37" i="878"/>
  <c r="D37" i="878"/>
  <c r="R36" i="878"/>
  <c r="H36" i="878"/>
  <c r="D36" i="878"/>
  <c r="R35" i="878"/>
  <c r="H35" i="878"/>
  <c r="D35" i="878"/>
  <c r="R34" i="878"/>
  <c r="H34" i="878"/>
  <c r="D34" i="878"/>
  <c r="R33" i="878"/>
  <c r="R32" i="878"/>
  <c r="L11" i="878" s="1"/>
  <c r="D11" i="878" s="1"/>
  <c r="R31" i="878"/>
  <c r="R30" i="878"/>
  <c r="R29" i="878"/>
  <c r="R28" i="878"/>
  <c r="D28" i="878"/>
  <c r="R27" i="878"/>
  <c r="L27" i="878"/>
  <c r="D27" i="878"/>
  <c r="R26" i="878"/>
  <c r="L26" i="878"/>
  <c r="D26" i="878"/>
  <c r="R25" i="878"/>
  <c r="L25" i="878"/>
  <c r="D25" i="878"/>
  <c r="R24" i="878"/>
  <c r="L24" i="878"/>
  <c r="D24" i="878" s="1"/>
  <c r="R23" i="878"/>
  <c r="L23" i="878"/>
  <c r="D23" i="878"/>
  <c r="R22" i="878"/>
  <c r="D22" i="878"/>
  <c r="R21" i="878"/>
  <c r="D21" i="878"/>
  <c r="R20" i="878"/>
  <c r="R19" i="878"/>
  <c r="D19" i="878"/>
  <c r="R18" i="878"/>
  <c r="D18" i="878"/>
  <c r="R17" i="878"/>
  <c r="L17" i="878"/>
  <c r="D17" i="878"/>
  <c r="R16" i="878"/>
  <c r="L16" i="878"/>
  <c r="D16" i="878"/>
  <c r="R15" i="878"/>
  <c r="D15" i="878"/>
  <c r="R14" i="878"/>
  <c r="D14" i="878"/>
  <c r="R13" i="878"/>
  <c r="D13" i="878"/>
  <c r="R12" i="878"/>
  <c r="L12" i="878"/>
  <c r="D12" i="878" s="1"/>
  <c r="R11" i="878"/>
  <c r="L10" i="878"/>
  <c r="D10" i="878"/>
  <c r="L8" i="878"/>
  <c r="D8" i="878"/>
  <c r="L7" i="878"/>
  <c r="D7" i="878"/>
  <c r="R6" i="878"/>
  <c r="L6" i="878"/>
  <c r="D6" i="878"/>
  <c r="R5" i="878"/>
  <c r="R4" i="878"/>
  <c r="R52" i="876"/>
  <c r="R51" i="876"/>
  <c r="D50" i="876"/>
  <c r="R49" i="876"/>
  <c r="D49" i="876"/>
  <c r="R48" i="876"/>
  <c r="D48" i="876"/>
  <c r="D46" i="876"/>
  <c r="D45" i="876"/>
  <c r="D44" i="876"/>
  <c r="R42" i="876"/>
  <c r="D42" i="876"/>
  <c r="R41" i="876"/>
  <c r="D41" i="876"/>
  <c r="R40" i="876"/>
  <c r="D40" i="876"/>
  <c r="R39" i="876"/>
  <c r="H39" i="876"/>
  <c r="D39" i="876"/>
  <c r="R38" i="876"/>
  <c r="L9" i="876" s="1"/>
  <c r="D9" i="876" s="1"/>
  <c r="H38" i="876"/>
  <c r="D38" i="876"/>
  <c r="R37" i="876"/>
  <c r="H37" i="876"/>
  <c r="D37" i="876"/>
  <c r="R36" i="876"/>
  <c r="L10" i="876" s="1"/>
  <c r="D10" i="876" s="1"/>
  <c r="H36" i="876"/>
  <c r="D36" i="876"/>
  <c r="R35" i="876"/>
  <c r="H35" i="876"/>
  <c r="D35" i="876"/>
  <c r="R34" i="876"/>
  <c r="L12" i="876" s="1"/>
  <c r="D12" i="876" s="1"/>
  <c r="H34" i="876"/>
  <c r="D34" i="876"/>
  <c r="R33" i="876"/>
  <c r="L23" i="876" s="1"/>
  <c r="D23" i="876" s="1"/>
  <c r="R32" i="876"/>
  <c r="L11" i="876" s="1"/>
  <c r="D11" i="876" s="1"/>
  <c r="R31" i="876"/>
  <c r="R30" i="876"/>
  <c r="R29" i="876"/>
  <c r="R28" i="876"/>
  <c r="D28" i="876"/>
  <c r="R27" i="876"/>
  <c r="D27" i="876"/>
  <c r="R26" i="876"/>
  <c r="L26" i="876"/>
  <c r="D26" i="876"/>
  <c r="R25" i="876"/>
  <c r="L25" i="876"/>
  <c r="D25" i="876"/>
  <c r="R24" i="876"/>
  <c r="D24" i="876"/>
  <c r="R23" i="876"/>
  <c r="R22" i="876"/>
  <c r="L22" i="876"/>
  <c r="D22" i="876"/>
  <c r="R21" i="876"/>
  <c r="D21" i="876"/>
  <c r="R20" i="876"/>
  <c r="L20" i="876"/>
  <c r="D20" i="876"/>
  <c r="R19" i="876"/>
  <c r="L19" i="876"/>
  <c r="D19" i="876"/>
  <c r="R18" i="876"/>
  <c r="D18" i="876"/>
  <c r="R17" i="876"/>
  <c r="D17" i="876"/>
  <c r="R16" i="876"/>
  <c r="L16" i="876"/>
  <c r="D16" i="876" s="1"/>
  <c r="S15" i="876"/>
  <c r="R15" i="876"/>
  <c r="D15" i="876"/>
  <c r="S14" i="876"/>
  <c r="R14" i="876"/>
  <c r="D14" i="876"/>
  <c r="R13" i="876"/>
  <c r="D13" i="876"/>
  <c r="R12" i="876"/>
  <c r="R11" i="876"/>
  <c r="L8" i="876"/>
  <c r="D8" i="876"/>
  <c r="L7" i="876"/>
  <c r="D7" i="876"/>
  <c r="R6" i="876"/>
  <c r="L6" i="876"/>
  <c r="D6" i="876"/>
  <c r="R5" i="876"/>
  <c r="R4" i="876"/>
  <c r="R52" i="875"/>
  <c r="R51" i="875"/>
  <c r="D50" i="875"/>
  <c r="R49" i="875"/>
  <c r="D49" i="875"/>
  <c r="R48" i="875"/>
  <c r="D48" i="875"/>
  <c r="D46" i="875"/>
  <c r="D45" i="875"/>
  <c r="D44" i="875"/>
  <c r="R42" i="875"/>
  <c r="L6" i="875" s="1"/>
  <c r="D6" i="875" s="1"/>
  <c r="D42" i="875"/>
  <c r="R41" i="875"/>
  <c r="D41" i="875"/>
  <c r="R40" i="875"/>
  <c r="D40" i="875"/>
  <c r="R39" i="875"/>
  <c r="L20" i="875" s="1"/>
  <c r="D20" i="875" s="1"/>
  <c r="H39" i="875"/>
  <c r="D39" i="875"/>
  <c r="R38" i="875"/>
  <c r="H38" i="875"/>
  <c r="D38" i="875"/>
  <c r="R37" i="875"/>
  <c r="H37" i="875"/>
  <c r="D37" i="875"/>
  <c r="R36" i="875"/>
  <c r="L10" i="875" s="1"/>
  <c r="D10" i="875" s="1"/>
  <c r="H36" i="875"/>
  <c r="D36" i="875"/>
  <c r="R35" i="875"/>
  <c r="H35" i="875"/>
  <c r="D35" i="875"/>
  <c r="R34" i="875"/>
  <c r="L12" i="875" s="1"/>
  <c r="D12" i="875" s="1"/>
  <c r="H34" i="875"/>
  <c r="D34" i="875"/>
  <c r="R33" i="875"/>
  <c r="L23" i="875" s="1"/>
  <c r="D23" i="875" s="1"/>
  <c r="R32" i="875"/>
  <c r="R31" i="875"/>
  <c r="R30" i="875"/>
  <c r="R29" i="875"/>
  <c r="R28" i="875"/>
  <c r="D28" i="875"/>
  <c r="R27" i="875"/>
  <c r="D27" i="875"/>
  <c r="R26" i="875"/>
  <c r="L26" i="875"/>
  <c r="D26" i="875"/>
  <c r="R25" i="875"/>
  <c r="L25" i="875"/>
  <c r="D25" i="875"/>
  <c r="R24" i="875"/>
  <c r="L24" i="875"/>
  <c r="D24" i="875"/>
  <c r="R23" i="875"/>
  <c r="R22" i="875"/>
  <c r="L22" i="875"/>
  <c r="D22" i="875" s="1"/>
  <c r="R21" i="875"/>
  <c r="D21" i="875"/>
  <c r="R20" i="875"/>
  <c r="R19" i="875"/>
  <c r="L19" i="875"/>
  <c r="D19" i="875" s="1"/>
  <c r="R18" i="875"/>
  <c r="D18" i="875"/>
  <c r="R17" i="875"/>
  <c r="L17" i="875"/>
  <c r="D17" i="875" s="1"/>
  <c r="R16" i="875"/>
  <c r="L16" i="875"/>
  <c r="D16" i="875" s="1"/>
  <c r="R15" i="875"/>
  <c r="D15" i="875"/>
  <c r="R14" i="875"/>
  <c r="D14" i="875"/>
  <c r="R13" i="875"/>
  <c r="D13" i="875"/>
  <c r="R12" i="875"/>
  <c r="R11" i="875"/>
  <c r="L11" i="875"/>
  <c r="D11" i="875"/>
  <c r="L9" i="875"/>
  <c r="D9" i="875" s="1"/>
  <c r="L8" i="875"/>
  <c r="D8" i="875"/>
  <c r="L7" i="875"/>
  <c r="D7" i="875"/>
  <c r="R6" i="875"/>
  <c r="R5" i="875"/>
  <c r="R4" i="875"/>
  <c r="R52" i="874"/>
  <c r="R51" i="874"/>
  <c r="D50" i="874"/>
  <c r="R49" i="874"/>
  <c r="D49" i="874"/>
  <c r="R48" i="874"/>
  <c r="D48" i="874"/>
  <c r="D46" i="874"/>
  <c r="D45" i="874"/>
  <c r="R44" i="874"/>
  <c r="P44" i="874"/>
  <c r="D44" i="874"/>
  <c r="R42" i="874"/>
  <c r="D42" i="874"/>
  <c r="R41" i="874"/>
  <c r="D41" i="874"/>
  <c r="R40" i="874"/>
  <c r="D40" i="874"/>
  <c r="R39" i="874"/>
  <c r="L20" i="874" s="1"/>
  <c r="D20" i="874" s="1"/>
  <c r="H39" i="874"/>
  <c r="D39" i="874"/>
  <c r="R38" i="874"/>
  <c r="H38" i="874"/>
  <c r="D38" i="874"/>
  <c r="R37" i="874"/>
  <c r="H37" i="874"/>
  <c r="D37" i="874"/>
  <c r="R36" i="874"/>
  <c r="H36" i="874"/>
  <c r="D36" i="874"/>
  <c r="R35" i="874"/>
  <c r="H35" i="874"/>
  <c r="D35" i="874"/>
  <c r="R34" i="874"/>
  <c r="L12" i="874" s="1"/>
  <c r="D12" i="874" s="1"/>
  <c r="H34" i="874"/>
  <c r="D34" i="874"/>
  <c r="R33" i="874"/>
  <c r="R32" i="874"/>
  <c r="R31" i="874"/>
  <c r="R30" i="874"/>
  <c r="R29" i="874"/>
  <c r="R28" i="874"/>
  <c r="D28" i="874"/>
  <c r="R27" i="874"/>
  <c r="L27" i="874"/>
  <c r="D27" i="874" s="1"/>
  <c r="R26" i="874"/>
  <c r="L26" i="874"/>
  <c r="D26" i="874"/>
  <c r="R25" i="874"/>
  <c r="L25" i="874"/>
  <c r="D25" i="874"/>
  <c r="R24" i="874"/>
  <c r="L24" i="874"/>
  <c r="D24" i="874"/>
  <c r="R23" i="874"/>
  <c r="L23" i="874"/>
  <c r="D23" i="874" s="1"/>
  <c r="R22" i="874"/>
  <c r="D22" i="874"/>
  <c r="R21" i="874"/>
  <c r="D21" i="874"/>
  <c r="R20" i="874"/>
  <c r="R19" i="874"/>
  <c r="D19" i="874"/>
  <c r="R18" i="874"/>
  <c r="D18" i="874"/>
  <c r="R17" i="874"/>
  <c r="L17" i="874"/>
  <c r="D17" i="874"/>
  <c r="R16" i="874"/>
  <c r="L16" i="874"/>
  <c r="D16" i="874"/>
  <c r="R15" i="874"/>
  <c r="D15" i="874"/>
  <c r="R14" i="874"/>
  <c r="D14" i="874"/>
  <c r="R13" i="874"/>
  <c r="D13" i="874"/>
  <c r="R12" i="874"/>
  <c r="R11" i="874"/>
  <c r="L11" i="874"/>
  <c r="D11" i="874" s="1"/>
  <c r="L10" i="874"/>
  <c r="D10" i="874"/>
  <c r="L9" i="874"/>
  <c r="D9" i="874" s="1"/>
  <c r="L8" i="874"/>
  <c r="D8" i="874"/>
  <c r="L7" i="874"/>
  <c r="D7" i="874"/>
  <c r="R6" i="874"/>
  <c r="L6" i="874"/>
  <c r="D6" i="874" s="1"/>
  <c r="R5" i="874"/>
  <c r="R4" i="874"/>
  <c r="H15" i="884" l="1"/>
  <c r="H29" i="884" s="1"/>
  <c r="G51" i="884" s="1"/>
  <c r="H15" i="883"/>
  <c r="H29" i="883" s="1"/>
  <c r="G51" i="883" s="1"/>
  <c r="H15" i="882"/>
  <c r="H29" i="882" s="1"/>
  <c r="G51" i="882" s="1"/>
  <c r="G49" i="878"/>
  <c r="G49" i="880"/>
  <c r="G49" i="879"/>
  <c r="D54" i="880"/>
  <c r="H14" i="880" s="1"/>
  <c r="D54" i="879"/>
  <c r="H14" i="879" s="1"/>
  <c r="D54" i="878"/>
  <c r="H14" i="878" s="1"/>
  <c r="G49" i="876"/>
  <c r="G49" i="875"/>
  <c r="G49" i="874"/>
  <c r="D54" i="876"/>
  <c r="H14" i="876" s="1"/>
  <c r="D29" i="876"/>
  <c r="H13" i="876" s="1"/>
  <c r="D54" i="875"/>
  <c r="H14" i="875" s="1"/>
  <c r="D54" i="874"/>
  <c r="H14" i="874" s="1"/>
  <c r="D29" i="880"/>
  <c r="H13" i="880" s="1"/>
  <c r="D29" i="879"/>
  <c r="H13" i="879" s="1"/>
  <c r="D29" i="878"/>
  <c r="H13" i="878" s="1"/>
  <c r="D29" i="875"/>
  <c r="H13" i="875" s="1"/>
  <c r="D29" i="874"/>
  <c r="H13" i="874" s="1"/>
  <c r="H20" i="850"/>
  <c r="H15" i="880" l="1"/>
  <c r="H29" i="880" s="1"/>
  <c r="G51" i="880" s="1"/>
  <c r="H15" i="879"/>
  <c r="H29" i="879" s="1"/>
  <c r="G51" i="879" s="1"/>
  <c r="H15" i="878"/>
  <c r="H29" i="878" s="1"/>
  <c r="G51" i="878" s="1"/>
  <c r="H15" i="876"/>
  <c r="H29" i="876" s="1"/>
  <c r="G51" i="876" s="1"/>
  <c r="H15" i="875"/>
  <c r="H29" i="875" s="1"/>
  <c r="G51" i="875" s="1"/>
  <c r="H15" i="874"/>
  <c r="H29" i="874" s="1"/>
  <c r="G51" i="874" s="1"/>
  <c r="H16" i="867"/>
  <c r="H16" i="866"/>
  <c r="H16" i="865"/>
  <c r="H20" i="863" l="1"/>
  <c r="H16" i="863"/>
  <c r="H16" i="862"/>
  <c r="R52" i="872" l="1"/>
  <c r="R51" i="872"/>
  <c r="D50" i="872"/>
  <c r="R49" i="872"/>
  <c r="D49" i="872"/>
  <c r="R48" i="872"/>
  <c r="D48" i="872"/>
  <c r="D46" i="872"/>
  <c r="D45" i="872"/>
  <c r="D44" i="872"/>
  <c r="R42" i="872"/>
  <c r="L6" i="872" s="1"/>
  <c r="D6" i="872" s="1"/>
  <c r="D42" i="872"/>
  <c r="R41" i="872"/>
  <c r="L7" i="872" s="1"/>
  <c r="D7" i="872" s="1"/>
  <c r="D41" i="872"/>
  <c r="R40" i="872"/>
  <c r="D40" i="872"/>
  <c r="R39" i="872"/>
  <c r="H39" i="872"/>
  <c r="D39" i="872"/>
  <c r="R38" i="872"/>
  <c r="H38" i="872"/>
  <c r="D38" i="872"/>
  <c r="R37" i="872"/>
  <c r="H37" i="872"/>
  <c r="D37" i="872"/>
  <c r="R36" i="872"/>
  <c r="L10" i="872" s="1"/>
  <c r="D10" i="872" s="1"/>
  <c r="H36" i="872"/>
  <c r="D36" i="872"/>
  <c r="R35" i="872"/>
  <c r="L19" i="872" s="1"/>
  <c r="D19" i="872" s="1"/>
  <c r="H35" i="872"/>
  <c r="D35" i="872"/>
  <c r="R34" i="872"/>
  <c r="L12" i="872" s="1"/>
  <c r="D12" i="872" s="1"/>
  <c r="H34" i="872"/>
  <c r="D34" i="872"/>
  <c r="R33" i="872"/>
  <c r="L23" i="872" s="1"/>
  <c r="D23" i="872" s="1"/>
  <c r="R32" i="872"/>
  <c r="R31" i="872"/>
  <c r="R30" i="872"/>
  <c r="R29" i="872"/>
  <c r="R28" i="872"/>
  <c r="L16" i="872" s="1"/>
  <c r="D16" i="872" s="1"/>
  <c r="D28" i="872"/>
  <c r="R27" i="872"/>
  <c r="D27" i="872"/>
  <c r="R26" i="872"/>
  <c r="L26" i="872"/>
  <c r="D26" i="872"/>
  <c r="R25" i="872"/>
  <c r="L25" i="872"/>
  <c r="D25" i="872"/>
  <c r="R24" i="872"/>
  <c r="D24" i="872"/>
  <c r="R23" i="872"/>
  <c r="R22" i="872"/>
  <c r="L22" i="872"/>
  <c r="D22" i="872"/>
  <c r="R21" i="872"/>
  <c r="D21" i="872"/>
  <c r="R20" i="872"/>
  <c r="L20" i="872"/>
  <c r="D20" i="872"/>
  <c r="R19" i="872"/>
  <c r="R18" i="872"/>
  <c r="D18" i="872"/>
  <c r="R17" i="872"/>
  <c r="D17" i="872"/>
  <c r="R16" i="872"/>
  <c r="S15" i="872"/>
  <c r="R15" i="872"/>
  <c r="D15" i="872"/>
  <c r="S14" i="872"/>
  <c r="R14" i="872"/>
  <c r="D14" i="872"/>
  <c r="R13" i="872"/>
  <c r="D13" i="872"/>
  <c r="R12" i="872"/>
  <c r="R11" i="872"/>
  <c r="L11" i="872"/>
  <c r="D11" i="872"/>
  <c r="L9" i="872"/>
  <c r="D9" i="872"/>
  <c r="L8" i="872"/>
  <c r="D8" i="872" s="1"/>
  <c r="R6" i="872"/>
  <c r="R5" i="872"/>
  <c r="R4" i="872"/>
  <c r="R52" i="871"/>
  <c r="R51" i="871"/>
  <c r="D50" i="871"/>
  <c r="R49" i="871"/>
  <c r="D49" i="871"/>
  <c r="R48" i="871"/>
  <c r="D48" i="871"/>
  <c r="D46" i="871"/>
  <c r="D45" i="871"/>
  <c r="D44" i="871"/>
  <c r="R42" i="871"/>
  <c r="D42" i="871"/>
  <c r="R41" i="871"/>
  <c r="L7" i="871" s="1"/>
  <c r="D7" i="871" s="1"/>
  <c r="D41" i="871"/>
  <c r="R40" i="871"/>
  <c r="L8" i="871" s="1"/>
  <c r="D8" i="871" s="1"/>
  <c r="D40" i="871"/>
  <c r="R39" i="871"/>
  <c r="H39" i="871"/>
  <c r="D39" i="871"/>
  <c r="R38" i="871"/>
  <c r="H38" i="871"/>
  <c r="D38" i="871"/>
  <c r="R37" i="871"/>
  <c r="H37" i="871"/>
  <c r="D37" i="871"/>
  <c r="R36" i="871"/>
  <c r="H36" i="871"/>
  <c r="D36" i="871"/>
  <c r="R35" i="871"/>
  <c r="L19" i="871" s="1"/>
  <c r="D19" i="871" s="1"/>
  <c r="H35" i="871"/>
  <c r="D35" i="871"/>
  <c r="R34" i="871"/>
  <c r="H34" i="871"/>
  <c r="D34" i="871"/>
  <c r="R33" i="871"/>
  <c r="L23" i="871" s="1"/>
  <c r="D23" i="871" s="1"/>
  <c r="R32" i="871"/>
  <c r="R31" i="871"/>
  <c r="R30" i="871"/>
  <c r="R29" i="871"/>
  <c r="R28" i="871"/>
  <c r="D28" i="871"/>
  <c r="R27" i="871"/>
  <c r="D27" i="871"/>
  <c r="R26" i="871"/>
  <c r="L26" i="871"/>
  <c r="D26" i="871" s="1"/>
  <c r="R25" i="871"/>
  <c r="L25" i="871"/>
  <c r="D25" i="871"/>
  <c r="R24" i="871"/>
  <c r="L24" i="871"/>
  <c r="D24" i="871" s="1"/>
  <c r="R23" i="871"/>
  <c r="R22" i="871"/>
  <c r="L22" i="871"/>
  <c r="D22" i="871" s="1"/>
  <c r="R21" i="871"/>
  <c r="L17" i="871" s="1"/>
  <c r="D17" i="871" s="1"/>
  <c r="D21" i="871"/>
  <c r="R20" i="871"/>
  <c r="L20" i="871"/>
  <c r="D20" i="871" s="1"/>
  <c r="R19" i="871"/>
  <c r="R18" i="871"/>
  <c r="D18" i="871"/>
  <c r="R17" i="871"/>
  <c r="R16" i="871"/>
  <c r="L16" i="871"/>
  <c r="D16" i="871" s="1"/>
  <c r="R15" i="871"/>
  <c r="D15" i="871"/>
  <c r="R14" i="871"/>
  <c r="D14" i="871"/>
  <c r="R13" i="871"/>
  <c r="D13" i="871"/>
  <c r="R12" i="871"/>
  <c r="L12" i="871"/>
  <c r="D12" i="871" s="1"/>
  <c r="R11" i="871"/>
  <c r="L11" i="871"/>
  <c r="D11" i="871"/>
  <c r="L10" i="871"/>
  <c r="D10" i="871"/>
  <c r="L9" i="871"/>
  <c r="D9" i="871"/>
  <c r="R6" i="871"/>
  <c r="L6" i="871"/>
  <c r="D6" i="871" s="1"/>
  <c r="R5" i="871"/>
  <c r="R4" i="871"/>
  <c r="R52" i="870"/>
  <c r="R51" i="870"/>
  <c r="D50" i="870"/>
  <c r="R49" i="870"/>
  <c r="D49" i="870"/>
  <c r="R48" i="870"/>
  <c r="D48" i="870"/>
  <c r="D46" i="870"/>
  <c r="D45" i="870"/>
  <c r="P44" i="870"/>
  <c r="R44" i="870" s="1"/>
  <c r="D44" i="870"/>
  <c r="R42" i="870"/>
  <c r="D42" i="870"/>
  <c r="R41" i="870"/>
  <c r="L7" i="870" s="1"/>
  <c r="D7" i="870" s="1"/>
  <c r="D41" i="870"/>
  <c r="R40" i="870"/>
  <c r="D40" i="870"/>
  <c r="R39" i="870"/>
  <c r="L20" i="870" s="1"/>
  <c r="D20" i="870" s="1"/>
  <c r="H39" i="870"/>
  <c r="D39" i="870"/>
  <c r="R38" i="870"/>
  <c r="H38" i="870"/>
  <c r="D38" i="870"/>
  <c r="R37" i="870"/>
  <c r="H37" i="870"/>
  <c r="D37" i="870"/>
  <c r="R36" i="870"/>
  <c r="H36" i="870"/>
  <c r="D36" i="870"/>
  <c r="R35" i="870"/>
  <c r="H35" i="870"/>
  <c r="D35" i="870"/>
  <c r="R34" i="870"/>
  <c r="H34" i="870"/>
  <c r="G49" i="870" s="1"/>
  <c r="D34" i="870"/>
  <c r="R33" i="870"/>
  <c r="R32" i="870"/>
  <c r="R31" i="870"/>
  <c r="R30" i="870"/>
  <c r="R29" i="870"/>
  <c r="R28" i="870"/>
  <c r="D28" i="870"/>
  <c r="R27" i="870"/>
  <c r="L27" i="870"/>
  <c r="D27" i="870"/>
  <c r="R26" i="870"/>
  <c r="L26" i="870"/>
  <c r="D26" i="870"/>
  <c r="R25" i="870"/>
  <c r="L25" i="870"/>
  <c r="D25" i="870"/>
  <c r="R24" i="870"/>
  <c r="L24" i="870"/>
  <c r="D24" i="870" s="1"/>
  <c r="R23" i="870"/>
  <c r="L23" i="870"/>
  <c r="D23" i="870" s="1"/>
  <c r="R22" i="870"/>
  <c r="D22" i="870"/>
  <c r="R21" i="870"/>
  <c r="D21" i="870"/>
  <c r="R20" i="870"/>
  <c r="R19" i="870"/>
  <c r="D19" i="870"/>
  <c r="R18" i="870"/>
  <c r="D18" i="870"/>
  <c r="R17" i="870"/>
  <c r="L17" i="870"/>
  <c r="D17" i="870"/>
  <c r="R16" i="870"/>
  <c r="L16" i="870"/>
  <c r="D16" i="870"/>
  <c r="R15" i="870"/>
  <c r="D15" i="870"/>
  <c r="R14" i="870"/>
  <c r="D14" i="870"/>
  <c r="R13" i="870"/>
  <c r="D13" i="870"/>
  <c r="R12" i="870"/>
  <c r="L12" i="870"/>
  <c r="D12" i="870" s="1"/>
  <c r="R11" i="870"/>
  <c r="L11" i="870"/>
  <c r="D11" i="870" s="1"/>
  <c r="L10" i="870"/>
  <c r="D10" i="870"/>
  <c r="L9" i="870"/>
  <c r="D9" i="870"/>
  <c r="L8" i="870"/>
  <c r="D8" i="870"/>
  <c r="R6" i="870"/>
  <c r="L6" i="870"/>
  <c r="D6" i="870"/>
  <c r="R5" i="870"/>
  <c r="R4" i="870"/>
  <c r="G49" i="872" l="1"/>
  <c r="G49" i="871"/>
  <c r="D54" i="872"/>
  <c r="H14" i="872" s="1"/>
  <c r="D54" i="871"/>
  <c r="H14" i="871" s="1"/>
  <c r="D54" i="870"/>
  <c r="H14" i="870" s="1"/>
  <c r="D29" i="872"/>
  <c r="H13" i="872" s="1"/>
  <c r="D29" i="871"/>
  <c r="H13" i="871" s="1"/>
  <c r="D29" i="870"/>
  <c r="H13" i="870" s="1"/>
  <c r="H16" i="859"/>
  <c r="H27" i="859"/>
  <c r="H26" i="859"/>
  <c r="H20" i="859"/>
  <c r="H15" i="872" l="1"/>
  <c r="H29" i="872" s="1"/>
  <c r="G51" i="872" s="1"/>
  <c r="H15" i="871"/>
  <c r="H29" i="871" s="1"/>
  <c r="G51" i="871" s="1"/>
  <c r="H15" i="870"/>
  <c r="H29" i="870" s="1"/>
  <c r="G51" i="870" s="1"/>
  <c r="H16" i="857"/>
  <c r="G38" i="859"/>
  <c r="G37" i="859"/>
  <c r="G36" i="859"/>
  <c r="G35" i="859"/>
  <c r="G34" i="859"/>
  <c r="G42" i="859"/>
  <c r="R52" i="868"/>
  <c r="R51" i="868"/>
  <c r="D50" i="868"/>
  <c r="R49" i="868"/>
  <c r="D49" i="868"/>
  <c r="R48" i="868"/>
  <c r="D48" i="868"/>
  <c r="D46" i="868"/>
  <c r="D45" i="868"/>
  <c r="D44" i="868"/>
  <c r="R42" i="868"/>
  <c r="D42" i="868"/>
  <c r="R41" i="868"/>
  <c r="D41" i="868"/>
  <c r="R40" i="868"/>
  <c r="D40" i="868"/>
  <c r="R39" i="868"/>
  <c r="H39" i="868"/>
  <c r="D39" i="868"/>
  <c r="R38" i="868"/>
  <c r="L9" i="868" s="1"/>
  <c r="D9" i="868" s="1"/>
  <c r="H38" i="868"/>
  <c r="D38" i="868"/>
  <c r="R37" i="868"/>
  <c r="H37" i="868"/>
  <c r="D37" i="868"/>
  <c r="R36" i="868"/>
  <c r="H36" i="868"/>
  <c r="D36" i="868"/>
  <c r="R35" i="868"/>
  <c r="H35" i="868"/>
  <c r="D35" i="868"/>
  <c r="R34" i="868"/>
  <c r="L12" i="868" s="1"/>
  <c r="D12" i="868" s="1"/>
  <c r="H34" i="868"/>
  <c r="D34" i="868"/>
  <c r="D54" i="868" s="1"/>
  <c r="H14" i="868" s="1"/>
  <c r="R33" i="868"/>
  <c r="R32" i="868"/>
  <c r="L11" i="868" s="1"/>
  <c r="D11" i="868" s="1"/>
  <c r="R31" i="868"/>
  <c r="R30" i="868"/>
  <c r="R29" i="868"/>
  <c r="R28" i="868"/>
  <c r="D28" i="868"/>
  <c r="R27" i="868"/>
  <c r="D27" i="868"/>
  <c r="R26" i="868"/>
  <c r="L26" i="868"/>
  <c r="D26" i="868"/>
  <c r="R25" i="868"/>
  <c r="L25" i="868"/>
  <c r="D25" i="868"/>
  <c r="R24" i="868"/>
  <c r="D24" i="868"/>
  <c r="R23" i="868"/>
  <c r="L23" i="868"/>
  <c r="D23" i="868" s="1"/>
  <c r="R22" i="868"/>
  <c r="L22" i="868"/>
  <c r="D22" i="868"/>
  <c r="R21" i="868"/>
  <c r="C21" i="868"/>
  <c r="D21" i="868" s="1"/>
  <c r="R20" i="868"/>
  <c r="L20" i="868"/>
  <c r="D20" i="868"/>
  <c r="R19" i="868"/>
  <c r="L19" i="868"/>
  <c r="D19" i="868"/>
  <c r="R18" i="868"/>
  <c r="D18" i="868"/>
  <c r="R17" i="868"/>
  <c r="D17" i="868"/>
  <c r="R16" i="868"/>
  <c r="L16" i="868"/>
  <c r="D16" i="868"/>
  <c r="S15" i="868"/>
  <c r="R15" i="868"/>
  <c r="C15" i="868"/>
  <c r="D15" i="868" s="1"/>
  <c r="S14" i="868"/>
  <c r="R14" i="868"/>
  <c r="D14" i="868"/>
  <c r="R13" i="868"/>
  <c r="D13" i="868"/>
  <c r="R12" i="868"/>
  <c r="R11" i="868"/>
  <c r="L10" i="868"/>
  <c r="D10" i="868"/>
  <c r="L8" i="868"/>
  <c r="D8" i="868"/>
  <c r="L7" i="868"/>
  <c r="D7" i="868"/>
  <c r="R6" i="868"/>
  <c r="L6" i="868"/>
  <c r="D6" i="868" s="1"/>
  <c r="R5" i="868"/>
  <c r="R4" i="868"/>
  <c r="C21" i="859"/>
  <c r="C15" i="859"/>
  <c r="C12" i="857"/>
  <c r="L26" i="857"/>
  <c r="C21" i="857"/>
  <c r="G49" i="868" l="1"/>
  <c r="D29" i="868"/>
  <c r="H13" i="868" s="1"/>
  <c r="H15" i="868" s="1"/>
  <c r="H29" i="868" s="1"/>
  <c r="G51" i="868" s="1"/>
  <c r="R52" i="867"/>
  <c r="R51" i="867"/>
  <c r="D50" i="867"/>
  <c r="R49" i="867"/>
  <c r="D49" i="867"/>
  <c r="R48" i="867"/>
  <c r="D48" i="867"/>
  <c r="D46" i="867"/>
  <c r="D45" i="867"/>
  <c r="D44" i="867"/>
  <c r="R42" i="867"/>
  <c r="D42" i="867"/>
  <c r="R41" i="867"/>
  <c r="L7" i="867" s="1"/>
  <c r="D7" i="867" s="1"/>
  <c r="D41" i="867"/>
  <c r="R40" i="867"/>
  <c r="D40" i="867"/>
  <c r="R39" i="867"/>
  <c r="H39" i="867"/>
  <c r="D39" i="867"/>
  <c r="R38" i="867"/>
  <c r="H38" i="867"/>
  <c r="D38" i="867"/>
  <c r="R37" i="867"/>
  <c r="H37" i="867"/>
  <c r="D37" i="867"/>
  <c r="R36" i="867"/>
  <c r="L10" i="867" s="1"/>
  <c r="D10" i="867" s="1"/>
  <c r="H36" i="867"/>
  <c r="D36" i="867"/>
  <c r="R35" i="867"/>
  <c r="L19" i="867" s="1"/>
  <c r="D19" i="867" s="1"/>
  <c r="H35" i="867"/>
  <c r="D35" i="867"/>
  <c r="R34" i="867"/>
  <c r="L12" i="867" s="1"/>
  <c r="D12" i="867" s="1"/>
  <c r="H34" i="867"/>
  <c r="D34" i="867"/>
  <c r="R33" i="867"/>
  <c r="L23" i="867" s="1"/>
  <c r="D23" i="867" s="1"/>
  <c r="R32" i="867"/>
  <c r="R31" i="867"/>
  <c r="R30" i="867"/>
  <c r="R29" i="867"/>
  <c r="R28" i="867"/>
  <c r="D28" i="867"/>
  <c r="R27" i="867"/>
  <c r="D27" i="867"/>
  <c r="R26" i="867"/>
  <c r="L26" i="867"/>
  <c r="D26" i="867"/>
  <c r="R25" i="867"/>
  <c r="L25" i="867"/>
  <c r="D25" i="867"/>
  <c r="R24" i="867"/>
  <c r="D24" i="867"/>
  <c r="R23" i="867"/>
  <c r="R22" i="867"/>
  <c r="L22" i="867"/>
  <c r="D22" i="867" s="1"/>
  <c r="R21" i="867"/>
  <c r="D21" i="867"/>
  <c r="R20" i="867"/>
  <c r="L20" i="867"/>
  <c r="D20" i="867"/>
  <c r="R19" i="867"/>
  <c r="R18" i="867"/>
  <c r="D18" i="867"/>
  <c r="R17" i="867"/>
  <c r="D17" i="867"/>
  <c r="R16" i="867"/>
  <c r="L16" i="867"/>
  <c r="D16" i="867" s="1"/>
  <c r="S15" i="867"/>
  <c r="R15" i="867"/>
  <c r="D15" i="867"/>
  <c r="S14" i="867"/>
  <c r="R14" i="867"/>
  <c r="D14" i="867"/>
  <c r="R13" i="867"/>
  <c r="D13" i="867"/>
  <c r="R12" i="867"/>
  <c r="R11" i="867"/>
  <c r="L11" i="867"/>
  <c r="D11" i="867" s="1"/>
  <c r="L9" i="867"/>
  <c r="D9" i="867" s="1"/>
  <c r="L8" i="867"/>
  <c r="D8" i="867"/>
  <c r="R6" i="867"/>
  <c r="L6" i="867"/>
  <c r="D6" i="867"/>
  <c r="R5" i="867"/>
  <c r="R4" i="867"/>
  <c r="R52" i="866"/>
  <c r="R51" i="866"/>
  <c r="D50" i="866"/>
  <c r="R49" i="866"/>
  <c r="D49" i="866"/>
  <c r="R48" i="866"/>
  <c r="D48" i="866"/>
  <c r="D46" i="866"/>
  <c r="D45" i="866"/>
  <c r="D44" i="866"/>
  <c r="R42" i="866"/>
  <c r="L6" i="866" s="1"/>
  <c r="D6" i="866" s="1"/>
  <c r="D42" i="866"/>
  <c r="R41" i="866"/>
  <c r="D41" i="866"/>
  <c r="R40" i="866"/>
  <c r="D40" i="866"/>
  <c r="R39" i="866"/>
  <c r="L20" i="866" s="1"/>
  <c r="D20" i="866" s="1"/>
  <c r="H39" i="866"/>
  <c r="D39" i="866"/>
  <c r="R38" i="866"/>
  <c r="L9" i="866" s="1"/>
  <c r="D9" i="866" s="1"/>
  <c r="H38" i="866"/>
  <c r="D38" i="866"/>
  <c r="R37" i="866"/>
  <c r="H37" i="866"/>
  <c r="D37" i="866"/>
  <c r="R36" i="866"/>
  <c r="L10" i="866" s="1"/>
  <c r="D10" i="866" s="1"/>
  <c r="H36" i="866"/>
  <c r="D36" i="866"/>
  <c r="R35" i="866"/>
  <c r="H35" i="866"/>
  <c r="D35" i="866"/>
  <c r="R34" i="866"/>
  <c r="H34" i="866"/>
  <c r="D34" i="866"/>
  <c r="R33" i="866"/>
  <c r="L23" i="866" s="1"/>
  <c r="D23" i="866" s="1"/>
  <c r="R32" i="866"/>
  <c r="L11" i="866" s="1"/>
  <c r="D11" i="866" s="1"/>
  <c r="R31" i="866"/>
  <c r="R30" i="866"/>
  <c r="R29" i="866"/>
  <c r="R28" i="866"/>
  <c r="D28" i="866"/>
  <c r="R27" i="866"/>
  <c r="D27" i="866"/>
  <c r="R26" i="866"/>
  <c r="L26" i="866"/>
  <c r="D26" i="866"/>
  <c r="R25" i="866"/>
  <c r="L25" i="866"/>
  <c r="D25" i="866"/>
  <c r="R24" i="866"/>
  <c r="L24" i="866"/>
  <c r="D24" i="866"/>
  <c r="R23" i="866"/>
  <c r="R22" i="866"/>
  <c r="L22" i="866"/>
  <c r="D22" i="866" s="1"/>
  <c r="R21" i="866"/>
  <c r="L17" i="866" s="1"/>
  <c r="D17" i="866" s="1"/>
  <c r="D21" i="866"/>
  <c r="R20" i="866"/>
  <c r="R19" i="866"/>
  <c r="L19" i="866"/>
  <c r="D19" i="866"/>
  <c r="R18" i="866"/>
  <c r="D18" i="866"/>
  <c r="R17" i="866"/>
  <c r="R16" i="866"/>
  <c r="L16" i="866"/>
  <c r="D16" i="866" s="1"/>
  <c r="R15" i="866"/>
  <c r="D15" i="866"/>
  <c r="R14" i="866"/>
  <c r="D14" i="866"/>
  <c r="R13" i="866"/>
  <c r="D13" i="866"/>
  <c r="R12" i="866"/>
  <c r="L12" i="866"/>
  <c r="D12" i="866"/>
  <c r="R11" i="866"/>
  <c r="L8" i="866"/>
  <c r="D8" i="866"/>
  <c r="L7" i="866"/>
  <c r="D7" i="866"/>
  <c r="R6" i="866"/>
  <c r="R5" i="866"/>
  <c r="R4" i="866"/>
  <c r="R52" i="865"/>
  <c r="R51" i="865"/>
  <c r="D50" i="865"/>
  <c r="R49" i="865"/>
  <c r="D49" i="865"/>
  <c r="R48" i="865"/>
  <c r="D48" i="865"/>
  <c r="D46" i="865"/>
  <c r="D45" i="865"/>
  <c r="P44" i="865"/>
  <c r="R44" i="865" s="1"/>
  <c r="D44" i="865"/>
  <c r="R42" i="865"/>
  <c r="D42" i="865"/>
  <c r="R41" i="865"/>
  <c r="L7" i="865" s="1"/>
  <c r="D7" i="865" s="1"/>
  <c r="D41" i="865"/>
  <c r="R40" i="865"/>
  <c r="D40" i="865"/>
  <c r="R39" i="865"/>
  <c r="H39" i="865"/>
  <c r="D39" i="865"/>
  <c r="R38" i="865"/>
  <c r="L9" i="865" s="1"/>
  <c r="D9" i="865" s="1"/>
  <c r="H38" i="865"/>
  <c r="D38" i="865"/>
  <c r="R37" i="865"/>
  <c r="H37" i="865"/>
  <c r="D37" i="865"/>
  <c r="R36" i="865"/>
  <c r="H36" i="865"/>
  <c r="D36" i="865"/>
  <c r="R35" i="865"/>
  <c r="H35" i="865"/>
  <c r="D35" i="865"/>
  <c r="R34" i="865"/>
  <c r="L12" i="865" s="1"/>
  <c r="D12" i="865" s="1"/>
  <c r="H34" i="865"/>
  <c r="D34" i="865"/>
  <c r="R33" i="865"/>
  <c r="R32" i="865"/>
  <c r="L11" i="865" s="1"/>
  <c r="D11" i="865" s="1"/>
  <c r="R31" i="865"/>
  <c r="R30" i="865"/>
  <c r="R29" i="865"/>
  <c r="R28" i="865"/>
  <c r="D28" i="865"/>
  <c r="R27" i="865"/>
  <c r="L27" i="865"/>
  <c r="D27" i="865" s="1"/>
  <c r="R26" i="865"/>
  <c r="L26" i="865"/>
  <c r="D26" i="865" s="1"/>
  <c r="R25" i="865"/>
  <c r="L25" i="865"/>
  <c r="D25" i="865" s="1"/>
  <c r="R24" i="865"/>
  <c r="L24" i="865"/>
  <c r="D24" i="865"/>
  <c r="R23" i="865"/>
  <c r="L23" i="865"/>
  <c r="D23" i="865"/>
  <c r="R22" i="865"/>
  <c r="D22" i="865"/>
  <c r="R21" i="865"/>
  <c r="D21" i="865"/>
  <c r="R20" i="865"/>
  <c r="L20" i="865"/>
  <c r="D20" i="865" s="1"/>
  <c r="R19" i="865"/>
  <c r="D19" i="865"/>
  <c r="R18" i="865"/>
  <c r="D18" i="865"/>
  <c r="R17" i="865"/>
  <c r="L17" i="865"/>
  <c r="D17" i="865" s="1"/>
  <c r="R16" i="865"/>
  <c r="L16" i="865"/>
  <c r="D16" i="865"/>
  <c r="R15" i="865"/>
  <c r="D15" i="865"/>
  <c r="R14" i="865"/>
  <c r="D14" i="865"/>
  <c r="R13" i="865"/>
  <c r="D13" i="865"/>
  <c r="R12" i="865"/>
  <c r="R11" i="865"/>
  <c r="L10" i="865"/>
  <c r="D10" i="865"/>
  <c r="L8" i="865"/>
  <c r="D8" i="865"/>
  <c r="R6" i="865"/>
  <c r="L6" i="865"/>
  <c r="D6" i="865" s="1"/>
  <c r="R5" i="865"/>
  <c r="R4" i="865"/>
  <c r="R52" i="863"/>
  <c r="R51" i="863"/>
  <c r="D50" i="863"/>
  <c r="R49" i="863"/>
  <c r="D49" i="863"/>
  <c r="R48" i="863"/>
  <c r="D48" i="863"/>
  <c r="D46" i="863"/>
  <c r="D45" i="863"/>
  <c r="D44" i="863"/>
  <c r="R42" i="863"/>
  <c r="D42" i="863"/>
  <c r="R41" i="863"/>
  <c r="L7" i="863" s="1"/>
  <c r="D7" i="863" s="1"/>
  <c r="D41" i="863"/>
  <c r="R40" i="863"/>
  <c r="D40" i="863"/>
  <c r="R39" i="863"/>
  <c r="H39" i="863"/>
  <c r="D39" i="863"/>
  <c r="R38" i="863"/>
  <c r="H38" i="863"/>
  <c r="D38" i="863"/>
  <c r="R37" i="863"/>
  <c r="H37" i="863"/>
  <c r="D37" i="863"/>
  <c r="R36" i="863"/>
  <c r="L10" i="863" s="1"/>
  <c r="D10" i="863" s="1"/>
  <c r="H36" i="863"/>
  <c r="D36" i="863"/>
  <c r="R35" i="863"/>
  <c r="L19" i="863" s="1"/>
  <c r="D19" i="863" s="1"/>
  <c r="H35" i="863"/>
  <c r="D35" i="863"/>
  <c r="R34" i="863"/>
  <c r="L12" i="863" s="1"/>
  <c r="D12" i="863" s="1"/>
  <c r="H34" i="863"/>
  <c r="D34" i="863"/>
  <c r="R33" i="863"/>
  <c r="R32" i="863"/>
  <c r="R31" i="863"/>
  <c r="R30" i="863"/>
  <c r="R29" i="863"/>
  <c r="R28" i="863"/>
  <c r="L16" i="863" s="1"/>
  <c r="D16" i="863" s="1"/>
  <c r="D28" i="863"/>
  <c r="R27" i="863"/>
  <c r="D27" i="863"/>
  <c r="R26" i="863"/>
  <c r="L26" i="863"/>
  <c r="D26" i="863"/>
  <c r="R25" i="863"/>
  <c r="L25" i="863"/>
  <c r="D25" i="863"/>
  <c r="R24" i="863"/>
  <c r="D24" i="863"/>
  <c r="R23" i="863"/>
  <c r="L23" i="863"/>
  <c r="D23" i="863" s="1"/>
  <c r="R22" i="863"/>
  <c r="L22" i="863"/>
  <c r="D22" i="863" s="1"/>
  <c r="R21" i="863"/>
  <c r="D21" i="863"/>
  <c r="R20" i="863"/>
  <c r="L20" i="863"/>
  <c r="D20" i="863"/>
  <c r="R19" i="863"/>
  <c r="R18" i="863"/>
  <c r="D18" i="863"/>
  <c r="R17" i="863"/>
  <c r="D17" i="863"/>
  <c r="R16" i="863"/>
  <c r="S15" i="863"/>
  <c r="R15" i="863"/>
  <c r="D15" i="863"/>
  <c r="S14" i="863"/>
  <c r="R14" i="863"/>
  <c r="D14" i="863"/>
  <c r="R13" i="863"/>
  <c r="D13" i="863"/>
  <c r="R12" i="863"/>
  <c r="R11" i="863"/>
  <c r="L11" i="863"/>
  <c r="D11" i="863" s="1"/>
  <c r="L9" i="863"/>
  <c r="D9" i="863" s="1"/>
  <c r="L8" i="863"/>
  <c r="D8" i="863" s="1"/>
  <c r="R6" i="863"/>
  <c r="L6" i="863"/>
  <c r="D6" i="863"/>
  <c r="R5" i="863"/>
  <c r="R4" i="863"/>
  <c r="R52" i="862"/>
  <c r="R51" i="862"/>
  <c r="D50" i="862"/>
  <c r="R49" i="862"/>
  <c r="D49" i="862"/>
  <c r="R48" i="862"/>
  <c r="D48" i="862"/>
  <c r="D46" i="862"/>
  <c r="D45" i="862"/>
  <c r="D44" i="862"/>
  <c r="R42" i="862"/>
  <c r="L6" i="862" s="1"/>
  <c r="D6" i="862" s="1"/>
  <c r="D42" i="862"/>
  <c r="R41" i="862"/>
  <c r="D41" i="862"/>
  <c r="R40" i="862"/>
  <c r="D40" i="862"/>
  <c r="R39" i="862"/>
  <c r="L20" i="862" s="1"/>
  <c r="D20" i="862" s="1"/>
  <c r="H39" i="862"/>
  <c r="D39" i="862"/>
  <c r="R38" i="862"/>
  <c r="L9" i="862" s="1"/>
  <c r="D9" i="862" s="1"/>
  <c r="H38" i="862"/>
  <c r="D38" i="862"/>
  <c r="R37" i="862"/>
  <c r="H37" i="862"/>
  <c r="D37" i="862"/>
  <c r="R36" i="862"/>
  <c r="H36" i="862"/>
  <c r="D36" i="862"/>
  <c r="R35" i="862"/>
  <c r="L19" i="862" s="1"/>
  <c r="D19" i="862" s="1"/>
  <c r="H35" i="862"/>
  <c r="D35" i="862"/>
  <c r="R34" i="862"/>
  <c r="L12" i="862" s="1"/>
  <c r="D12" i="862" s="1"/>
  <c r="H34" i="862"/>
  <c r="D34" i="862"/>
  <c r="R33" i="862"/>
  <c r="R32" i="862"/>
  <c r="L11" i="862" s="1"/>
  <c r="D11" i="862" s="1"/>
  <c r="R31" i="862"/>
  <c r="R30" i="862"/>
  <c r="R29" i="862"/>
  <c r="R28" i="862"/>
  <c r="D28" i="862"/>
  <c r="R27" i="862"/>
  <c r="D27" i="862"/>
  <c r="R26" i="862"/>
  <c r="L26" i="862"/>
  <c r="D26" i="862"/>
  <c r="R25" i="862"/>
  <c r="L25" i="862"/>
  <c r="D25" i="862" s="1"/>
  <c r="R24" i="862"/>
  <c r="L24" i="862"/>
  <c r="D24" i="862" s="1"/>
  <c r="R23" i="862"/>
  <c r="L23" i="862"/>
  <c r="D23" i="862"/>
  <c r="R22" i="862"/>
  <c r="L22" i="862"/>
  <c r="D22" i="862"/>
  <c r="R21" i="862"/>
  <c r="L17" i="862" s="1"/>
  <c r="D17" i="862" s="1"/>
  <c r="D21" i="862"/>
  <c r="R20" i="862"/>
  <c r="R19" i="862"/>
  <c r="R18" i="862"/>
  <c r="D18" i="862"/>
  <c r="R17" i="862"/>
  <c r="R16" i="862"/>
  <c r="L16" i="862"/>
  <c r="D16" i="862"/>
  <c r="R15" i="862"/>
  <c r="D15" i="862"/>
  <c r="R14" i="862"/>
  <c r="D14" i="862"/>
  <c r="R13" i="862"/>
  <c r="D13" i="862"/>
  <c r="R12" i="862"/>
  <c r="R11" i="862"/>
  <c r="L10" i="862"/>
  <c r="D10" i="862"/>
  <c r="L8" i="862"/>
  <c r="D8" i="862"/>
  <c r="L7" i="862"/>
  <c r="D7" i="862" s="1"/>
  <c r="R6" i="862"/>
  <c r="R5" i="862"/>
  <c r="R4" i="862"/>
  <c r="R52" i="861"/>
  <c r="R51" i="861"/>
  <c r="D50" i="861"/>
  <c r="R49" i="861"/>
  <c r="D49" i="861"/>
  <c r="R48" i="861"/>
  <c r="D48" i="861"/>
  <c r="D46" i="861"/>
  <c r="D45" i="861"/>
  <c r="P44" i="861"/>
  <c r="R44" i="861" s="1"/>
  <c r="D44" i="861"/>
  <c r="R42" i="861"/>
  <c r="L6" i="861" s="1"/>
  <c r="D6" i="861" s="1"/>
  <c r="D42" i="861"/>
  <c r="R41" i="861"/>
  <c r="L7" i="861" s="1"/>
  <c r="D7" i="861" s="1"/>
  <c r="D41" i="861"/>
  <c r="R40" i="861"/>
  <c r="D40" i="861"/>
  <c r="R39" i="861"/>
  <c r="L20" i="861" s="1"/>
  <c r="D20" i="861" s="1"/>
  <c r="H39" i="861"/>
  <c r="D39" i="861"/>
  <c r="R38" i="861"/>
  <c r="H38" i="861"/>
  <c r="D38" i="861"/>
  <c r="R37" i="861"/>
  <c r="H37" i="861"/>
  <c r="D37" i="861"/>
  <c r="R36" i="861"/>
  <c r="H36" i="861"/>
  <c r="D36" i="861"/>
  <c r="R35" i="861"/>
  <c r="H35" i="861"/>
  <c r="D35" i="861"/>
  <c r="R34" i="861"/>
  <c r="L12" i="861" s="1"/>
  <c r="D12" i="861" s="1"/>
  <c r="H34" i="861"/>
  <c r="G49" i="861" s="1"/>
  <c r="D34" i="861"/>
  <c r="R33" i="861"/>
  <c r="R32" i="861"/>
  <c r="R31" i="861"/>
  <c r="R30" i="861"/>
  <c r="R29" i="861"/>
  <c r="R28" i="861"/>
  <c r="D28" i="861"/>
  <c r="R27" i="861"/>
  <c r="L27" i="861"/>
  <c r="D27" i="861" s="1"/>
  <c r="R26" i="861"/>
  <c r="L26" i="861"/>
  <c r="D26" i="861"/>
  <c r="R25" i="861"/>
  <c r="L25" i="861"/>
  <c r="D25" i="861" s="1"/>
  <c r="R24" i="861"/>
  <c r="L24" i="861"/>
  <c r="D24" i="861"/>
  <c r="R23" i="861"/>
  <c r="L23" i="861"/>
  <c r="D23" i="861"/>
  <c r="R22" i="861"/>
  <c r="D22" i="861"/>
  <c r="R21" i="861"/>
  <c r="D21" i="861"/>
  <c r="R20" i="861"/>
  <c r="R19" i="861"/>
  <c r="D19" i="861"/>
  <c r="R18" i="861"/>
  <c r="D18" i="861"/>
  <c r="R17" i="861"/>
  <c r="L17" i="861"/>
  <c r="D17" i="861" s="1"/>
  <c r="R16" i="861"/>
  <c r="L16" i="861"/>
  <c r="D16" i="861"/>
  <c r="R15" i="861"/>
  <c r="D15" i="861"/>
  <c r="R14" i="861"/>
  <c r="D14" i="861"/>
  <c r="R13" i="861"/>
  <c r="D13" i="861"/>
  <c r="R12" i="861"/>
  <c r="R11" i="861"/>
  <c r="L11" i="861"/>
  <c r="D11" i="861"/>
  <c r="L10" i="861"/>
  <c r="D10" i="861"/>
  <c r="L9" i="861"/>
  <c r="D9" i="861" s="1"/>
  <c r="L8" i="861"/>
  <c r="D8" i="861"/>
  <c r="R6" i="861"/>
  <c r="R5" i="861"/>
  <c r="R4" i="861"/>
  <c r="G49" i="867" l="1"/>
  <c r="G49" i="866"/>
  <c r="G49" i="865"/>
  <c r="D54" i="867"/>
  <c r="H14" i="867" s="1"/>
  <c r="D54" i="866"/>
  <c r="H14" i="866" s="1"/>
  <c r="D54" i="865"/>
  <c r="H14" i="865" s="1"/>
  <c r="G49" i="863"/>
  <c r="G49" i="862"/>
  <c r="D54" i="863"/>
  <c r="H14" i="863" s="1"/>
  <c r="D54" i="862"/>
  <c r="H14" i="862" s="1"/>
  <c r="D54" i="861"/>
  <c r="H14" i="861" s="1"/>
  <c r="D29" i="861"/>
  <c r="H13" i="861" s="1"/>
  <c r="D29" i="867"/>
  <c r="H13" i="867" s="1"/>
  <c r="D29" i="866"/>
  <c r="H13" i="866" s="1"/>
  <c r="D29" i="865"/>
  <c r="H13" i="865" s="1"/>
  <c r="D29" i="863"/>
  <c r="H13" i="863" s="1"/>
  <c r="D29" i="862"/>
  <c r="H13" i="862" s="1"/>
  <c r="H16" i="855"/>
  <c r="H16" i="854"/>
  <c r="C21" i="855"/>
  <c r="C12" i="853"/>
  <c r="C22" i="853"/>
  <c r="H15" i="867" l="1"/>
  <c r="H29" i="867" s="1"/>
  <c r="G51" i="867" s="1"/>
  <c r="H15" i="866"/>
  <c r="H29" i="866" s="1"/>
  <c r="G51" i="866" s="1"/>
  <c r="H15" i="865"/>
  <c r="H29" i="865" s="1"/>
  <c r="G51" i="865" s="1"/>
  <c r="H15" i="863"/>
  <c r="H29" i="863" s="1"/>
  <c r="G51" i="863" s="1"/>
  <c r="H15" i="862"/>
  <c r="H29" i="862" s="1"/>
  <c r="G51" i="862" s="1"/>
  <c r="H15" i="861"/>
  <c r="H29" i="861" s="1"/>
  <c r="G51" i="861" s="1"/>
  <c r="H16" i="851"/>
  <c r="H20" i="851"/>
  <c r="C12" i="851"/>
  <c r="R52" i="859" l="1"/>
  <c r="R51" i="859"/>
  <c r="D50" i="859"/>
  <c r="R49" i="859"/>
  <c r="D49" i="859"/>
  <c r="R48" i="859"/>
  <c r="D48" i="859"/>
  <c r="D46" i="859"/>
  <c r="D45" i="859"/>
  <c r="D44" i="859"/>
  <c r="R42" i="859"/>
  <c r="D42" i="859"/>
  <c r="R41" i="859"/>
  <c r="L7" i="859" s="1"/>
  <c r="D7" i="859" s="1"/>
  <c r="D41" i="859"/>
  <c r="R40" i="859"/>
  <c r="D40" i="859"/>
  <c r="R39" i="859"/>
  <c r="H39" i="859"/>
  <c r="D39" i="859"/>
  <c r="R38" i="859"/>
  <c r="H38" i="859"/>
  <c r="D38" i="859"/>
  <c r="R37" i="859"/>
  <c r="H37" i="859"/>
  <c r="D37" i="859"/>
  <c r="R36" i="859"/>
  <c r="L10" i="859" s="1"/>
  <c r="D10" i="859" s="1"/>
  <c r="H36" i="859"/>
  <c r="D36" i="859"/>
  <c r="R35" i="859"/>
  <c r="L19" i="859" s="1"/>
  <c r="D19" i="859" s="1"/>
  <c r="H35" i="859"/>
  <c r="D35" i="859"/>
  <c r="R34" i="859"/>
  <c r="H34" i="859"/>
  <c r="D34" i="859"/>
  <c r="R33" i="859"/>
  <c r="R32" i="859"/>
  <c r="R31" i="859"/>
  <c r="R30" i="859"/>
  <c r="R29" i="859"/>
  <c r="R28" i="859"/>
  <c r="L16" i="859" s="1"/>
  <c r="D16" i="859" s="1"/>
  <c r="D28" i="859"/>
  <c r="R27" i="859"/>
  <c r="D27" i="859"/>
  <c r="R26" i="859"/>
  <c r="L26" i="859"/>
  <c r="D26" i="859"/>
  <c r="R25" i="859"/>
  <c r="L25" i="859"/>
  <c r="D25" i="859"/>
  <c r="R24" i="859"/>
  <c r="D24" i="859"/>
  <c r="R23" i="859"/>
  <c r="L23" i="859"/>
  <c r="D23" i="859"/>
  <c r="R22" i="859"/>
  <c r="L22" i="859"/>
  <c r="D22" i="859" s="1"/>
  <c r="R21" i="859"/>
  <c r="D21" i="859"/>
  <c r="R20" i="859"/>
  <c r="L20" i="859"/>
  <c r="D20" i="859"/>
  <c r="R19" i="859"/>
  <c r="R18" i="859"/>
  <c r="D18" i="859"/>
  <c r="R17" i="859"/>
  <c r="D17" i="859"/>
  <c r="R16" i="859"/>
  <c r="S15" i="859"/>
  <c r="R15" i="859"/>
  <c r="D15" i="859"/>
  <c r="S14" i="859"/>
  <c r="R14" i="859"/>
  <c r="D14" i="859"/>
  <c r="R13" i="859"/>
  <c r="D13" i="859"/>
  <c r="R12" i="859"/>
  <c r="L12" i="859"/>
  <c r="D12" i="859"/>
  <c r="R11" i="859"/>
  <c r="L11" i="859"/>
  <c r="D11" i="859" s="1"/>
  <c r="L9" i="859"/>
  <c r="D9" i="859"/>
  <c r="L8" i="859"/>
  <c r="D8" i="859"/>
  <c r="R6" i="859"/>
  <c r="L6" i="859"/>
  <c r="D6" i="859"/>
  <c r="R5" i="859"/>
  <c r="R4" i="859"/>
  <c r="R52" i="858"/>
  <c r="R51" i="858"/>
  <c r="D50" i="858"/>
  <c r="R49" i="858"/>
  <c r="D49" i="858"/>
  <c r="R48" i="858"/>
  <c r="D48" i="858"/>
  <c r="D46" i="858"/>
  <c r="D45" i="858"/>
  <c r="D44" i="858"/>
  <c r="R42" i="858"/>
  <c r="D42" i="858"/>
  <c r="R41" i="858"/>
  <c r="D41" i="858"/>
  <c r="R40" i="858"/>
  <c r="L8" i="858" s="1"/>
  <c r="D8" i="858" s="1"/>
  <c r="D40" i="858"/>
  <c r="R39" i="858"/>
  <c r="L20" i="858" s="1"/>
  <c r="D20" i="858" s="1"/>
  <c r="H39" i="858"/>
  <c r="D39" i="858"/>
  <c r="R38" i="858"/>
  <c r="H38" i="858"/>
  <c r="D38" i="858"/>
  <c r="R37" i="858"/>
  <c r="H37" i="858"/>
  <c r="D37" i="858"/>
  <c r="R36" i="858"/>
  <c r="H36" i="858"/>
  <c r="D36" i="858"/>
  <c r="R35" i="858"/>
  <c r="H35" i="858"/>
  <c r="D35" i="858"/>
  <c r="R34" i="858"/>
  <c r="H34" i="858"/>
  <c r="D34" i="858"/>
  <c r="R33" i="858"/>
  <c r="L23" i="858" s="1"/>
  <c r="D23" i="858" s="1"/>
  <c r="R32" i="858"/>
  <c r="R31" i="858"/>
  <c r="R30" i="858"/>
  <c r="R29" i="858"/>
  <c r="R28" i="858"/>
  <c r="D28" i="858"/>
  <c r="R27" i="858"/>
  <c r="D27" i="858"/>
  <c r="R26" i="858"/>
  <c r="L26" i="858"/>
  <c r="D26" i="858" s="1"/>
  <c r="R25" i="858"/>
  <c r="L25" i="858"/>
  <c r="D25" i="858"/>
  <c r="R24" i="858"/>
  <c r="L24" i="858"/>
  <c r="D24" i="858" s="1"/>
  <c r="R23" i="858"/>
  <c r="R22" i="858"/>
  <c r="L22" i="858"/>
  <c r="D22" i="858"/>
  <c r="R21" i="858"/>
  <c r="L17" i="858" s="1"/>
  <c r="D17" i="858" s="1"/>
  <c r="D21" i="858"/>
  <c r="R20" i="858"/>
  <c r="R19" i="858"/>
  <c r="L19" i="858"/>
  <c r="D19" i="858" s="1"/>
  <c r="R18" i="858"/>
  <c r="D18" i="858"/>
  <c r="R17" i="858"/>
  <c r="R16" i="858"/>
  <c r="L16" i="858"/>
  <c r="D16" i="858"/>
  <c r="R15" i="858"/>
  <c r="D15" i="858"/>
  <c r="R14" i="858"/>
  <c r="D14" i="858"/>
  <c r="R13" i="858"/>
  <c r="D13" i="858"/>
  <c r="R12" i="858"/>
  <c r="L12" i="858"/>
  <c r="D12" i="858" s="1"/>
  <c r="R11" i="858"/>
  <c r="L11" i="858"/>
  <c r="D11" i="858"/>
  <c r="L10" i="858"/>
  <c r="D10" i="858"/>
  <c r="L9" i="858"/>
  <c r="D9" i="858"/>
  <c r="L7" i="858"/>
  <c r="D7" i="858"/>
  <c r="R6" i="858"/>
  <c r="L6" i="858"/>
  <c r="D6" i="858" s="1"/>
  <c r="R5" i="858"/>
  <c r="R4" i="858"/>
  <c r="R52" i="857"/>
  <c r="R51" i="857"/>
  <c r="D50" i="857"/>
  <c r="R49" i="857"/>
  <c r="D49" i="857"/>
  <c r="R48" i="857"/>
  <c r="D48" i="857"/>
  <c r="D46" i="857"/>
  <c r="D45" i="857"/>
  <c r="R44" i="857"/>
  <c r="P44" i="857"/>
  <c r="D44" i="857"/>
  <c r="R42" i="857"/>
  <c r="D42" i="857"/>
  <c r="R41" i="857"/>
  <c r="D41" i="857"/>
  <c r="R40" i="857"/>
  <c r="D40" i="857"/>
  <c r="R39" i="857"/>
  <c r="L20" i="857" s="1"/>
  <c r="D20" i="857" s="1"/>
  <c r="H39" i="857"/>
  <c r="D39" i="857"/>
  <c r="R38" i="857"/>
  <c r="L9" i="857" s="1"/>
  <c r="D9" i="857" s="1"/>
  <c r="H38" i="857"/>
  <c r="D38" i="857"/>
  <c r="R37" i="857"/>
  <c r="H37" i="857"/>
  <c r="D37" i="857"/>
  <c r="R36" i="857"/>
  <c r="H36" i="857"/>
  <c r="D36" i="857"/>
  <c r="R35" i="857"/>
  <c r="H35" i="857"/>
  <c r="D35" i="857"/>
  <c r="R34" i="857"/>
  <c r="H34" i="857"/>
  <c r="D34" i="857"/>
  <c r="R33" i="857"/>
  <c r="R32" i="857"/>
  <c r="L11" i="857" s="1"/>
  <c r="D11" i="857" s="1"/>
  <c r="R31" i="857"/>
  <c r="R30" i="857"/>
  <c r="R29" i="857"/>
  <c r="R28" i="857"/>
  <c r="D28" i="857"/>
  <c r="R27" i="857"/>
  <c r="L27" i="857"/>
  <c r="D27" i="857"/>
  <c r="R26" i="857"/>
  <c r="D26" i="857"/>
  <c r="R25" i="857"/>
  <c r="L25" i="857"/>
  <c r="D25" i="857"/>
  <c r="R24" i="857"/>
  <c r="L24" i="857"/>
  <c r="D24" i="857" s="1"/>
  <c r="R23" i="857"/>
  <c r="L23" i="857"/>
  <c r="D23" i="857" s="1"/>
  <c r="R22" i="857"/>
  <c r="D22" i="857"/>
  <c r="R21" i="857"/>
  <c r="D21" i="857"/>
  <c r="R20" i="857"/>
  <c r="R19" i="857"/>
  <c r="D19" i="857"/>
  <c r="R18" i="857"/>
  <c r="D18" i="857"/>
  <c r="R17" i="857"/>
  <c r="L17" i="857"/>
  <c r="D17" i="857"/>
  <c r="R16" i="857"/>
  <c r="L16" i="857"/>
  <c r="D16" i="857"/>
  <c r="R15" i="857"/>
  <c r="D15" i="857"/>
  <c r="R14" i="857"/>
  <c r="D14" i="857"/>
  <c r="R13" i="857"/>
  <c r="D13" i="857"/>
  <c r="R12" i="857"/>
  <c r="L12" i="857"/>
  <c r="D12" i="857" s="1"/>
  <c r="R11" i="857"/>
  <c r="L10" i="857"/>
  <c r="D10" i="857"/>
  <c r="L8" i="857"/>
  <c r="D8" i="857"/>
  <c r="L7" i="857"/>
  <c r="D7" i="857"/>
  <c r="R6" i="857"/>
  <c r="L6" i="857"/>
  <c r="D6" i="857"/>
  <c r="R5" i="857"/>
  <c r="R4" i="857"/>
  <c r="R52" i="855"/>
  <c r="R51" i="855"/>
  <c r="D50" i="855"/>
  <c r="R49" i="855"/>
  <c r="D49" i="855"/>
  <c r="R48" i="855"/>
  <c r="D48" i="855"/>
  <c r="D46" i="855"/>
  <c r="D45" i="855"/>
  <c r="D44" i="855"/>
  <c r="R42" i="855"/>
  <c r="L6" i="855" s="1"/>
  <c r="D6" i="855" s="1"/>
  <c r="D42" i="855"/>
  <c r="R41" i="855"/>
  <c r="D41" i="855"/>
  <c r="R40" i="855"/>
  <c r="D40" i="855"/>
  <c r="R39" i="855"/>
  <c r="H39" i="855"/>
  <c r="D39" i="855"/>
  <c r="R38" i="855"/>
  <c r="H38" i="855"/>
  <c r="D38" i="855"/>
  <c r="R37" i="855"/>
  <c r="H37" i="855"/>
  <c r="D37" i="855"/>
  <c r="R36" i="855"/>
  <c r="L10" i="855" s="1"/>
  <c r="D10" i="855" s="1"/>
  <c r="H36" i="855"/>
  <c r="D36" i="855"/>
  <c r="R35" i="855"/>
  <c r="L19" i="855" s="1"/>
  <c r="D19" i="855" s="1"/>
  <c r="H35" i="855"/>
  <c r="D35" i="855"/>
  <c r="R34" i="855"/>
  <c r="L12" i="855" s="1"/>
  <c r="D12" i="855" s="1"/>
  <c r="H34" i="855"/>
  <c r="D34" i="855"/>
  <c r="R33" i="855"/>
  <c r="L23" i="855" s="1"/>
  <c r="D23" i="855" s="1"/>
  <c r="R32" i="855"/>
  <c r="R31" i="855"/>
  <c r="R30" i="855"/>
  <c r="R29" i="855"/>
  <c r="R28" i="855"/>
  <c r="L16" i="855" s="1"/>
  <c r="D16" i="855" s="1"/>
  <c r="D28" i="855"/>
  <c r="R27" i="855"/>
  <c r="D27" i="855"/>
  <c r="R26" i="855"/>
  <c r="L26" i="855"/>
  <c r="D26" i="855"/>
  <c r="R25" i="855"/>
  <c r="L25" i="855"/>
  <c r="D25" i="855"/>
  <c r="R24" i="855"/>
  <c r="D24" i="855"/>
  <c r="R23" i="855"/>
  <c r="R22" i="855"/>
  <c r="L22" i="855"/>
  <c r="D22" i="855"/>
  <c r="R21" i="855"/>
  <c r="D21" i="855"/>
  <c r="R20" i="855"/>
  <c r="L20" i="855"/>
  <c r="D20" i="855"/>
  <c r="R19" i="855"/>
  <c r="R18" i="855"/>
  <c r="D18" i="855"/>
  <c r="R17" i="855"/>
  <c r="D17" i="855"/>
  <c r="R16" i="855"/>
  <c r="S15" i="855"/>
  <c r="R15" i="855"/>
  <c r="D15" i="855"/>
  <c r="S14" i="855"/>
  <c r="R14" i="855"/>
  <c r="D14" i="855"/>
  <c r="R13" i="855"/>
  <c r="D13" i="855"/>
  <c r="R12" i="855"/>
  <c r="R11" i="855"/>
  <c r="L11" i="855"/>
  <c r="D11" i="855"/>
  <c r="L9" i="855"/>
  <c r="D9" i="855"/>
  <c r="L8" i="855"/>
  <c r="D8" i="855" s="1"/>
  <c r="L7" i="855"/>
  <c r="D7" i="855"/>
  <c r="R6" i="855"/>
  <c r="R5" i="855"/>
  <c r="R4" i="855"/>
  <c r="R52" i="854"/>
  <c r="R51" i="854"/>
  <c r="D50" i="854"/>
  <c r="R49" i="854"/>
  <c r="D49" i="854"/>
  <c r="R48" i="854"/>
  <c r="D48" i="854"/>
  <c r="D46" i="854"/>
  <c r="D45" i="854"/>
  <c r="D44" i="854"/>
  <c r="R42" i="854"/>
  <c r="L6" i="854" s="1"/>
  <c r="D6" i="854" s="1"/>
  <c r="D42" i="854"/>
  <c r="R41" i="854"/>
  <c r="D41" i="854"/>
  <c r="R40" i="854"/>
  <c r="L8" i="854" s="1"/>
  <c r="D8" i="854" s="1"/>
  <c r="D40" i="854"/>
  <c r="R39" i="854"/>
  <c r="L20" i="854" s="1"/>
  <c r="D20" i="854" s="1"/>
  <c r="H39" i="854"/>
  <c r="D39" i="854"/>
  <c r="R38" i="854"/>
  <c r="H38" i="854"/>
  <c r="D38" i="854"/>
  <c r="R37" i="854"/>
  <c r="H37" i="854"/>
  <c r="D37" i="854"/>
  <c r="R36" i="854"/>
  <c r="L10" i="854" s="1"/>
  <c r="D10" i="854" s="1"/>
  <c r="H36" i="854"/>
  <c r="D36" i="854"/>
  <c r="R35" i="854"/>
  <c r="H35" i="854"/>
  <c r="D35" i="854"/>
  <c r="R34" i="854"/>
  <c r="H34" i="854"/>
  <c r="D34" i="854"/>
  <c r="R33" i="854"/>
  <c r="L23" i="854" s="1"/>
  <c r="D23" i="854" s="1"/>
  <c r="R32" i="854"/>
  <c r="R31" i="854"/>
  <c r="R30" i="854"/>
  <c r="R29" i="854"/>
  <c r="R28" i="854"/>
  <c r="D28" i="854"/>
  <c r="R27" i="854"/>
  <c r="D27" i="854"/>
  <c r="R26" i="854"/>
  <c r="L26" i="854"/>
  <c r="D26" i="854" s="1"/>
  <c r="R25" i="854"/>
  <c r="L25" i="854"/>
  <c r="D25" i="854"/>
  <c r="R24" i="854"/>
  <c r="L24" i="854"/>
  <c r="D24" i="854"/>
  <c r="R23" i="854"/>
  <c r="R22" i="854"/>
  <c r="L22" i="854"/>
  <c r="D22" i="854" s="1"/>
  <c r="R21" i="854"/>
  <c r="L17" i="854" s="1"/>
  <c r="D17" i="854" s="1"/>
  <c r="D21" i="854"/>
  <c r="R20" i="854"/>
  <c r="R19" i="854"/>
  <c r="L19" i="854"/>
  <c r="D19" i="854" s="1"/>
  <c r="R18" i="854"/>
  <c r="D18" i="854"/>
  <c r="R17" i="854"/>
  <c r="R16" i="854"/>
  <c r="L16" i="854"/>
  <c r="D16" i="854" s="1"/>
  <c r="R15" i="854"/>
  <c r="D15" i="854"/>
  <c r="R14" i="854"/>
  <c r="D14" i="854"/>
  <c r="R13" i="854"/>
  <c r="D13" i="854"/>
  <c r="R12" i="854"/>
  <c r="L12" i="854"/>
  <c r="D12" i="854" s="1"/>
  <c r="R11" i="854"/>
  <c r="L11" i="854"/>
  <c r="D11" i="854"/>
  <c r="L9" i="854"/>
  <c r="D9" i="854"/>
  <c r="L7" i="854"/>
  <c r="D7" i="854"/>
  <c r="R6" i="854"/>
  <c r="R5" i="854"/>
  <c r="R4" i="854"/>
  <c r="R52" i="853"/>
  <c r="R51" i="853"/>
  <c r="D50" i="853"/>
  <c r="R49" i="853"/>
  <c r="D49" i="853"/>
  <c r="R48" i="853"/>
  <c r="D48" i="853"/>
  <c r="D46" i="853"/>
  <c r="D45" i="853"/>
  <c r="R44" i="853"/>
  <c r="P44" i="853"/>
  <c r="D44" i="853"/>
  <c r="R42" i="853"/>
  <c r="L6" i="853" s="1"/>
  <c r="D6" i="853" s="1"/>
  <c r="D42" i="853"/>
  <c r="R41" i="853"/>
  <c r="D41" i="853"/>
  <c r="R40" i="853"/>
  <c r="D40" i="853"/>
  <c r="R39" i="853"/>
  <c r="L20" i="853" s="1"/>
  <c r="D20" i="853" s="1"/>
  <c r="H39" i="853"/>
  <c r="D39" i="853"/>
  <c r="R38" i="853"/>
  <c r="H38" i="853"/>
  <c r="D38" i="853"/>
  <c r="R37" i="853"/>
  <c r="H37" i="853"/>
  <c r="D37" i="853"/>
  <c r="R36" i="853"/>
  <c r="H36" i="853"/>
  <c r="D36" i="853"/>
  <c r="R35" i="853"/>
  <c r="H35" i="853"/>
  <c r="D35" i="853"/>
  <c r="R34" i="853"/>
  <c r="L12" i="853" s="1"/>
  <c r="D12" i="853" s="1"/>
  <c r="H34" i="853"/>
  <c r="D34" i="853"/>
  <c r="R33" i="853"/>
  <c r="R32" i="853"/>
  <c r="R31" i="853"/>
  <c r="R30" i="853"/>
  <c r="R29" i="853"/>
  <c r="R28" i="853"/>
  <c r="D28" i="853"/>
  <c r="R27" i="853"/>
  <c r="L27" i="853"/>
  <c r="D27" i="853"/>
  <c r="R26" i="853"/>
  <c r="L26" i="853"/>
  <c r="D26" i="853"/>
  <c r="R25" i="853"/>
  <c r="L25" i="853"/>
  <c r="D25" i="853" s="1"/>
  <c r="R24" i="853"/>
  <c r="L24" i="853"/>
  <c r="D24" i="853" s="1"/>
  <c r="R23" i="853"/>
  <c r="D23" i="853"/>
  <c r="R22" i="853"/>
  <c r="D22" i="853"/>
  <c r="R21" i="853"/>
  <c r="D21" i="853"/>
  <c r="R20" i="853"/>
  <c r="R19" i="853"/>
  <c r="D19" i="853"/>
  <c r="R18" i="853"/>
  <c r="D18" i="853"/>
  <c r="R17" i="853"/>
  <c r="L17" i="853"/>
  <c r="D17" i="853"/>
  <c r="R16" i="853"/>
  <c r="L16" i="853"/>
  <c r="D16" i="853"/>
  <c r="R15" i="853"/>
  <c r="D15" i="853"/>
  <c r="R14" i="853"/>
  <c r="D14" i="853"/>
  <c r="R13" i="853"/>
  <c r="D13" i="853"/>
  <c r="R12" i="853"/>
  <c r="R11" i="853"/>
  <c r="L11" i="853"/>
  <c r="D11" i="853"/>
  <c r="L10" i="853"/>
  <c r="D10" i="853" s="1"/>
  <c r="L9" i="853"/>
  <c r="D9" i="853"/>
  <c r="L8" i="853"/>
  <c r="D8" i="853"/>
  <c r="L7" i="853"/>
  <c r="D7" i="853"/>
  <c r="R6" i="853"/>
  <c r="R5" i="853"/>
  <c r="R4" i="853"/>
  <c r="G49" i="857" l="1"/>
  <c r="G49" i="859"/>
  <c r="G49" i="858"/>
  <c r="D54" i="859"/>
  <c r="H14" i="859" s="1"/>
  <c r="D54" i="858"/>
  <c r="H14" i="858" s="1"/>
  <c r="D54" i="857"/>
  <c r="H14" i="857" s="1"/>
  <c r="G49" i="855"/>
  <c r="G49" i="854"/>
  <c r="G49" i="853"/>
  <c r="D54" i="855"/>
  <c r="H14" i="855" s="1"/>
  <c r="D54" i="854"/>
  <c r="H14" i="854" s="1"/>
  <c r="D54" i="853"/>
  <c r="H14" i="853" s="1"/>
  <c r="D29" i="859"/>
  <c r="H13" i="859" s="1"/>
  <c r="D29" i="858"/>
  <c r="H13" i="858" s="1"/>
  <c r="D29" i="857"/>
  <c r="H13" i="857" s="1"/>
  <c r="D29" i="855"/>
  <c r="H13" i="855" s="1"/>
  <c r="D29" i="854"/>
  <c r="H13" i="854" s="1"/>
  <c r="D29" i="853"/>
  <c r="H13" i="853" s="1"/>
  <c r="H16" i="847"/>
  <c r="R52" i="851"/>
  <c r="R51" i="851"/>
  <c r="D50" i="851"/>
  <c r="R49" i="851"/>
  <c r="D49" i="851"/>
  <c r="R48" i="851"/>
  <c r="D48" i="851"/>
  <c r="D46" i="851"/>
  <c r="D45" i="851"/>
  <c r="D44" i="851"/>
  <c r="R42" i="851"/>
  <c r="D42" i="851"/>
  <c r="R41" i="851"/>
  <c r="L7" i="851" s="1"/>
  <c r="D7" i="851" s="1"/>
  <c r="D41" i="851"/>
  <c r="R40" i="851"/>
  <c r="L8" i="851" s="1"/>
  <c r="D8" i="851" s="1"/>
  <c r="D40" i="851"/>
  <c r="R39" i="851"/>
  <c r="H39" i="851"/>
  <c r="D39" i="851"/>
  <c r="R38" i="851"/>
  <c r="H38" i="851"/>
  <c r="D38" i="851"/>
  <c r="R37" i="851"/>
  <c r="H37" i="851"/>
  <c r="D37" i="851"/>
  <c r="R36" i="851"/>
  <c r="L10" i="851" s="1"/>
  <c r="D10" i="851" s="1"/>
  <c r="H36" i="851"/>
  <c r="D36" i="851"/>
  <c r="R35" i="851"/>
  <c r="L19" i="851" s="1"/>
  <c r="D19" i="851" s="1"/>
  <c r="H35" i="851"/>
  <c r="D35" i="851"/>
  <c r="R34" i="851"/>
  <c r="H34" i="851"/>
  <c r="D34" i="851"/>
  <c r="R33" i="851"/>
  <c r="R32" i="851"/>
  <c r="R31" i="851"/>
  <c r="R30" i="851"/>
  <c r="R29" i="851"/>
  <c r="R28" i="851"/>
  <c r="L16" i="851" s="1"/>
  <c r="D16" i="851" s="1"/>
  <c r="D28" i="851"/>
  <c r="R27" i="851"/>
  <c r="D27" i="851"/>
  <c r="R26" i="851"/>
  <c r="L26" i="851"/>
  <c r="D26" i="851" s="1"/>
  <c r="R25" i="851"/>
  <c r="L25" i="851"/>
  <c r="D25" i="851" s="1"/>
  <c r="R24" i="851"/>
  <c r="D24" i="851"/>
  <c r="R23" i="851"/>
  <c r="L23" i="851"/>
  <c r="D23" i="851" s="1"/>
  <c r="R22" i="851"/>
  <c r="L22" i="851"/>
  <c r="D22" i="851" s="1"/>
  <c r="R21" i="851"/>
  <c r="D21" i="851"/>
  <c r="R20" i="851"/>
  <c r="L20" i="851"/>
  <c r="D20" i="851" s="1"/>
  <c r="R19" i="851"/>
  <c r="R18" i="851"/>
  <c r="D18" i="851"/>
  <c r="R17" i="851"/>
  <c r="D17" i="851"/>
  <c r="R16" i="851"/>
  <c r="S15" i="851"/>
  <c r="R15" i="851"/>
  <c r="D15" i="851"/>
  <c r="S14" i="851"/>
  <c r="R14" i="851"/>
  <c r="D14" i="851"/>
  <c r="R13" i="851"/>
  <c r="D13" i="851"/>
  <c r="R12" i="851"/>
  <c r="L12" i="851"/>
  <c r="D12" i="851" s="1"/>
  <c r="R11" i="851"/>
  <c r="L11" i="851"/>
  <c r="D11" i="851" s="1"/>
  <c r="L9" i="851"/>
  <c r="D9" i="851"/>
  <c r="R6" i="851"/>
  <c r="L6" i="851"/>
  <c r="D6" i="851"/>
  <c r="R5" i="851"/>
  <c r="R4" i="851"/>
  <c r="R52" i="850"/>
  <c r="R51" i="850"/>
  <c r="D50" i="850"/>
  <c r="R49" i="850"/>
  <c r="D49" i="850"/>
  <c r="R48" i="850"/>
  <c r="D48" i="850"/>
  <c r="D46" i="850"/>
  <c r="D45" i="850"/>
  <c r="D44" i="850"/>
  <c r="R42" i="850"/>
  <c r="L6" i="850" s="1"/>
  <c r="D6" i="850" s="1"/>
  <c r="D42" i="850"/>
  <c r="R41" i="850"/>
  <c r="L7" i="850" s="1"/>
  <c r="D7" i="850" s="1"/>
  <c r="D41" i="850"/>
  <c r="R40" i="850"/>
  <c r="D40" i="850"/>
  <c r="R39" i="850"/>
  <c r="H39" i="850"/>
  <c r="D39" i="850"/>
  <c r="R38" i="850"/>
  <c r="H38" i="850"/>
  <c r="D38" i="850"/>
  <c r="R37" i="850"/>
  <c r="H37" i="850"/>
  <c r="D37" i="850"/>
  <c r="R36" i="850"/>
  <c r="L10" i="850" s="1"/>
  <c r="D10" i="850" s="1"/>
  <c r="H36" i="850"/>
  <c r="D36" i="850"/>
  <c r="R35" i="850"/>
  <c r="H35" i="850"/>
  <c r="D35" i="850"/>
  <c r="R34" i="850"/>
  <c r="L12" i="850" s="1"/>
  <c r="D12" i="850" s="1"/>
  <c r="H34" i="850"/>
  <c r="D34" i="850"/>
  <c r="R33" i="850"/>
  <c r="L23" i="850" s="1"/>
  <c r="D23" i="850" s="1"/>
  <c r="R32" i="850"/>
  <c r="R31" i="850"/>
  <c r="R30" i="850"/>
  <c r="R29" i="850"/>
  <c r="R28" i="850"/>
  <c r="D28" i="850"/>
  <c r="R27" i="850"/>
  <c r="D27" i="850"/>
  <c r="R26" i="850"/>
  <c r="L26" i="850"/>
  <c r="D26" i="850"/>
  <c r="R25" i="850"/>
  <c r="L25" i="850"/>
  <c r="D25" i="850"/>
  <c r="R24" i="850"/>
  <c r="L24" i="850"/>
  <c r="D24" i="850"/>
  <c r="R23" i="850"/>
  <c r="R22" i="850"/>
  <c r="L22" i="850"/>
  <c r="D22" i="850" s="1"/>
  <c r="R21" i="850"/>
  <c r="L17" i="850" s="1"/>
  <c r="D17" i="850" s="1"/>
  <c r="D21" i="850"/>
  <c r="R20" i="850"/>
  <c r="L20" i="850"/>
  <c r="D20" i="850" s="1"/>
  <c r="R19" i="850"/>
  <c r="L19" i="850"/>
  <c r="D19" i="850" s="1"/>
  <c r="R18" i="850"/>
  <c r="D18" i="850"/>
  <c r="R17" i="850"/>
  <c r="R16" i="850"/>
  <c r="L16" i="850"/>
  <c r="D16" i="850" s="1"/>
  <c r="R15" i="850"/>
  <c r="D15" i="850"/>
  <c r="R14" i="850"/>
  <c r="D14" i="850"/>
  <c r="R13" i="850"/>
  <c r="D13" i="850"/>
  <c r="R12" i="850"/>
  <c r="R11" i="850"/>
  <c r="L11" i="850"/>
  <c r="D11" i="850"/>
  <c r="L9" i="850"/>
  <c r="D9" i="850"/>
  <c r="L8" i="850"/>
  <c r="D8" i="850" s="1"/>
  <c r="R6" i="850"/>
  <c r="R5" i="850"/>
  <c r="R4" i="850"/>
  <c r="R52" i="849"/>
  <c r="R51" i="849"/>
  <c r="D50" i="849"/>
  <c r="R49" i="849"/>
  <c r="D49" i="849"/>
  <c r="R48" i="849"/>
  <c r="D48" i="849"/>
  <c r="D46" i="849"/>
  <c r="D45" i="849"/>
  <c r="R44" i="849"/>
  <c r="P44" i="849"/>
  <c r="D44" i="849"/>
  <c r="R42" i="849"/>
  <c r="D42" i="849"/>
  <c r="R41" i="849"/>
  <c r="D41" i="849"/>
  <c r="R40" i="849"/>
  <c r="D40" i="849"/>
  <c r="R39" i="849"/>
  <c r="L20" i="849" s="1"/>
  <c r="D20" i="849" s="1"/>
  <c r="H39" i="849"/>
  <c r="D39" i="849"/>
  <c r="R38" i="849"/>
  <c r="L9" i="849" s="1"/>
  <c r="D9" i="849" s="1"/>
  <c r="H38" i="849"/>
  <c r="D38" i="849"/>
  <c r="R37" i="849"/>
  <c r="H37" i="849"/>
  <c r="D37" i="849"/>
  <c r="R36" i="849"/>
  <c r="L10" i="849" s="1"/>
  <c r="D10" i="849" s="1"/>
  <c r="H36" i="849"/>
  <c r="D36" i="849"/>
  <c r="R35" i="849"/>
  <c r="H35" i="849"/>
  <c r="D35" i="849"/>
  <c r="R34" i="849"/>
  <c r="L12" i="849" s="1"/>
  <c r="D12" i="849" s="1"/>
  <c r="H34" i="849"/>
  <c r="D34" i="849"/>
  <c r="R33" i="849"/>
  <c r="R32" i="849"/>
  <c r="L11" i="849" s="1"/>
  <c r="D11" i="849" s="1"/>
  <c r="R31" i="849"/>
  <c r="R30" i="849"/>
  <c r="R29" i="849"/>
  <c r="R28" i="849"/>
  <c r="D28" i="849"/>
  <c r="R27" i="849"/>
  <c r="L27" i="849"/>
  <c r="D27" i="849"/>
  <c r="R26" i="849"/>
  <c r="L26" i="849"/>
  <c r="D26" i="849"/>
  <c r="R25" i="849"/>
  <c r="L25" i="849"/>
  <c r="D25" i="849"/>
  <c r="R24" i="849"/>
  <c r="L24" i="849"/>
  <c r="D24" i="849"/>
  <c r="R23" i="849"/>
  <c r="L23" i="849"/>
  <c r="D23" i="849"/>
  <c r="R22" i="849"/>
  <c r="D22" i="849"/>
  <c r="R21" i="849"/>
  <c r="D21" i="849"/>
  <c r="R20" i="849"/>
  <c r="R19" i="849"/>
  <c r="D19" i="849"/>
  <c r="R18" i="849"/>
  <c r="D18" i="849"/>
  <c r="R17" i="849"/>
  <c r="L17" i="849"/>
  <c r="D17" i="849"/>
  <c r="R16" i="849"/>
  <c r="L16" i="849"/>
  <c r="D16" i="849" s="1"/>
  <c r="R15" i="849"/>
  <c r="D15" i="849"/>
  <c r="R14" i="849"/>
  <c r="D14" i="849"/>
  <c r="R13" i="849"/>
  <c r="D13" i="849"/>
  <c r="R12" i="849"/>
  <c r="R11" i="849"/>
  <c r="L8" i="849"/>
  <c r="D8" i="849"/>
  <c r="L7" i="849"/>
  <c r="D7" i="849"/>
  <c r="R6" i="849"/>
  <c r="L6" i="849"/>
  <c r="D6" i="849" s="1"/>
  <c r="R5" i="849"/>
  <c r="R4" i="849"/>
  <c r="H15" i="859" l="1"/>
  <c r="H29" i="859" s="1"/>
  <c r="G51" i="859" s="1"/>
  <c r="H15" i="858"/>
  <c r="H29" i="858" s="1"/>
  <c r="G51" i="858" s="1"/>
  <c r="H15" i="857"/>
  <c r="H29" i="857" s="1"/>
  <c r="G51" i="857" s="1"/>
  <c r="H15" i="855"/>
  <c r="H29" i="855" s="1"/>
  <c r="G51" i="855" s="1"/>
  <c r="H15" i="854"/>
  <c r="H29" i="854" s="1"/>
  <c r="G51" i="854" s="1"/>
  <c r="H15" i="853"/>
  <c r="H29" i="853" s="1"/>
  <c r="G51" i="853" s="1"/>
  <c r="G49" i="850"/>
  <c r="G49" i="851"/>
  <c r="G49" i="849"/>
  <c r="D54" i="851"/>
  <c r="H14" i="851" s="1"/>
  <c r="D54" i="850"/>
  <c r="H14" i="850" s="1"/>
  <c r="D54" i="849"/>
  <c r="H14" i="849" s="1"/>
  <c r="D29" i="849"/>
  <c r="H13" i="849" s="1"/>
  <c r="D29" i="851"/>
  <c r="H13" i="851" s="1"/>
  <c r="D29" i="850"/>
  <c r="H13" i="850" s="1"/>
  <c r="H20" i="843"/>
  <c r="H16" i="843"/>
  <c r="H16" i="842"/>
  <c r="C21" i="843"/>
  <c r="H20" i="841"/>
  <c r="R52" i="847"/>
  <c r="R51" i="847"/>
  <c r="D50" i="847"/>
  <c r="R49" i="847"/>
  <c r="D49" i="847"/>
  <c r="R48" i="847"/>
  <c r="D48" i="847"/>
  <c r="D46" i="847"/>
  <c r="D45" i="847"/>
  <c r="D44" i="847"/>
  <c r="R42" i="847"/>
  <c r="L6" i="847" s="1"/>
  <c r="D6" i="847" s="1"/>
  <c r="D42" i="847"/>
  <c r="R41" i="847"/>
  <c r="L7" i="847" s="1"/>
  <c r="D7" i="847" s="1"/>
  <c r="D41" i="847"/>
  <c r="R40" i="847"/>
  <c r="L8" i="847" s="1"/>
  <c r="D8" i="847" s="1"/>
  <c r="D40" i="847"/>
  <c r="R39" i="847"/>
  <c r="H39" i="847"/>
  <c r="D39" i="847"/>
  <c r="R38" i="847"/>
  <c r="H38" i="847"/>
  <c r="D38" i="847"/>
  <c r="R37" i="847"/>
  <c r="H37" i="847"/>
  <c r="D37" i="847"/>
  <c r="R36" i="847"/>
  <c r="H36" i="847"/>
  <c r="D36" i="847"/>
  <c r="R35" i="847"/>
  <c r="L19" i="847" s="1"/>
  <c r="D19" i="847" s="1"/>
  <c r="H35" i="847"/>
  <c r="D35" i="847"/>
  <c r="R34" i="847"/>
  <c r="H34" i="847"/>
  <c r="D34" i="847"/>
  <c r="R33" i="847"/>
  <c r="L23" i="847" s="1"/>
  <c r="D23" i="847" s="1"/>
  <c r="R32" i="847"/>
  <c r="R31" i="847"/>
  <c r="R30" i="847"/>
  <c r="R29" i="847"/>
  <c r="R28" i="847"/>
  <c r="D28" i="847"/>
  <c r="R27" i="847"/>
  <c r="D27" i="847"/>
  <c r="R26" i="847"/>
  <c r="L26" i="847"/>
  <c r="D26" i="847" s="1"/>
  <c r="R25" i="847"/>
  <c r="L25" i="847"/>
  <c r="D25" i="847"/>
  <c r="R24" i="847"/>
  <c r="D24" i="847"/>
  <c r="R23" i="847"/>
  <c r="R22" i="847"/>
  <c r="L22" i="847"/>
  <c r="D22" i="847"/>
  <c r="R21" i="847"/>
  <c r="D21" i="847"/>
  <c r="R20" i="847"/>
  <c r="L20" i="847"/>
  <c r="D20" i="847" s="1"/>
  <c r="R19" i="847"/>
  <c r="R18" i="847"/>
  <c r="D18" i="847"/>
  <c r="R17" i="847"/>
  <c r="D17" i="847"/>
  <c r="R16" i="847"/>
  <c r="L16" i="847"/>
  <c r="D16" i="847"/>
  <c r="S15" i="847"/>
  <c r="R15" i="847"/>
  <c r="D15" i="847"/>
  <c r="S14" i="847"/>
  <c r="R14" i="847"/>
  <c r="D14" i="847"/>
  <c r="R13" i="847"/>
  <c r="D13" i="847"/>
  <c r="R12" i="847"/>
  <c r="L12" i="847"/>
  <c r="D12" i="847"/>
  <c r="R11" i="847"/>
  <c r="L11" i="847"/>
  <c r="D11" i="847"/>
  <c r="L10" i="847"/>
  <c r="D10" i="847"/>
  <c r="L9" i="847"/>
  <c r="D9" i="847"/>
  <c r="R6" i="847"/>
  <c r="R5" i="847"/>
  <c r="R4" i="847"/>
  <c r="R52" i="846"/>
  <c r="R51" i="846"/>
  <c r="D50" i="846"/>
  <c r="R49" i="846"/>
  <c r="D49" i="846"/>
  <c r="R48" i="846"/>
  <c r="D48" i="846"/>
  <c r="D46" i="846"/>
  <c r="D45" i="846"/>
  <c r="D44" i="846"/>
  <c r="R42" i="846"/>
  <c r="L6" i="846" s="1"/>
  <c r="D6" i="846" s="1"/>
  <c r="D42" i="846"/>
  <c r="R41" i="846"/>
  <c r="D41" i="846"/>
  <c r="R40" i="846"/>
  <c r="L8" i="846" s="1"/>
  <c r="D8" i="846" s="1"/>
  <c r="D40" i="846"/>
  <c r="R39" i="846"/>
  <c r="L20" i="846" s="1"/>
  <c r="D20" i="846" s="1"/>
  <c r="H39" i="846"/>
  <c r="D39" i="846"/>
  <c r="R38" i="846"/>
  <c r="L9" i="846" s="1"/>
  <c r="D9" i="846" s="1"/>
  <c r="H38" i="846"/>
  <c r="D38" i="846"/>
  <c r="R37" i="846"/>
  <c r="H37" i="846"/>
  <c r="D37" i="846"/>
  <c r="R36" i="846"/>
  <c r="L10" i="846" s="1"/>
  <c r="D10" i="846" s="1"/>
  <c r="H36" i="846"/>
  <c r="D36" i="846"/>
  <c r="R35" i="846"/>
  <c r="H35" i="846"/>
  <c r="D35" i="846"/>
  <c r="R34" i="846"/>
  <c r="H34" i="846"/>
  <c r="D34" i="846"/>
  <c r="R33" i="846"/>
  <c r="L23" i="846" s="1"/>
  <c r="D23" i="846" s="1"/>
  <c r="R32" i="846"/>
  <c r="L11" i="846" s="1"/>
  <c r="D11" i="846" s="1"/>
  <c r="R31" i="846"/>
  <c r="R30" i="846"/>
  <c r="R29" i="846"/>
  <c r="R28" i="846"/>
  <c r="D28" i="846"/>
  <c r="R27" i="846"/>
  <c r="D27" i="846"/>
  <c r="R26" i="846"/>
  <c r="L26" i="846"/>
  <c r="D26" i="846" s="1"/>
  <c r="R25" i="846"/>
  <c r="L25" i="846"/>
  <c r="D25" i="846"/>
  <c r="R24" i="846"/>
  <c r="L24" i="846"/>
  <c r="D24" i="846"/>
  <c r="R23" i="846"/>
  <c r="R22" i="846"/>
  <c r="L22" i="846"/>
  <c r="D22" i="846" s="1"/>
  <c r="R21" i="846"/>
  <c r="L17" i="846" s="1"/>
  <c r="D17" i="846" s="1"/>
  <c r="D21" i="846"/>
  <c r="R20" i="846"/>
  <c r="R19" i="846"/>
  <c r="L19" i="846"/>
  <c r="D19" i="846"/>
  <c r="R18" i="846"/>
  <c r="D18" i="846"/>
  <c r="R17" i="846"/>
  <c r="R16" i="846"/>
  <c r="L16" i="846"/>
  <c r="D16" i="846" s="1"/>
  <c r="R15" i="846"/>
  <c r="D15" i="846"/>
  <c r="R14" i="846"/>
  <c r="D14" i="846"/>
  <c r="R13" i="846"/>
  <c r="D13" i="846"/>
  <c r="R12" i="846"/>
  <c r="L12" i="846"/>
  <c r="D12" i="846" s="1"/>
  <c r="R11" i="846"/>
  <c r="L7" i="846"/>
  <c r="D7" i="846"/>
  <c r="R6" i="846"/>
  <c r="R5" i="846"/>
  <c r="R4" i="846"/>
  <c r="R52" i="845"/>
  <c r="R51" i="845"/>
  <c r="D50" i="845"/>
  <c r="R49" i="845"/>
  <c r="D49" i="845"/>
  <c r="R48" i="845"/>
  <c r="D48" i="845"/>
  <c r="D46" i="845"/>
  <c r="D45" i="845"/>
  <c r="P44" i="845"/>
  <c r="R44" i="845" s="1"/>
  <c r="D44" i="845"/>
  <c r="R42" i="845"/>
  <c r="D42" i="845"/>
  <c r="R41" i="845"/>
  <c r="L7" i="845" s="1"/>
  <c r="D7" i="845" s="1"/>
  <c r="D41" i="845"/>
  <c r="R40" i="845"/>
  <c r="D40" i="845"/>
  <c r="R39" i="845"/>
  <c r="H39" i="845"/>
  <c r="D39" i="845"/>
  <c r="R38" i="845"/>
  <c r="H38" i="845"/>
  <c r="D38" i="845"/>
  <c r="R37" i="845"/>
  <c r="H37" i="845"/>
  <c r="D37" i="845"/>
  <c r="R36" i="845"/>
  <c r="H36" i="845"/>
  <c r="D36" i="845"/>
  <c r="R35" i="845"/>
  <c r="H35" i="845"/>
  <c r="D35" i="845"/>
  <c r="R34" i="845"/>
  <c r="L12" i="845" s="1"/>
  <c r="D12" i="845" s="1"/>
  <c r="H34" i="845"/>
  <c r="D34" i="845"/>
  <c r="R33" i="845"/>
  <c r="R32" i="845"/>
  <c r="R31" i="845"/>
  <c r="R30" i="845"/>
  <c r="R29" i="845"/>
  <c r="R28" i="845"/>
  <c r="D28" i="845"/>
  <c r="R27" i="845"/>
  <c r="L27" i="845"/>
  <c r="D27" i="845" s="1"/>
  <c r="R26" i="845"/>
  <c r="L26" i="845"/>
  <c r="D26" i="845" s="1"/>
  <c r="R25" i="845"/>
  <c r="L25" i="845"/>
  <c r="D25" i="845"/>
  <c r="R24" i="845"/>
  <c r="L24" i="845"/>
  <c r="D24" i="845"/>
  <c r="R23" i="845"/>
  <c r="L23" i="845"/>
  <c r="D23" i="845" s="1"/>
  <c r="R22" i="845"/>
  <c r="D22" i="845"/>
  <c r="R21" i="845"/>
  <c r="D21" i="845"/>
  <c r="R20" i="845"/>
  <c r="L20" i="845"/>
  <c r="D20" i="845" s="1"/>
  <c r="R19" i="845"/>
  <c r="D19" i="845"/>
  <c r="R18" i="845"/>
  <c r="D18" i="845"/>
  <c r="R17" i="845"/>
  <c r="L17" i="845"/>
  <c r="D17" i="845"/>
  <c r="R16" i="845"/>
  <c r="L16" i="845"/>
  <c r="D16" i="845"/>
  <c r="R15" i="845"/>
  <c r="D15" i="845"/>
  <c r="R14" i="845"/>
  <c r="D14" i="845"/>
  <c r="R13" i="845"/>
  <c r="D13" i="845"/>
  <c r="R12" i="845"/>
  <c r="R11" i="845"/>
  <c r="L11" i="845"/>
  <c r="D11" i="845" s="1"/>
  <c r="L10" i="845"/>
  <c r="D10" i="845"/>
  <c r="L9" i="845"/>
  <c r="D9" i="845" s="1"/>
  <c r="L8" i="845"/>
  <c r="D8" i="845"/>
  <c r="R6" i="845"/>
  <c r="L6" i="845"/>
  <c r="D6" i="845"/>
  <c r="R5" i="845"/>
  <c r="R4" i="845"/>
  <c r="H15" i="851" l="1"/>
  <c r="H29" i="851" s="1"/>
  <c r="G51" i="851" s="1"/>
  <c r="H15" i="850"/>
  <c r="H29" i="850" s="1"/>
  <c r="G51" i="850" s="1"/>
  <c r="H15" i="849"/>
  <c r="H29" i="849" s="1"/>
  <c r="G51" i="849" s="1"/>
  <c r="G49" i="845"/>
  <c r="G49" i="847"/>
  <c r="G49" i="846"/>
  <c r="D54" i="847"/>
  <c r="H14" i="847" s="1"/>
  <c r="D54" i="846"/>
  <c r="H14" i="846" s="1"/>
  <c r="D54" i="845"/>
  <c r="H14" i="845" s="1"/>
  <c r="D29" i="847"/>
  <c r="H13" i="847" s="1"/>
  <c r="D29" i="846"/>
  <c r="H13" i="846" s="1"/>
  <c r="D29" i="845"/>
  <c r="H13" i="845" s="1"/>
  <c r="H20" i="839"/>
  <c r="H16" i="839"/>
  <c r="H20" i="838"/>
  <c r="H16" i="838"/>
  <c r="H16" i="837"/>
  <c r="C19" i="839"/>
  <c r="C12" i="839"/>
  <c r="C21" i="839"/>
  <c r="H15" i="847" l="1"/>
  <c r="H29" i="847" s="1"/>
  <c r="G51" i="847" s="1"/>
  <c r="H15" i="846"/>
  <c r="H29" i="846" s="1"/>
  <c r="G51" i="846" s="1"/>
  <c r="H15" i="845"/>
  <c r="H29" i="845" s="1"/>
  <c r="G51" i="845" s="1"/>
  <c r="R52" i="843"/>
  <c r="R51" i="843"/>
  <c r="D50" i="843"/>
  <c r="R49" i="843"/>
  <c r="D49" i="843"/>
  <c r="R48" i="843"/>
  <c r="D48" i="843"/>
  <c r="D46" i="843"/>
  <c r="D45" i="843"/>
  <c r="D44" i="843"/>
  <c r="R42" i="843"/>
  <c r="D42" i="843"/>
  <c r="R41" i="843"/>
  <c r="L7" i="843" s="1"/>
  <c r="D7" i="843" s="1"/>
  <c r="D41" i="843"/>
  <c r="R40" i="843"/>
  <c r="L8" i="843" s="1"/>
  <c r="D8" i="843" s="1"/>
  <c r="D40" i="843"/>
  <c r="R39" i="843"/>
  <c r="H39" i="843"/>
  <c r="D39" i="843"/>
  <c r="R38" i="843"/>
  <c r="L9" i="843" s="1"/>
  <c r="D9" i="843" s="1"/>
  <c r="H38" i="843"/>
  <c r="D38" i="843"/>
  <c r="R37" i="843"/>
  <c r="H37" i="843"/>
  <c r="D37" i="843"/>
  <c r="R36" i="843"/>
  <c r="H36" i="843"/>
  <c r="D36" i="843"/>
  <c r="R35" i="843"/>
  <c r="L19" i="843" s="1"/>
  <c r="D19" i="843" s="1"/>
  <c r="H35" i="843"/>
  <c r="D35" i="843"/>
  <c r="R34" i="843"/>
  <c r="H34" i="843"/>
  <c r="D34" i="843"/>
  <c r="R33" i="843"/>
  <c r="R32" i="843"/>
  <c r="L11" i="843" s="1"/>
  <c r="D11" i="843" s="1"/>
  <c r="R31" i="843"/>
  <c r="R30" i="843"/>
  <c r="R29" i="843"/>
  <c r="R28" i="843"/>
  <c r="D28" i="843"/>
  <c r="R27" i="843"/>
  <c r="D27" i="843"/>
  <c r="R26" i="843"/>
  <c r="L26" i="843"/>
  <c r="D26" i="843" s="1"/>
  <c r="R25" i="843"/>
  <c r="L25" i="843"/>
  <c r="D25" i="843"/>
  <c r="R24" i="843"/>
  <c r="D24" i="843"/>
  <c r="R23" i="843"/>
  <c r="L23" i="843"/>
  <c r="D23" i="843" s="1"/>
  <c r="R22" i="843"/>
  <c r="L22" i="843"/>
  <c r="D22" i="843" s="1"/>
  <c r="R21" i="843"/>
  <c r="D21" i="843"/>
  <c r="R20" i="843"/>
  <c r="L20" i="843"/>
  <c r="D20" i="843" s="1"/>
  <c r="R19" i="843"/>
  <c r="R18" i="843"/>
  <c r="D18" i="843"/>
  <c r="R17" i="843"/>
  <c r="D17" i="843"/>
  <c r="R16" i="843"/>
  <c r="L16" i="843"/>
  <c r="D16" i="843" s="1"/>
  <c r="S15" i="843"/>
  <c r="R15" i="843"/>
  <c r="D15" i="843"/>
  <c r="S14" i="843"/>
  <c r="R14" i="843"/>
  <c r="D14" i="843"/>
  <c r="R13" i="843"/>
  <c r="D13" i="843"/>
  <c r="R12" i="843"/>
  <c r="L12" i="843"/>
  <c r="D12" i="843" s="1"/>
  <c r="R11" i="843"/>
  <c r="L10" i="843"/>
  <c r="D10" i="843"/>
  <c r="R6" i="843"/>
  <c r="L6" i="843"/>
  <c r="D6" i="843" s="1"/>
  <c r="R5" i="843"/>
  <c r="R4" i="843"/>
  <c r="R52" i="842"/>
  <c r="R51" i="842"/>
  <c r="D50" i="842"/>
  <c r="R49" i="842"/>
  <c r="D49" i="842"/>
  <c r="R48" i="842"/>
  <c r="D48" i="842"/>
  <c r="D46" i="842"/>
  <c r="D45" i="842"/>
  <c r="D44" i="842"/>
  <c r="R42" i="842"/>
  <c r="L6" i="842" s="1"/>
  <c r="D6" i="842" s="1"/>
  <c r="D42" i="842"/>
  <c r="R41" i="842"/>
  <c r="D41" i="842"/>
  <c r="R40" i="842"/>
  <c r="D40" i="842"/>
  <c r="R39" i="842"/>
  <c r="H39" i="842"/>
  <c r="D39" i="842"/>
  <c r="R38" i="842"/>
  <c r="L9" i="842" s="1"/>
  <c r="D9" i="842" s="1"/>
  <c r="H38" i="842"/>
  <c r="D38" i="842"/>
  <c r="R37" i="842"/>
  <c r="H37" i="842"/>
  <c r="D37" i="842"/>
  <c r="R36" i="842"/>
  <c r="H36" i="842"/>
  <c r="D36" i="842"/>
  <c r="R35" i="842"/>
  <c r="H35" i="842"/>
  <c r="D35" i="842"/>
  <c r="R34" i="842"/>
  <c r="L12" i="842" s="1"/>
  <c r="D12" i="842" s="1"/>
  <c r="H34" i="842"/>
  <c r="D34" i="842"/>
  <c r="R33" i="842"/>
  <c r="L23" i="842" s="1"/>
  <c r="D23" i="842" s="1"/>
  <c r="R32" i="842"/>
  <c r="L11" i="842" s="1"/>
  <c r="D11" i="842" s="1"/>
  <c r="R31" i="842"/>
  <c r="R30" i="842"/>
  <c r="R29" i="842"/>
  <c r="R28" i="842"/>
  <c r="D28" i="842"/>
  <c r="R27" i="842"/>
  <c r="D27" i="842"/>
  <c r="R26" i="842"/>
  <c r="L26" i="842"/>
  <c r="D26" i="842"/>
  <c r="R25" i="842"/>
  <c r="L25" i="842"/>
  <c r="D25" i="842" s="1"/>
  <c r="R24" i="842"/>
  <c r="L24" i="842"/>
  <c r="D24" i="842"/>
  <c r="R23" i="842"/>
  <c r="R22" i="842"/>
  <c r="L22" i="842"/>
  <c r="D22" i="842"/>
  <c r="R21" i="842"/>
  <c r="L17" i="842" s="1"/>
  <c r="D17" i="842" s="1"/>
  <c r="D21" i="842"/>
  <c r="R20" i="842"/>
  <c r="L20" i="842"/>
  <c r="D20" i="842" s="1"/>
  <c r="R19" i="842"/>
  <c r="L19" i="842"/>
  <c r="D19" i="842" s="1"/>
  <c r="R18" i="842"/>
  <c r="D18" i="842"/>
  <c r="R17" i="842"/>
  <c r="R16" i="842"/>
  <c r="L16" i="842"/>
  <c r="D16" i="842"/>
  <c r="R15" i="842"/>
  <c r="D15" i="842"/>
  <c r="R14" i="842"/>
  <c r="D14" i="842"/>
  <c r="R13" i="842"/>
  <c r="D13" i="842"/>
  <c r="R12" i="842"/>
  <c r="R11" i="842"/>
  <c r="L10" i="842"/>
  <c r="D10" i="842"/>
  <c r="L8" i="842"/>
  <c r="D8" i="842"/>
  <c r="L7" i="842"/>
  <c r="D7" i="842"/>
  <c r="R6" i="842"/>
  <c r="R5" i="842"/>
  <c r="R4" i="842"/>
  <c r="R52" i="841"/>
  <c r="R51" i="841"/>
  <c r="D50" i="841"/>
  <c r="R49" i="841"/>
  <c r="D49" i="841"/>
  <c r="R48" i="841"/>
  <c r="D48" i="841"/>
  <c r="D46" i="841"/>
  <c r="D45" i="841"/>
  <c r="P44" i="841"/>
  <c r="R44" i="841" s="1"/>
  <c r="D44" i="841"/>
  <c r="R42" i="841"/>
  <c r="D42" i="841"/>
  <c r="R41" i="841"/>
  <c r="L7" i="841" s="1"/>
  <c r="D7" i="841" s="1"/>
  <c r="D41" i="841"/>
  <c r="R40" i="841"/>
  <c r="L8" i="841" s="1"/>
  <c r="D8" i="841" s="1"/>
  <c r="D40" i="841"/>
  <c r="R39" i="841"/>
  <c r="H39" i="841"/>
  <c r="D39" i="841"/>
  <c r="R38" i="841"/>
  <c r="H38" i="841"/>
  <c r="D38" i="841"/>
  <c r="R37" i="841"/>
  <c r="H37" i="841"/>
  <c r="D37" i="841"/>
  <c r="R36" i="841"/>
  <c r="H36" i="841"/>
  <c r="D36" i="841"/>
  <c r="R35" i="841"/>
  <c r="H35" i="841"/>
  <c r="D35" i="841"/>
  <c r="R34" i="841"/>
  <c r="L12" i="841" s="1"/>
  <c r="D12" i="841" s="1"/>
  <c r="H34" i="841"/>
  <c r="D34" i="841"/>
  <c r="R33" i="841"/>
  <c r="R32" i="841"/>
  <c r="R31" i="841"/>
  <c r="R30" i="841"/>
  <c r="R29" i="841"/>
  <c r="R28" i="841"/>
  <c r="D28" i="841"/>
  <c r="R27" i="841"/>
  <c r="L27" i="841"/>
  <c r="D27" i="841"/>
  <c r="R26" i="841"/>
  <c r="L26" i="841"/>
  <c r="D26" i="841" s="1"/>
  <c r="R25" i="841"/>
  <c r="L25" i="841"/>
  <c r="D25" i="841"/>
  <c r="R24" i="841"/>
  <c r="L24" i="841"/>
  <c r="D24" i="841"/>
  <c r="R23" i="841"/>
  <c r="L23" i="841"/>
  <c r="D23" i="841" s="1"/>
  <c r="R22" i="841"/>
  <c r="D22" i="841"/>
  <c r="R21" i="841"/>
  <c r="D21" i="841"/>
  <c r="R20" i="841"/>
  <c r="L20" i="841"/>
  <c r="D20" i="841" s="1"/>
  <c r="R19" i="841"/>
  <c r="D19" i="841"/>
  <c r="R18" i="841"/>
  <c r="D18" i="841"/>
  <c r="R17" i="841"/>
  <c r="L17" i="841"/>
  <c r="D17" i="841"/>
  <c r="R16" i="841"/>
  <c r="L16" i="841"/>
  <c r="D16" i="841"/>
  <c r="R15" i="841"/>
  <c r="D15" i="841"/>
  <c r="R14" i="841"/>
  <c r="D14" i="841"/>
  <c r="R13" i="841"/>
  <c r="D13" i="841"/>
  <c r="R12" i="841"/>
  <c r="R11" i="841"/>
  <c r="L11" i="841"/>
  <c r="D11" i="841" s="1"/>
  <c r="L10" i="841"/>
  <c r="D10" i="841"/>
  <c r="L9" i="841"/>
  <c r="D9" i="841"/>
  <c r="R6" i="841"/>
  <c r="L6" i="841"/>
  <c r="D6" i="841" s="1"/>
  <c r="R5" i="841"/>
  <c r="R4" i="841"/>
  <c r="G49" i="843" l="1"/>
  <c r="G49" i="842"/>
  <c r="D54" i="843"/>
  <c r="H14" i="843" s="1"/>
  <c r="D54" i="842"/>
  <c r="H14" i="842" s="1"/>
  <c r="G49" i="841"/>
  <c r="D54" i="841"/>
  <c r="H14" i="841" s="1"/>
  <c r="D29" i="843"/>
  <c r="H13" i="843" s="1"/>
  <c r="D29" i="842"/>
  <c r="H13" i="842" s="1"/>
  <c r="D29" i="841"/>
  <c r="H13" i="841" s="1"/>
  <c r="H16" i="834"/>
  <c r="C12" i="835"/>
  <c r="C21" i="835"/>
  <c r="R52" i="839"/>
  <c r="R51" i="839"/>
  <c r="D50" i="839"/>
  <c r="R49" i="839"/>
  <c r="D49" i="839"/>
  <c r="R48" i="839"/>
  <c r="D48" i="839"/>
  <c r="D46" i="839"/>
  <c r="D45" i="839"/>
  <c r="D44" i="839"/>
  <c r="R42" i="839"/>
  <c r="D42" i="839"/>
  <c r="R41" i="839"/>
  <c r="D41" i="839"/>
  <c r="R40" i="839"/>
  <c r="L8" i="839" s="1"/>
  <c r="D8" i="839" s="1"/>
  <c r="D40" i="839"/>
  <c r="R39" i="839"/>
  <c r="H39" i="839"/>
  <c r="D39" i="839"/>
  <c r="R38" i="839"/>
  <c r="H38" i="839"/>
  <c r="D38" i="839"/>
  <c r="R37" i="839"/>
  <c r="H37" i="839"/>
  <c r="D37" i="839"/>
  <c r="R36" i="839"/>
  <c r="H36" i="839"/>
  <c r="D36" i="839"/>
  <c r="R35" i="839"/>
  <c r="H35" i="839"/>
  <c r="D35" i="839"/>
  <c r="R34" i="839"/>
  <c r="H34" i="839"/>
  <c r="D34" i="839"/>
  <c r="R33" i="839"/>
  <c r="R32" i="839"/>
  <c r="R31" i="839"/>
  <c r="R30" i="839"/>
  <c r="R29" i="839"/>
  <c r="R28" i="839"/>
  <c r="D28" i="839"/>
  <c r="R27" i="839"/>
  <c r="D27" i="839"/>
  <c r="R26" i="839"/>
  <c r="L26" i="839"/>
  <c r="D26" i="839" s="1"/>
  <c r="R25" i="839"/>
  <c r="L25" i="839"/>
  <c r="D25" i="839" s="1"/>
  <c r="R24" i="839"/>
  <c r="D24" i="839"/>
  <c r="R23" i="839"/>
  <c r="L23" i="839"/>
  <c r="D23" i="839" s="1"/>
  <c r="R22" i="839"/>
  <c r="L22" i="839"/>
  <c r="D22" i="839" s="1"/>
  <c r="R21" i="839"/>
  <c r="D21" i="839"/>
  <c r="R20" i="839"/>
  <c r="L20" i="839"/>
  <c r="D20" i="839" s="1"/>
  <c r="R19" i="839"/>
  <c r="L19" i="839"/>
  <c r="D19" i="839" s="1"/>
  <c r="R18" i="839"/>
  <c r="D18" i="839"/>
  <c r="R17" i="839"/>
  <c r="D17" i="839"/>
  <c r="R16" i="839"/>
  <c r="L16" i="839"/>
  <c r="D16" i="839" s="1"/>
  <c r="S15" i="839"/>
  <c r="R15" i="839"/>
  <c r="D15" i="839"/>
  <c r="S14" i="839"/>
  <c r="R14" i="839"/>
  <c r="D14" i="839"/>
  <c r="R13" i="839"/>
  <c r="D13" i="839"/>
  <c r="R12" i="839"/>
  <c r="L12" i="839"/>
  <c r="D12" i="839" s="1"/>
  <c r="R11" i="839"/>
  <c r="L11" i="839"/>
  <c r="D11" i="839" s="1"/>
  <c r="L10" i="839"/>
  <c r="D10" i="839"/>
  <c r="L9" i="839"/>
  <c r="D9" i="839"/>
  <c r="L7" i="839"/>
  <c r="D7" i="839" s="1"/>
  <c r="R6" i="839"/>
  <c r="L6" i="839"/>
  <c r="D6" i="839"/>
  <c r="R5" i="839"/>
  <c r="R4" i="839"/>
  <c r="R52" i="838"/>
  <c r="R51" i="838"/>
  <c r="D50" i="838"/>
  <c r="R49" i="838"/>
  <c r="D49" i="838"/>
  <c r="R48" i="838"/>
  <c r="D48" i="838"/>
  <c r="D46" i="838"/>
  <c r="D45" i="838"/>
  <c r="D44" i="838"/>
  <c r="R42" i="838"/>
  <c r="L6" i="838" s="1"/>
  <c r="D6" i="838" s="1"/>
  <c r="D42" i="838"/>
  <c r="R41" i="838"/>
  <c r="L7" i="838" s="1"/>
  <c r="D7" i="838" s="1"/>
  <c r="D41" i="838"/>
  <c r="R40" i="838"/>
  <c r="D40" i="838"/>
  <c r="R39" i="838"/>
  <c r="H39" i="838"/>
  <c r="D39" i="838"/>
  <c r="R38" i="838"/>
  <c r="H38" i="838"/>
  <c r="D38" i="838"/>
  <c r="R37" i="838"/>
  <c r="H37" i="838"/>
  <c r="D37" i="838"/>
  <c r="R36" i="838"/>
  <c r="L10" i="838" s="1"/>
  <c r="D10" i="838" s="1"/>
  <c r="H36" i="838"/>
  <c r="D36" i="838"/>
  <c r="R35" i="838"/>
  <c r="H35" i="838"/>
  <c r="D35" i="838"/>
  <c r="R34" i="838"/>
  <c r="L12" i="838" s="1"/>
  <c r="D12" i="838" s="1"/>
  <c r="H34" i="838"/>
  <c r="D34" i="838"/>
  <c r="R33" i="838"/>
  <c r="L23" i="838" s="1"/>
  <c r="D23" i="838" s="1"/>
  <c r="R32" i="838"/>
  <c r="R31" i="838"/>
  <c r="R30" i="838"/>
  <c r="R29" i="838"/>
  <c r="R28" i="838"/>
  <c r="D28" i="838"/>
  <c r="R27" i="838"/>
  <c r="D27" i="838"/>
  <c r="R26" i="838"/>
  <c r="L26" i="838"/>
  <c r="D26" i="838"/>
  <c r="R25" i="838"/>
  <c r="L25" i="838"/>
  <c r="D25" i="838"/>
  <c r="R24" i="838"/>
  <c r="L24" i="838"/>
  <c r="D24" i="838"/>
  <c r="R23" i="838"/>
  <c r="R22" i="838"/>
  <c r="L22" i="838"/>
  <c r="D22" i="838" s="1"/>
  <c r="R21" i="838"/>
  <c r="L17" i="838" s="1"/>
  <c r="D17" i="838" s="1"/>
  <c r="D21" i="838"/>
  <c r="R20" i="838"/>
  <c r="L20" i="838"/>
  <c r="D20" i="838" s="1"/>
  <c r="R19" i="838"/>
  <c r="L19" i="838"/>
  <c r="D19" i="838" s="1"/>
  <c r="R18" i="838"/>
  <c r="D18" i="838"/>
  <c r="R17" i="838"/>
  <c r="R16" i="838"/>
  <c r="L16" i="838"/>
  <c r="D16" i="838" s="1"/>
  <c r="R15" i="838"/>
  <c r="D15" i="838"/>
  <c r="R14" i="838"/>
  <c r="D14" i="838"/>
  <c r="R13" i="838"/>
  <c r="D13" i="838"/>
  <c r="R12" i="838"/>
  <c r="R11" i="838"/>
  <c r="L11" i="838"/>
  <c r="D11" i="838"/>
  <c r="L9" i="838"/>
  <c r="D9" i="838"/>
  <c r="L8" i="838"/>
  <c r="D8" i="838" s="1"/>
  <c r="R6" i="838"/>
  <c r="R5" i="838"/>
  <c r="R4" i="838"/>
  <c r="R52" i="837"/>
  <c r="R51" i="837"/>
  <c r="D50" i="837"/>
  <c r="R49" i="837"/>
  <c r="D49" i="837"/>
  <c r="R48" i="837"/>
  <c r="D48" i="837"/>
  <c r="D46" i="837"/>
  <c r="D45" i="837"/>
  <c r="P44" i="837"/>
  <c r="R44" i="837" s="1"/>
  <c r="D44" i="837"/>
  <c r="R42" i="837"/>
  <c r="D42" i="837"/>
  <c r="R41" i="837"/>
  <c r="L7" i="837" s="1"/>
  <c r="D7" i="837" s="1"/>
  <c r="D41" i="837"/>
  <c r="R40" i="837"/>
  <c r="D40" i="837"/>
  <c r="R39" i="837"/>
  <c r="L20" i="837" s="1"/>
  <c r="D20" i="837" s="1"/>
  <c r="H39" i="837"/>
  <c r="D39" i="837"/>
  <c r="R38" i="837"/>
  <c r="H38" i="837"/>
  <c r="D38" i="837"/>
  <c r="R37" i="837"/>
  <c r="H37" i="837"/>
  <c r="D37" i="837"/>
  <c r="R36" i="837"/>
  <c r="H36" i="837"/>
  <c r="D36" i="837"/>
  <c r="R35" i="837"/>
  <c r="H35" i="837"/>
  <c r="D35" i="837"/>
  <c r="R34" i="837"/>
  <c r="L12" i="837" s="1"/>
  <c r="D12" i="837" s="1"/>
  <c r="H34" i="837"/>
  <c r="D34" i="837"/>
  <c r="R33" i="837"/>
  <c r="R32" i="837"/>
  <c r="L11" i="837" s="1"/>
  <c r="D11" i="837" s="1"/>
  <c r="R31" i="837"/>
  <c r="R30" i="837"/>
  <c r="R29" i="837"/>
  <c r="R28" i="837"/>
  <c r="D28" i="837"/>
  <c r="R27" i="837"/>
  <c r="L27" i="837"/>
  <c r="D27" i="837" s="1"/>
  <c r="R26" i="837"/>
  <c r="L26" i="837"/>
  <c r="D26" i="837"/>
  <c r="R25" i="837"/>
  <c r="L25" i="837"/>
  <c r="D25" i="837"/>
  <c r="R24" i="837"/>
  <c r="L24" i="837"/>
  <c r="D24" i="837"/>
  <c r="R23" i="837"/>
  <c r="L23" i="837"/>
  <c r="D23" i="837" s="1"/>
  <c r="R22" i="837"/>
  <c r="D22" i="837"/>
  <c r="R21" i="837"/>
  <c r="D21" i="837"/>
  <c r="R20" i="837"/>
  <c r="R19" i="837"/>
  <c r="D19" i="837"/>
  <c r="R18" i="837"/>
  <c r="D18" i="837"/>
  <c r="R17" i="837"/>
  <c r="L17" i="837"/>
  <c r="D17" i="837"/>
  <c r="R16" i="837"/>
  <c r="L16" i="837"/>
  <c r="D16" i="837"/>
  <c r="R15" i="837"/>
  <c r="D15" i="837"/>
  <c r="R14" i="837"/>
  <c r="D14" i="837"/>
  <c r="R13" i="837"/>
  <c r="D13" i="837"/>
  <c r="R12" i="837"/>
  <c r="R11" i="837"/>
  <c r="L10" i="837"/>
  <c r="D10" i="837"/>
  <c r="L9" i="837"/>
  <c r="D9" i="837" s="1"/>
  <c r="L8" i="837"/>
  <c r="D8" i="837"/>
  <c r="R6" i="837"/>
  <c r="L6" i="837"/>
  <c r="D6" i="837"/>
  <c r="R5" i="837"/>
  <c r="R4" i="837"/>
  <c r="H15" i="843" l="1"/>
  <c r="H29" i="843" s="1"/>
  <c r="G51" i="843" s="1"/>
  <c r="H15" i="842"/>
  <c r="H29" i="842" s="1"/>
  <c r="G51" i="842" s="1"/>
  <c r="H15" i="841"/>
  <c r="H29" i="841" s="1"/>
  <c r="G51" i="841" s="1"/>
  <c r="G49" i="839"/>
  <c r="G49" i="838"/>
  <c r="G49" i="837"/>
  <c r="D54" i="839"/>
  <c r="H14" i="839" s="1"/>
  <c r="D54" i="838"/>
  <c r="H14" i="838" s="1"/>
  <c r="D54" i="837"/>
  <c r="H14" i="837" s="1"/>
  <c r="D29" i="839"/>
  <c r="H13" i="839" s="1"/>
  <c r="D29" i="838"/>
  <c r="H13" i="838" s="1"/>
  <c r="D29" i="837"/>
  <c r="H13" i="837" s="1"/>
  <c r="H16" i="830"/>
  <c r="H19" i="830"/>
  <c r="H20" i="830"/>
  <c r="C21" i="828"/>
  <c r="R52" i="835"/>
  <c r="R51" i="835"/>
  <c r="D50" i="835"/>
  <c r="R49" i="835"/>
  <c r="D49" i="835"/>
  <c r="R48" i="835"/>
  <c r="D48" i="835"/>
  <c r="D46" i="835"/>
  <c r="D45" i="835"/>
  <c r="D44" i="835"/>
  <c r="R42" i="835"/>
  <c r="D42" i="835"/>
  <c r="R41" i="835"/>
  <c r="D41" i="835"/>
  <c r="R40" i="835"/>
  <c r="D40" i="835"/>
  <c r="R39" i="835"/>
  <c r="H39" i="835"/>
  <c r="D39" i="835"/>
  <c r="R38" i="835"/>
  <c r="L9" i="835" s="1"/>
  <c r="D9" i="835" s="1"/>
  <c r="H38" i="835"/>
  <c r="D38" i="835"/>
  <c r="R37" i="835"/>
  <c r="H37" i="835"/>
  <c r="D37" i="835"/>
  <c r="R36" i="835"/>
  <c r="L10" i="835" s="1"/>
  <c r="D10" i="835" s="1"/>
  <c r="H36" i="835"/>
  <c r="D36" i="835"/>
  <c r="R35" i="835"/>
  <c r="H35" i="835"/>
  <c r="D35" i="835"/>
  <c r="R34" i="835"/>
  <c r="H34" i="835"/>
  <c r="D34" i="835"/>
  <c r="R33" i="835"/>
  <c r="R32" i="835"/>
  <c r="R31" i="835"/>
  <c r="R30" i="835"/>
  <c r="R29" i="835"/>
  <c r="R28" i="835"/>
  <c r="L16" i="835" s="1"/>
  <c r="D16" i="835" s="1"/>
  <c r="D28" i="835"/>
  <c r="R27" i="835"/>
  <c r="D27" i="835"/>
  <c r="R26" i="835"/>
  <c r="L26" i="835"/>
  <c r="D26" i="835"/>
  <c r="R25" i="835"/>
  <c r="L25" i="835"/>
  <c r="D25" i="835"/>
  <c r="R24" i="835"/>
  <c r="D24" i="835"/>
  <c r="R23" i="835"/>
  <c r="L23" i="835"/>
  <c r="D23" i="835" s="1"/>
  <c r="R22" i="835"/>
  <c r="L22" i="835"/>
  <c r="D22" i="835" s="1"/>
  <c r="R21" i="835"/>
  <c r="D21" i="835"/>
  <c r="R20" i="835"/>
  <c r="L20" i="835"/>
  <c r="D20" i="835"/>
  <c r="R19" i="835"/>
  <c r="L19" i="835"/>
  <c r="D19" i="835"/>
  <c r="R18" i="835"/>
  <c r="D18" i="835"/>
  <c r="R17" i="835"/>
  <c r="D17" i="835"/>
  <c r="R16" i="835"/>
  <c r="S15" i="835"/>
  <c r="R15" i="835"/>
  <c r="D15" i="835"/>
  <c r="S14" i="835"/>
  <c r="R14" i="835"/>
  <c r="D14" i="835"/>
  <c r="R13" i="835"/>
  <c r="D13" i="835"/>
  <c r="R12" i="835"/>
  <c r="L12" i="835"/>
  <c r="D12" i="835" s="1"/>
  <c r="R11" i="835"/>
  <c r="L11" i="835"/>
  <c r="D11" i="835" s="1"/>
  <c r="L8" i="835"/>
  <c r="D8" i="835"/>
  <c r="L7" i="835"/>
  <c r="D7" i="835"/>
  <c r="R6" i="835"/>
  <c r="L6" i="835"/>
  <c r="D6" i="835"/>
  <c r="R5" i="835"/>
  <c r="R4" i="835"/>
  <c r="R52" i="834"/>
  <c r="R51" i="834"/>
  <c r="D50" i="834"/>
  <c r="R49" i="834"/>
  <c r="D49" i="834"/>
  <c r="R48" i="834"/>
  <c r="D48" i="834"/>
  <c r="D46" i="834"/>
  <c r="D45" i="834"/>
  <c r="D44" i="834"/>
  <c r="R42" i="834"/>
  <c r="D42" i="834"/>
  <c r="R41" i="834"/>
  <c r="D41" i="834"/>
  <c r="R40" i="834"/>
  <c r="L8" i="834" s="1"/>
  <c r="D8" i="834" s="1"/>
  <c r="D40" i="834"/>
  <c r="R39" i="834"/>
  <c r="L20" i="834" s="1"/>
  <c r="D20" i="834" s="1"/>
  <c r="H39" i="834"/>
  <c r="D39" i="834"/>
  <c r="R38" i="834"/>
  <c r="L9" i="834" s="1"/>
  <c r="D9" i="834" s="1"/>
  <c r="H38" i="834"/>
  <c r="D38" i="834"/>
  <c r="R37" i="834"/>
  <c r="H37" i="834"/>
  <c r="D37" i="834"/>
  <c r="R36" i="834"/>
  <c r="L10" i="834" s="1"/>
  <c r="D10" i="834" s="1"/>
  <c r="H36" i="834"/>
  <c r="D36" i="834"/>
  <c r="R35" i="834"/>
  <c r="L19" i="834" s="1"/>
  <c r="D19" i="834" s="1"/>
  <c r="H35" i="834"/>
  <c r="D35" i="834"/>
  <c r="R34" i="834"/>
  <c r="H34" i="834"/>
  <c r="D34" i="834"/>
  <c r="R33" i="834"/>
  <c r="L23" i="834" s="1"/>
  <c r="D23" i="834" s="1"/>
  <c r="R32" i="834"/>
  <c r="R31" i="834"/>
  <c r="R30" i="834"/>
  <c r="R29" i="834"/>
  <c r="R28" i="834"/>
  <c r="L16" i="834" s="1"/>
  <c r="D16" i="834" s="1"/>
  <c r="D28" i="834"/>
  <c r="R27" i="834"/>
  <c r="D27" i="834"/>
  <c r="R26" i="834"/>
  <c r="L26" i="834"/>
  <c r="D26" i="834" s="1"/>
  <c r="R25" i="834"/>
  <c r="L25" i="834"/>
  <c r="D25" i="834" s="1"/>
  <c r="R24" i="834"/>
  <c r="L24" i="834"/>
  <c r="D24" i="834" s="1"/>
  <c r="R23" i="834"/>
  <c r="R22" i="834"/>
  <c r="L22" i="834"/>
  <c r="D22" i="834" s="1"/>
  <c r="R21" i="834"/>
  <c r="L17" i="834" s="1"/>
  <c r="D17" i="834" s="1"/>
  <c r="D21" i="834"/>
  <c r="R20" i="834"/>
  <c r="R19" i="834"/>
  <c r="R18" i="834"/>
  <c r="D18" i="834"/>
  <c r="R17" i="834"/>
  <c r="R16" i="834"/>
  <c r="R15" i="834"/>
  <c r="D15" i="834"/>
  <c r="R14" i="834"/>
  <c r="D14" i="834"/>
  <c r="R13" i="834"/>
  <c r="D13" i="834"/>
  <c r="R12" i="834"/>
  <c r="L12" i="834"/>
  <c r="D12" i="834" s="1"/>
  <c r="R11" i="834"/>
  <c r="L11" i="834"/>
  <c r="D11" i="834" s="1"/>
  <c r="L7" i="834"/>
  <c r="D7" i="834" s="1"/>
  <c r="R6" i="834"/>
  <c r="L6" i="834"/>
  <c r="D6" i="834" s="1"/>
  <c r="R5" i="834"/>
  <c r="R4" i="834"/>
  <c r="R52" i="833"/>
  <c r="R51" i="833"/>
  <c r="D50" i="833"/>
  <c r="R49" i="833"/>
  <c r="D49" i="833"/>
  <c r="R48" i="833"/>
  <c r="D48" i="833"/>
  <c r="D46" i="833"/>
  <c r="D45" i="833"/>
  <c r="P44" i="833"/>
  <c r="R44" i="833" s="1"/>
  <c r="D44" i="833"/>
  <c r="R42" i="833"/>
  <c r="L6" i="833" s="1"/>
  <c r="D6" i="833" s="1"/>
  <c r="D42" i="833"/>
  <c r="R41" i="833"/>
  <c r="D41" i="833"/>
  <c r="R40" i="833"/>
  <c r="D40" i="833"/>
  <c r="R39" i="833"/>
  <c r="L20" i="833" s="1"/>
  <c r="D20" i="833" s="1"/>
  <c r="H39" i="833"/>
  <c r="D39" i="833"/>
  <c r="R38" i="833"/>
  <c r="H38" i="833"/>
  <c r="D38" i="833"/>
  <c r="R37" i="833"/>
  <c r="H37" i="833"/>
  <c r="D37" i="833"/>
  <c r="R36" i="833"/>
  <c r="H36" i="833"/>
  <c r="D36" i="833"/>
  <c r="R35" i="833"/>
  <c r="H35" i="833"/>
  <c r="D35" i="833"/>
  <c r="R34" i="833"/>
  <c r="H34" i="833"/>
  <c r="D34" i="833"/>
  <c r="R33" i="833"/>
  <c r="R32" i="833"/>
  <c r="R31" i="833"/>
  <c r="R30" i="833"/>
  <c r="R29" i="833"/>
  <c r="R28" i="833"/>
  <c r="D28" i="833"/>
  <c r="R27" i="833"/>
  <c r="L27" i="833"/>
  <c r="D27" i="833"/>
  <c r="R26" i="833"/>
  <c r="L26" i="833"/>
  <c r="D26" i="833"/>
  <c r="R25" i="833"/>
  <c r="L25" i="833"/>
  <c r="D25" i="833"/>
  <c r="R24" i="833"/>
  <c r="L24" i="833"/>
  <c r="D24" i="833" s="1"/>
  <c r="R23" i="833"/>
  <c r="L23" i="833"/>
  <c r="D23" i="833" s="1"/>
  <c r="R22" i="833"/>
  <c r="D22" i="833"/>
  <c r="R21" i="833"/>
  <c r="D21" i="833"/>
  <c r="R20" i="833"/>
  <c r="R19" i="833"/>
  <c r="D19" i="833"/>
  <c r="R18" i="833"/>
  <c r="D18" i="833"/>
  <c r="R17" i="833"/>
  <c r="L17" i="833"/>
  <c r="D17" i="833"/>
  <c r="R16" i="833"/>
  <c r="L16" i="833"/>
  <c r="D16" i="833"/>
  <c r="R15" i="833"/>
  <c r="D15" i="833"/>
  <c r="R14" i="833"/>
  <c r="D14" i="833"/>
  <c r="R13" i="833"/>
  <c r="D13" i="833"/>
  <c r="R12" i="833"/>
  <c r="L12" i="833"/>
  <c r="D12" i="833" s="1"/>
  <c r="R11" i="833"/>
  <c r="L11" i="833"/>
  <c r="D11" i="833" s="1"/>
  <c r="L10" i="833"/>
  <c r="D10" i="833" s="1"/>
  <c r="L9" i="833"/>
  <c r="D9" i="833"/>
  <c r="L8" i="833"/>
  <c r="D8" i="833"/>
  <c r="L7" i="833"/>
  <c r="D7" i="833"/>
  <c r="R6" i="833"/>
  <c r="R5" i="833"/>
  <c r="R4" i="833"/>
  <c r="H15" i="839" l="1"/>
  <c r="H29" i="839" s="1"/>
  <c r="G51" i="839" s="1"/>
  <c r="H15" i="838"/>
  <c r="H29" i="838" s="1"/>
  <c r="G51" i="838" s="1"/>
  <c r="H15" i="837"/>
  <c r="H29" i="837" s="1"/>
  <c r="G51" i="837" s="1"/>
  <c r="G49" i="835"/>
  <c r="G49" i="834"/>
  <c r="G49" i="833"/>
  <c r="D54" i="835"/>
  <c r="H14" i="835" s="1"/>
  <c r="D54" i="834"/>
  <c r="H14" i="834" s="1"/>
  <c r="D54" i="833"/>
  <c r="H14" i="833" s="1"/>
  <c r="D29" i="835"/>
  <c r="H13" i="835" s="1"/>
  <c r="D29" i="834"/>
  <c r="H13" i="834" s="1"/>
  <c r="D29" i="833"/>
  <c r="H13" i="833" s="1"/>
  <c r="C21" i="824"/>
  <c r="L26" i="824"/>
  <c r="H15" i="835" l="1"/>
  <c r="H29" i="835" s="1"/>
  <c r="G51" i="835" s="1"/>
  <c r="H15" i="834"/>
  <c r="H29" i="834" s="1"/>
  <c r="G51" i="834" s="1"/>
  <c r="H15" i="833"/>
  <c r="H29" i="833" s="1"/>
  <c r="G51" i="833" s="1"/>
  <c r="H16" i="824"/>
  <c r="H20" i="826" l="1"/>
  <c r="H16" i="826"/>
  <c r="C12" i="826" l="1"/>
  <c r="C12" i="825" l="1"/>
  <c r="C12" i="824"/>
  <c r="R52" i="830"/>
  <c r="R51" i="830"/>
  <c r="D50" i="830"/>
  <c r="R49" i="830"/>
  <c r="D49" i="830"/>
  <c r="R48" i="830"/>
  <c r="D48" i="830"/>
  <c r="D46" i="830"/>
  <c r="D45" i="830"/>
  <c r="D44" i="830"/>
  <c r="R42" i="830"/>
  <c r="L6" i="830" s="1"/>
  <c r="D6" i="830" s="1"/>
  <c r="D42" i="830"/>
  <c r="R41" i="830"/>
  <c r="L7" i="830" s="1"/>
  <c r="D7" i="830" s="1"/>
  <c r="D41" i="830"/>
  <c r="R40" i="830"/>
  <c r="D40" i="830"/>
  <c r="R39" i="830"/>
  <c r="H39" i="830"/>
  <c r="D39" i="830"/>
  <c r="R38" i="830"/>
  <c r="L9" i="830" s="1"/>
  <c r="D9" i="830" s="1"/>
  <c r="H38" i="830"/>
  <c r="D38" i="830"/>
  <c r="R37" i="830"/>
  <c r="H37" i="830"/>
  <c r="D37" i="830"/>
  <c r="R36" i="830"/>
  <c r="H36" i="830"/>
  <c r="D36" i="830"/>
  <c r="R35" i="830"/>
  <c r="L19" i="830" s="1"/>
  <c r="D19" i="830" s="1"/>
  <c r="H35" i="830"/>
  <c r="D35" i="830"/>
  <c r="R34" i="830"/>
  <c r="H34" i="830"/>
  <c r="D34" i="830"/>
  <c r="R33" i="830"/>
  <c r="R32" i="830"/>
  <c r="R31" i="830"/>
  <c r="R30" i="830"/>
  <c r="R29" i="830"/>
  <c r="R28" i="830"/>
  <c r="D28" i="830"/>
  <c r="R27" i="830"/>
  <c r="D27" i="830"/>
  <c r="R26" i="830"/>
  <c r="L26" i="830"/>
  <c r="D26" i="830" s="1"/>
  <c r="R25" i="830"/>
  <c r="L25" i="830"/>
  <c r="D25" i="830"/>
  <c r="R24" i="830"/>
  <c r="D24" i="830"/>
  <c r="R23" i="830"/>
  <c r="L23" i="830"/>
  <c r="D23" i="830"/>
  <c r="R22" i="830"/>
  <c r="L22" i="830"/>
  <c r="D22" i="830"/>
  <c r="R21" i="830"/>
  <c r="D21" i="830"/>
  <c r="R20" i="830"/>
  <c r="L20" i="830"/>
  <c r="D20" i="830"/>
  <c r="R19" i="830"/>
  <c r="R18" i="830"/>
  <c r="D18" i="830"/>
  <c r="R17" i="830"/>
  <c r="D17" i="830"/>
  <c r="R16" i="830"/>
  <c r="L16" i="830"/>
  <c r="D16" i="830" s="1"/>
  <c r="S15" i="830"/>
  <c r="R15" i="830"/>
  <c r="D15" i="830"/>
  <c r="S14" i="830"/>
  <c r="R14" i="830"/>
  <c r="D14" i="830"/>
  <c r="R13" i="830"/>
  <c r="D13" i="830"/>
  <c r="R12" i="830"/>
  <c r="L12" i="830"/>
  <c r="D12" i="830"/>
  <c r="R11" i="830"/>
  <c r="L11" i="830"/>
  <c r="D11" i="830"/>
  <c r="L10" i="830"/>
  <c r="D10" i="830"/>
  <c r="L8" i="830"/>
  <c r="D8" i="830" s="1"/>
  <c r="R6" i="830"/>
  <c r="R5" i="830"/>
  <c r="R4" i="830"/>
  <c r="R52" i="829"/>
  <c r="R51" i="829"/>
  <c r="D50" i="829"/>
  <c r="R49" i="829"/>
  <c r="D49" i="829"/>
  <c r="R48" i="829"/>
  <c r="D48" i="829"/>
  <c r="D46" i="829"/>
  <c r="D45" i="829"/>
  <c r="D44" i="829"/>
  <c r="R42" i="829"/>
  <c r="D42" i="829"/>
  <c r="R41" i="829"/>
  <c r="D41" i="829"/>
  <c r="R40" i="829"/>
  <c r="D40" i="829"/>
  <c r="R39" i="829"/>
  <c r="L20" i="829" s="1"/>
  <c r="D20" i="829" s="1"/>
  <c r="H39" i="829"/>
  <c r="D39" i="829"/>
  <c r="R38" i="829"/>
  <c r="H38" i="829"/>
  <c r="D38" i="829"/>
  <c r="R37" i="829"/>
  <c r="H37" i="829"/>
  <c r="D37" i="829"/>
  <c r="R36" i="829"/>
  <c r="H36" i="829"/>
  <c r="D36" i="829"/>
  <c r="R35" i="829"/>
  <c r="L19" i="829" s="1"/>
  <c r="D19" i="829" s="1"/>
  <c r="H35" i="829"/>
  <c r="D35" i="829"/>
  <c r="R34" i="829"/>
  <c r="L12" i="829" s="1"/>
  <c r="D12" i="829" s="1"/>
  <c r="H34" i="829"/>
  <c r="D34" i="829"/>
  <c r="R33" i="829"/>
  <c r="R32" i="829"/>
  <c r="L11" i="829" s="1"/>
  <c r="D11" i="829" s="1"/>
  <c r="R31" i="829"/>
  <c r="R30" i="829"/>
  <c r="R29" i="829"/>
  <c r="R28" i="829"/>
  <c r="L16" i="829" s="1"/>
  <c r="D16" i="829" s="1"/>
  <c r="D28" i="829"/>
  <c r="R27" i="829"/>
  <c r="D27" i="829"/>
  <c r="R26" i="829"/>
  <c r="L26" i="829"/>
  <c r="D26" i="829"/>
  <c r="R25" i="829"/>
  <c r="L25" i="829"/>
  <c r="D25" i="829" s="1"/>
  <c r="R24" i="829"/>
  <c r="L24" i="829"/>
  <c r="D24" i="829"/>
  <c r="R23" i="829"/>
  <c r="L23" i="829"/>
  <c r="D23" i="829"/>
  <c r="R22" i="829"/>
  <c r="L22" i="829"/>
  <c r="D22" i="829"/>
  <c r="R21" i="829"/>
  <c r="D21" i="829"/>
  <c r="R20" i="829"/>
  <c r="R19" i="829"/>
  <c r="R18" i="829"/>
  <c r="D18" i="829"/>
  <c r="R17" i="829"/>
  <c r="L17" i="829"/>
  <c r="D17" i="829"/>
  <c r="R16" i="829"/>
  <c r="R15" i="829"/>
  <c r="D15" i="829"/>
  <c r="R14" i="829"/>
  <c r="D14" i="829"/>
  <c r="R13" i="829"/>
  <c r="D13" i="829"/>
  <c r="R12" i="829"/>
  <c r="R11" i="829"/>
  <c r="L10" i="829"/>
  <c r="D10" i="829"/>
  <c r="L9" i="829"/>
  <c r="D9" i="829"/>
  <c r="L8" i="829"/>
  <c r="D8" i="829"/>
  <c r="L7" i="829"/>
  <c r="D7" i="829" s="1"/>
  <c r="R6" i="829"/>
  <c r="L6" i="829"/>
  <c r="D6" i="829"/>
  <c r="R5" i="829"/>
  <c r="R4" i="829"/>
  <c r="R52" i="828"/>
  <c r="R51" i="828"/>
  <c r="D50" i="828"/>
  <c r="R49" i="828"/>
  <c r="D49" i="828"/>
  <c r="R48" i="828"/>
  <c r="D48" i="828"/>
  <c r="D46" i="828"/>
  <c r="D45" i="828"/>
  <c r="R44" i="828"/>
  <c r="P44" i="828"/>
  <c r="D44" i="828"/>
  <c r="R42" i="828"/>
  <c r="D42" i="828"/>
  <c r="R41" i="828"/>
  <c r="D41" i="828"/>
  <c r="R40" i="828"/>
  <c r="D40" i="828"/>
  <c r="R39" i="828"/>
  <c r="L20" i="828" s="1"/>
  <c r="D20" i="828" s="1"/>
  <c r="H39" i="828"/>
  <c r="D39" i="828"/>
  <c r="R38" i="828"/>
  <c r="H38" i="828"/>
  <c r="D38" i="828"/>
  <c r="R37" i="828"/>
  <c r="H37" i="828"/>
  <c r="D37" i="828"/>
  <c r="R36" i="828"/>
  <c r="H36" i="828"/>
  <c r="D36" i="828"/>
  <c r="R35" i="828"/>
  <c r="H35" i="828"/>
  <c r="D35" i="828"/>
  <c r="R34" i="828"/>
  <c r="L12" i="828" s="1"/>
  <c r="D12" i="828" s="1"/>
  <c r="H34" i="828"/>
  <c r="D34" i="828"/>
  <c r="R33" i="828"/>
  <c r="R32" i="828"/>
  <c r="R31" i="828"/>
  <c r="R30" i="828"/>
  <c r="R29" i="828"/>
  <c r="R28" i="828"/>
  <c r="D28" i="828"/>
  <c r="R27" i="828"/>
  <c r="L27" i="828"/>
  <c r="D27" i="828"/>
  <c r="R26" i="828"/>
  <c r="L26" i="828"/>
  <c r="D26" i="828"/>
  <c r="R25" i="828"/>
  <c r="L25" i="828"/>
  <c r="D25" i="828"/>
  <c r="R24" i="828"/>
  <c r="L24" i="828"/>
  <c r="D24" i="828"/>
  <c r="R23" i="828"/>
  <c r="L23" i="828"/>
  <c r="D23" i="828" s="1"/>
  <c r="R22" i="828"/>
  <c r="D22" i="828"/>
  <c r="R21" i="828"/>
  <c r="D21" i="828"/>
  <c r="R20" i="828"/>
  <c r="R19" i="828"/>
  <c r="D19" i="828"/>
  <c r="R18" i="828"/>
  <c r="D18" i="828"/>
  <c r="R17" i="828"/>
  <c r="L17" i="828"/>
  <c r="D17" i="828"/>
  <c r="R16" i="828"/>
  <c r="L16" i="828"/>
  <c r="D16" i="828"/>
  <c r="R15" i="828"/>
  <c r="D15" i="828"/>
  <c r="R14" i="828"/>
  <c r="D14" i="828"/>
  <c r="R13" i="828"/>
  <c r="D13" i="828"/>
  <c r="R12" i="828"/>
  <c r="R11" i="828"/>
  <c r="L11" i="828"/>
  <c r="D11" i="828" s="1"/>
  <c r="L10" i="828"/>
  <c r="D10" i="828"/>
  <c r="L9" i="828"/>
  <c r="D9" i="828"/>
  <c r="L8" i="828"/>
  <c r="D8" i="828"/>
  <c r="L7" i="828"/>
  <c r="D7" i="828" s="1"/>
  <c r="R6" i="828"/>
  <c r="L6" i="828"/>
  <c r="D6" i="828"/>
  <c r="R5" i="828"/>
  <c r="R4" i="828"/>
  <c r="G49" i="830" l="1"/>
  <c r="G49" i="829"/>
  <c r="G49" i="828"/>
  <c r="D54" i="830"/>
  <c r="H14" i="830" s="1"/>
  <c r="D29" i="830"/>
  <c r="H13" i="830" s="1"/>
  <c r="D54" i="829"/>
  <c r="H14" i="829" s="1"/>
  <c r="D54" i="828"/>
  <c r="H14" i="828" s="1"/>
  <c r="D29" i="829"/>
  <c r="H13" i="829" s="1"/>
  <c r="D29" i="828"/>
  <c r="H13" i="828" s="1"/>
  <c r="H20" i="822"/>
  <c r="C21" i="820"/>
  <c r="H15" i="830" l="1"/>
  <c r="H29" i="830" s="1"/>
  <c r="G51" i="830" s="1"/>
  <c r="H15" i="829"/>
  <c r="H29" i="829" s="1"/>
  <c r="G51" i="829" s="1"/>
  <c r="H15" i="828"/>
  <c r="H29" i="828" s="1"/>
  <c r="G51" i="828" s="1"/>
  <c r="R52" i="826"/>
  <c r="R51" i="826"/>
  <c r="D50" i="826"/>
  <c r="R49" i="826"/>
  <c r="D49" i="826"/>
  <c r="R48" i="826"/>
  <c r="D48" i="826"/>
  <c r="D46" i="826"/>
  <c r="D45" i="826"/>
  <c r="D44" i="826"/>
  <c r="R42" i="826"/>
  <c r="D42" i="826"/>
  <c r="R41" i="826"/>
  <c r="D41" i="826"/>
  <c r="R40" i="826"/>
  <c r="D40" i="826"/>
  <c r="R39" i="826"/>
  <c r="H39" i="826"/>
  <c r="D39" i="826"/>
  <c r="R38" i="826"/>
  <c r="L9" i="826" s="1"/>
  <c r="D9" i="826" s="1"/>
  <c r="H38" i="826"/>
  <c r="D38" i="826"/>
  <c r="R37" i="826"/>
  <c r="H37" i="826"/>
  <c r="G49" i="826" s="1"/>
  <c r="D37" i="826"/>
  <c r="R36" i="826"/>
  <c r="L10" i="826" s="1"/>
  <c r="D10" i="826" s="1"/>
  <c r="H36" i="826"/>
  <c r="D36" i="826"/>
  <c r="R35" i="826"/>
  <c r="H35" i="826"/>
  <c r="D35" i="826"/>
  <c r="R34" i="826"/>
  <c r="H34" i="826"/>
  <c r="D34" i="826"/>
  <c r="R33" i="826"/>
  <c r="R32" i="826"/>
  <c r="L11" i="826" s="1"/>
  <c r="D11" i="826" s="1"/>
  <c r="R31" i="826"/>
  <c r="R30" i="826"/>
  <c r="R29" i="826"/>
  <c r="R28" i="826"/>
  <c r="L16" i="826" s="1"/>
  <c r="D16" i="826" s="1"/>
  <c r="D28" i="826"/>
  <c r="R27" i="826"/>
  <c r="D27" i="826"/>
  <c r="R26" i="826"/>
  <c r="L26" i="826"/>
  <c r="D26" i="826"/>
  <c r="R25" i="826"/>
  <c r="L25" i="826"/>
  <c r="D25" i="826"/>
  <c r="R24" i="826"/>
  <c r="D24" i="826"/>
  <c r="R23" i="826"/>
  <c r="L23" i="826"/>
  <c r="D23" i="826" s="1"/>
  <c r="R22" i="826"/>
  <c r="L22" i="826"/>
  <c r="D22" i="826"/>
  <c r="R21" i="826"/>
  <c r="D21" i="826"/>
  <c r="R20" i="826"/>
  <c r="L20" i="826"/>
  <c r="D20" i="826"/>
  <c r="R19" i="826"/>
  <c r="L19" i="826"/>
  <c r="D19" i="826"/>
  <c r="R18" i="826"/>
  <c r="D18" i="826"/>
  <c r="R17" i="826"/>
  <c r="D17" i="826"/>
  <c r="R16" i="826"/>
  <c r="S15" i="826"/>
  <c r="R15" i="826"/>
  <c r="D15" i="826"/>
  <c r="S14" i="826"/>
  <c r="R14" i="826"/>
  <c r="D14" i="826"/>
  <c r="R13" i="826"/>
  <c r="D13" i="826"/>
  <c r="R12" i="826"/>
  <c r="L12" i="826"/>
  <c r="D12" i="826" s="1"/>
  <c r="R11" i="826"/>
  <c r="L8" i="826"/>
  <c r="D8" i="826"/>
  <c r="L7" i="826"/>
  <c r="D7" i="826"/>
  <c r="R6" i="826"/>
  <c r="L6" i="826"/>
  <c r="D6" i="826"/>
  <c r="R5" i="826"/>
  <c r="R4" i="826"/>
  <c r="R52" i="825"/>
  <c r="R51" i="825"/>
  <c r="D50" i="825"/>
  <c r="R49" i="825"/>
  <c r="D49" i="825"/>
  <c r="R48" i="825"/>
  <c r="D48" i="825"/>
  <c r="D46" i="825"/>
  <c r="D45" i="825"/>
  <c r="D44" i="825"/>
  <c r="R42" i="825"/>
  <c r="D42" i="825"/>
  <c r="R41" i="825"/>
  <c r="D41" i="825"/>
  <c r="R40" i="825"/>
  <c r="D40" i="825"/>
  <c r="R39" i="825"/>
  <c r="L20" i="825" s="1"/>
  <c r="D20" i="825" s="1"/>
  <c r="H39" i="825"/>
  <c r="D39" i="825"/>
  <c r="R38" i="825"/>
  <c r="L9" i="825" s="1"/>
  <c r="D9" i="825" s="1"/>
  <c r="H38" i="825"/>
  <c r="D38" i="825"/>
  <c r="R37" i="825"/>
  <c r="H37" i="825"/>
  <c r="D37" i="825"/>
  <c r="R36" i="825"/>
  <c r="H36" i="825"/>
  <c r="D36" i="825"/>
  <c r="R35" i="825"/>
  <c r="H35" i="825"/>
  <c r="D35" i="825"/>
  <c r="R34" i="825"/>
  <c r="H34" i="825"/>
  <c r="D34" i="825"/>
  <c r="R33" i="825"/>
  <c r="L23" i="825" s="1"/>
  <c r="D23" i="825" s="1"/>
  <c r="R32" i="825"/>
  <c r="L11" i="825" s="1"/>
  <c r="D11" i="825" s="1"/>
  <c r="R31" i="825"/>
  <c r="R30" i="825"/>
  <c r="R29" i="825"/>
  <c r="R28" i="825"/>
  <c r="L16" i="825" s="1"/>
  <c r="D16" i="825" s="1"/>
  <c r="D28" i="825"/>
  <c r="R27" i="825"/>
  <c r="D27" i="825"/>
  <c r="R26" i="825"/>
  <c r="L26" i="825"/>
  <c r="D26" i="825"/>
  <c r="R25" i="825"/>
  <c r="L25" i="825"/>
  <c r="D25" i="825" s="1"/>
  <c r="R24" i="825"/>
  <c r="L24" i="825"/>
  <c r="D24" i="825"/>
  <c r="R23" i="825"/>
  <c r="R22" i="825"/>
  <c r="L22" i="825"/>
  <c r="D22" i="825"/>
  <c r="R21" i="825"/>
  <c r="L17" i="825" s="1"/>
  <c r="D17" i="825" s="1"/>
  <c r="D21" i="825"/>
  <c r="R20" i="825"/>
  <c r="R19" i="825"/>
  <c r="L19" i="825"/>
  <c r="D19" i="825"/>
  <c r="R18" i="825"/>
  <c r="D18" i="825"/>
  <c r="R17" i="825"/>
  <c r="R16" i="825"/>
  <c r="R15" i="825"/>
  <c r="D15" i="825"/>
  <c r="R14" i="825"/>
  <c r="D14" i="825"/>
  <c r="R13" i="825"/>
  <c r="D13" i="825"/>
  <c r="R12" i="825"/>
  <c r="L12" i="825"/>
  <c r="D12" i="825" s="1"/>
  <c r="R11" i="825"/>
  <c r="L10" i="825"/>
  <c r="D10" i="825"/>
  <c r="L8" i="825"/>
  <c r="D8" i="825"/>
  <c r="L7" i="825"/>
  <c r="D7" i="825"/>
  <c r="R6" i="825"/>
  <c r="L6" i="825"/>
  <c r="D6" i="825"/>
  <c r="R5" i="825"/>
  <c r="R4" i="825"/>
  <c r="R52" i="824"/>
  <c r="R51" i="824"/>
  <c r="D50" i="824"/>
  <c r="R49" i="824"/>
  <c r="D49" i="824"/>
  <c r="R48" i="824"/>
  <c r="D48" i="824"/>
  <c r="D46" i="824"/>
  <c r="D45" i="824"/>
  <c r="P44" i="824"/>
  <c r="R44" i="824" s="1"/>
  <c r="D44" i="824"/>
  <c r="R42" i="824"/>
  <c r="D42" i="824"/>
  <c r="R41" i="824"/>
  <c r="L7" i="824" s="1"/>
  <c r="D7" i="824" s="1"/>
  <c r="D41" i="824"/>
  <c r="R40" i="824"/>
  <c r="D40" i="824"/>
  <c r="R39" i="824"/>
  <c r="L20" i="824" s="1"/>
  <c r="D20" i="824" s="1"/>
  <c r="H39" i="824"/>
  <c r="D39" i="824"/>
  <c r="R38" i="824"/>
  <c r="H38" i="824"/>
  <c r="D38" i="824"/>
  <c r="R37" i="824"/>
  <c r="H37" i="824"/>
  <c r="D37" i="824"/>
  <c r="R36" i="824"/>
  <c r="H36" i="824"/>
  <c r="D36" i="824"/>
  <c r="R35" i="824"/>
  <c r="H35" i="824"/>
  <c r="D35" i="824"/>
  <c r="R34" i="824"/>
  <c r="H34" i="824"/>
  <c r="D34" i="824"/>
  <c r="R33" i="824"/>
  <c r="R32" i="824"/>
  <c r="R31" i="824"/>
  <c r="R30" i="824"/>
  <c r="R29" i="824"/>
  <c r="R28" i="824"/>
  <c r="D28" i="824"/>
  <c r="R27" i="824"/>
  <c r="L27" i="824"/>
  <c r="D27" i="824"/>
  <c r="R26" i="824"/>
  <c r="D26" i="824"/>
  <c r="R25" i="824"/>
  <c r="L25" i="824"/>
  <c r="D25" i="824"/>
  <c r="R24" i="824"/>
  <c r="L24" i="824"/>
  <c r="D24" i="824" s="1"/>
  <c r="R23" i="824"/>
  <c r="L23" i="824"/>
  <c r="D23" i="824" s="1"/>
  <c r="R22" i="824"/>
  <c r="D22" i="824"/>
  <c r="R21" i="824"/>
  <c r="D21" i="824"/>
  <c r="R20" i="824"/>
  <c r="R19" i="824"/>
  <c r="D19" i="824"/>
  <c r="R18" i="824"/>
  <c r="D18" i="824"/>
  <c r="R17" i="824"/>
  <c r="L17" i="824"/>
  <c r="D17" i="824"/>
  <c r="R16" i="824"/>
  <c r="L16" i="824"/>
  <c r="D16" i="824"/>
  <c r="R15" i="824"/>
  <c r="D15" i="824"/>
  <c r="R14" i="824"/>
  <c r="D14" i="824"/>
  <c r="R13" i="824"/>
  <c r="D13" i="824"/>
  <c r="R12" i="824"/>
  <c r="L12" i="824"/>
  <c r="D12" i="824" s="1"/>
  <c r="R11" i="824"/>
  <c r="L11" i="824"/>
  <c r="D11" i="824" s="1"/>
  <c r="L10" i="824"/>
  <c r="D10" i="824"/>
  <c r="L9" i="824"/>
  <c r="D9" i="824"/>
  <c r="L8" i="824"/>
  <c r="D8" i="824"/>
  <c r="R6" i="824"/>
  <c r="L6" i="824"/>
  <c r="D6" i="824"/>
  <c r="R5" i="824"/>
  <c r="R4" i="824"/>
  <c r="R52" i="822"/>
  <c r="R51" i="822"/>
  <c r="D50" i="822"/>
  <c r="R49" i="822"/>
  <c r="D49" i="822"/>
  <c r="R48" i="822"/>
  <c r="D48" i="822"/>
  <c r="D46" i="822"/>
  <c r="D45" i="822"/>
  <c r="D44" i="822"/>
  <c r="R42" i="822"/>
  <c r="L6" i="822" s="1"/>
  <c r="D6" i="822" s="1"/>
  <c r="D42" i="822"/>
  <c r="R41" i="822"/>
  <c r="L7" i="822" s="1"/>
  <c r="D7" i="822" s="1"/>
  <c r="D41" i="822"/>
  <c r="R40" i="822"/>
  <c r="L8" i="822" s="1"/>
  <c r="D8" i="822" s="1"/>
  <c r="D40" i="822"/>
  <c r="R39" i="822"/>
  <c r="H39" i="822"/>
  <c r="D39" i="822"/>
  <c r="R38" i="822"/>
  <c r="H38" i="822"/>
  <c r="D38" i="822"/>
  <c r="R37" i="822"/>
  <c r="H37" i="822"/>
  <c r="D37" i="822"/>
  <c r="R36" i="822"/>
  <c r="H36" i="822"/>
  <c r="D36" i="822"/>
  <c r="R35" i="822"/>
  <c r="L19" i="822" s="1"/>
  <c r="D19" i="822" s="1"/>
  <c r="H35" i="822"/>
  <c r="D35" i="822"/>
  <c r="R34" i="822"/>
  <c r="L12" i="822" s="1"/>
  <c r="H34" i="822"/>
  <c r="D34" i="822"/>
  <c r="R33" i="822"/>
  <c r="L23" i="822" s="1"/>
  <c r="D23" i="822" s="1"/>
  <c r="R32" i="822"/>
  <c r="R31" i="822"/>
  <c r="R30" i="822"/>
  <c r="R29" i="822"/>
  <c r="R28" i="822"/>
  <c r="L16" i="822" s="1"/>
  <c r="D16" i="822" s="1"/>
  <c r="D28" i="822"/>
  <c r="R27" i="822"/>
  <c r="D27" i="822"/>
  <c r="R26" i="822"/>
  <c r="L26" i="822"/>
  <c r="D26" i="822"/>
  <c r="R25" i="822"/>
  <c r="L25" i="822"/>
  <c r="D25" i="822"/>
  <c r="R24" i="822"/>
  <c r="D24" i="822"/>
  <c r="R23" i="822"/>
  <c r="R22" i="822"/>
  <c r="L22" i="822"/>
  <c r="D22" i="822"/>
  <c r="R21" i="822"/>
  <c r="D21" i="822"/>
  <c r="R20" i="822"/>
  <c r="L20" i="822"/>
  <c r="D20" i="822"/>
  <c r="R19" i="822"/>
  <c r="R18" i="822"/>
  <c r="D18" i="822"/>
  <c r="R17" i="822"/>
  <c r="D17" i="822"/>
  <c r="R16" i="822"/>
  <c r="S15" i="822"/>
  <c r="R15" i="822"/>
  <c r="D15" i="822"/>
  <c r="S14" i="822"/>
  <c r="R14" i="822"/>
  <c r="D14" i="822"/>
  <c r="R13" i="822"/>
  <c r="D13" i="822"/>
  <c r="R12" i="822"/>
  <c r="R11" i="822"/>
  <c r="L11" i="822"/>
  <c r="D11" i="822"/>
  <c r="L10" i="822"/>
  <c r="D10" i="822"/>
  <c r="L9" i="822"/>
  <c r="D9" i="822"/>
  <c r="R6" i="822"/>
  <c r="R5" i="822"/>
  <c r="R4" i="822"/>
  <c r="R52" i="821"/>
  <c r="R51" i="821"/>
  <c r="D50" i="821"/>
  <c r="R49" i="821"/>
  <c r="D49" i="821"/>
  <c r="R48" i="821"/>
  <c r="D48" i="821"/>
  <c r="D46" i="821"/>
  <c r="D45" i="821"/>
  <c r="D44" i="821"/>
  <c r="R42" i="821"/>
  <c r="D42" i="821"/>
  <c r="R41" i="821"/>
  <c r="D41" i="821"/>
  <c r="R40" i="821"/>
  <c r="D40" i="821"/>
  <c r="R39" i="821"/>
  <c r="L20" i="821" s="1"/>
  <c r="D20" i="821" s="1"/>
  <c r="H39" i="821"/>
  <c r="D39" i="821"/>
  <c r="R38" i="821"/>
  <c r="H38" i="821"/>
  <c r="D38" i="821"/>
  <c r="R37" i="821"/>
  <c r="H37" i="821"/>
  <c r="D37" i="821"/>
  <c r="R36" i="821"/>
  <c r="L10" i="821" s="1"/>
  <c r="D10" i="821" s="1"/>
  <c r="H36" i="821"/>
  <c r="D36" i="821"/>
  <c r="R35" i="821"/>
  <c r="H35" i="821"/>
  <c r="D35" i="821"/>
  <c r="R34" i="821"/>
  <c r="L12" i="821" s="1"/>
  <c r="D12" i="821" s="1"/>
  <c r="H34" i="821"/>
  <c r="D34" i="821"/>
  <c r="R33" i="821"/>
  <c r="L23" i="821" s="1"/>
  <c r="D23" i="821" s="1"/>
  <c r="R32" i="821"/>
  <c r="R31" i="821"/>
  <c r="R30" i="821"/>
  <c r="R29" i="821"/>
  <c r="R28" i="821"/>
  <c r="L16" i="821" s="1"/>
  <c r="D16" i="821" s="1"/>
  <c r="D28" i="821"/>
  <c r="R27" i="821"/>
  <c r="D27" i="821"/>
  <c r="R26" i="821"/>
  <c r="L26" i="821"/>
  <c r="D26" i="821"/>
  <c r="R25" i="821"/>
  <c r="L25" i="821"/>
  <c r="D25" i="821"/>
  <c r="R24" i="821"/>
  <c r="L24" i="821"/>
  <c r="D24" i="821"/>
  <c r="R23" i="821"/>
  <c r="R22" i="821"/>
  <c r="L22" i="821"/>
  <c r="D22" i="821" s="1"/>
  <c r="R21" i="821"/>
  <c r="L17" i="821" s="1"/>
  <c r="D17" i="821" s="1"/>
  <c r="D21" i="821"/>
  <c r="R20" i="821"/>
  <c r="R19" i="821"/>
  <c r="L19" i="821"/>
  <c r="D19" i="821" s="1"/>
  <c r="R18" i="821"/>
  <c r="D18" i="821"/>
  <c r="R17" i="821"/>
  <c r="R16" i="821"/>
  <c r="R15" i="821"/>
  <c r="D15" i="821"/>
  <c r="R14" i="821"/>
  <c r="D14" i="821"/>
  <c r="R13" i="821"/>
  <c r="D13" i="821"/>
  <c r="R12" i="821"/>
  <c r="R11" i="821"/>
  <c r="L11" i="821"/>
  <c r="D11" i="821" s="1"/>
  <c r="L9" i="821"/>
  <c r="D9" i="821"/>
  <c r="L8" i="821"/>
  <c r="D8" i="821"/>
  <c r="L7" i="821"/>
  <c r="D7" i="821" s="1"/>
  <c r="R6" i="821"/>
  <c r="L6" i="821"/>
  <c r="D6" i="821" s="1"/>
  <c r="R5" i="821"/>
  <c r="R4" i="821"/>
  <c r="R52" i="820"/>
  <c r="R51" i="820"/>
  <c r="D50" i="820"/>
  <c r="R49" i="820"/>
  <c r="D49" i="820"/>
  <c r="R48" i="820"/>
  <c r="D48" i="820"/>
  <c r="D46" i="820"/>
  <c r="D45" i="820"/>
  <c r="R44" i="820"/>
  <c r="P44" i="820"/>
  <c r="D44" i="820"/>
  <c r="R42" i="820"/>
  <c r="D42" i="820"/>
  <c r="R41" i="820"/>
  <c r="D41" i="820"/>
  <c r="R40" i="820"/>
  <c r="L8" i="820" s="1"/>
  <c r="D8" i="820" s="1"/>
  <c r="D40" i="820"/>
  <c r="R39" i="820"/>
  <c r="H39" i="820"/>
  <c r="D39" i="820"/>
  <c r="R38" i="820"/>
  <c r="H38" i="820"/>
  <c r="D38" i="820"/>
  <c r="R37" i="820"/>
  <c r="H37" i="820"/>
  <c r="D37" i="820"/>
  <c r="R36" i="820"/>
  <c r="H36" i="820"/>
  <c r="D36" i="820"/>
  <c r="R35" i="820"/>
  <c r="H35" i="820"/>
  <c r="D35" i="820"/>
  <c r="R34" i="820"/>
  <c r="L12" i="820" s="1"/>
  <c r="H34" i="820"/>
  <c r="D34" i="820"/>
  <c r="R33" i="820"/>
  <c r="R32" i="820"/>
  <c r="R31" i="820"/>
  <c r="R30" i="820"/>
  <c r="R29" i="820"/>
  <c r="R28" i="820"/>
  <c r="D28" i="820"/>
  <c r="R27" i="820"/>
  <c r="L27" i="820"/>
  <c r="D27" i="820"/>
  <c r="R26" i="820"/>
  <c r="L26" i="820"/>
  <c r="D26" i="820"/>
  <c r="R25" i="820"/>
  <c r="L25" i="820"/>
  <c r="D25" i="820"/>
  <c r="R24" i="820"/>
  <c r="L24" i="820"/>
  <c r="D24" i="820"/>
  <c r="R23" i="820"/>
  <c r="L23" i="820"/>
  <c r="D23" i="820" s="1"/>
  <c r="R22" i="820"/>
  <c r="D22" i="820"/>
  <c r="R21" i="820"/>
  <c r="D21" i="820"/>
  <c r="R20" i="820"/>
  <c r="L20" i="820"/>
  <c r="D20" i="820"/>
  <c r="R19" i="820"/>
  <c r="D19" i="820"/>
  <c r="R18" i="820"/>
  <c r="D18" i="820"/>
  <c r="R17" i="820"/>
  <c r="L17" i="820"/>
  <c r="D17" i="820"/>
  <c r="R16" i="820"/>
  <c r="L16" i="820"/>
  <c r="D16" i="820"/>
  <c r="R15" i="820"/>
  <c r="D15" i="820"/>
  <c r="R14" i="820"/>
  <c r="D14" i="820"/>
  <c r="R13" i="820"/>
  <c r="D13" i="820"/>
  <c r="R12" i="820"/>
  <c r="D12" i="820"/>
  <c r="R11" i="820"/>
  <c r="L11" i="820"/>
  <c r="D11" i="820"/>
  <c r="L10" i="820"/>
  <c r="D10" i="820"/>
  <c r="L9" i="820"/>
  <c r="D9" i="820" s="1"/>
  <c r="L7" i="820"/>
  <c r="D7" i="820"/>
  <c r="R6" i="820"/>
  <c r="L6" i="820"/>
  <c r="D6" i="820" s="1"/>
  <c r="R5" i="820"/>
  <c r="R4" i="820"/>
  <c r="G49" i="825" l="1"/>
  <c r="G49" i="824"/>
  <c r="D54" i="826"/>
  <c r="H14" i="826" s="1"/>
  <c r="D54" i="825"/>
  <c r="H14" i="825" s="1"/>
  <c r="D54" i="824"/>
  <c r="H14" i="824" s="1"/>
  <c r="D29" i="824"/>
  <c r="H13" i="824" s="1"/>
  <c r="G49" i="820"/>
  <c r="D29" i="821"/>
  <c r="H13" i="821" s="1"/>
  <c r="D29" i="826"/>
  <c r="H13" i="826" s="1"/>
  <c r="D29" i="825"/>
  <c r="H13" i="825" s="1"/>
  <c r="G49" i="822"/>
  <c r="D54" i="822"/>
  <c r="H14" i="822" s="1"/>
  <c r="G49" i="821"/>
  <c r="D54" i="821"/>
  <c r="H14" i="821" s="1"/>
  <c r="D54" i="820"/>
  <c r="H14" i="820" s="1"/>
  <c r="D12" i="822"/>
  <c r="D29" i="822"/>
  <c r="H13" i="822" s="1"/>
  <c r="D29" i="820"/>
  <c r="H13" i="820" s="1"/>
  <c r="H16" i="817"/>
  <c r="H15" i="826" l="1"/>
  <c r="H29" i="826" s="1"/>
  <c r="G51" i="826" s="1"/>
  <c r="H15" i="825"/>
  <c r="H29" i="825" s="1"/>
  <c r="G51" i="825" s="1"/>
  <c r="H15" i="824"/>
  <c r="H29" i="824" s="1"/>
  <c r="G51" i="824" s="1"/>
  <c r="H15" i="822"/>
  <c r="H29" i="822" s="1"/>
  <c r="G51" i="822" s="1"/>
  <c r="H15" i="821"/>
  <c r="H29" i="821" s="1"/>
  <c r="G51" i="821" s="1"/>
  <c r="H15" i="820"/>
  <c r="H29" i="820" s="1"/>
  <c r="G51" i="820" s="1"/>
  <c r="H20" i="815"/>
  <c r="C12" i="817" l="1"/>
  <c r="C12" i="816"/>
  <c r="C20" i="815"/>
  <c r="C19" i="815"/>
  <c r="C12" i="815"/>
  <c r="L17" i="815"/>
  <c r="C21" i="815"/>
  <c r="R52" i="817" l="1"/>
  <c r="R51" i="817"/>
  <c r="D50" i="817"/>
  <c r="R49" i="817"/>
  <c r="D49" i="817"/>
  <c r="R48" i="817"/>
  <c r="D48" i="817"/>
  <c r="D46" i="817"/>
  <c r="D45" i="817"/>
  <c r="D44" i="817"/>
  <c r="R42" i="817"/>
  <c r="D42" i="817"/>
  <c r="R41" i="817"/>
  <c r="L7" i="817" s="1"/>
  <c r="D7" i="817" s="1"/>
  <c r="D41" i="817"/>
  <c r="R40" i="817"/>
  <c r="L8" i="817" s="1"/>
  <c r="D8" i="817" s="1"/>
  <c r="D40" i="817"/>
  <c r="R39" i="817"/>
  <c r="H39" i="817"/>
  <c r="D39" i="817"/>
  <c r="R38" i="817"/>
  <c r="H38" i="817"/>
  <c r="D38" i="817"/>
  <c r="R37" i="817"/>
  <c r="H37" i="817"/>
  <c r="D37" i="817"/>
  <c r="R36" i="817"/>
  <c r="H36" i="817"/>
  <c r="D36" i="817"/>
  <c r="R35" i="817"/>
  <c r="L19" i="817" s="1"/>
  <c r="D19" i="817" s="1"/>
  <c r="H35" i="817"/>
  <c r="D35" i="817"/>
  <c r="R34" i="817"/>
  <c r="H34" i="817"/>
  <c r="D34" i="817"/>
  <c r="R33" i="817"/>
  <c r="R32" i="817"/>
  <c r="L11" i="817" s="1"/>
  <c r="D11" i="817" s="1"/>
  <c r="R31" i="817"/>
  <c r="R30" i="817"/>
  <c r="R29" i="817"/>
  <c r="R28" i="817"/>
  <c r="L16" i="817" s="1"/>
  <c r="D16" i="817" s="1"/>
  <c r="D28" i="817"/>
  <c r="R27" i="817"/>
  <c r="D27" i="817"/>
  <c r="R26" i="817"/>
  <c r="L26" i="817"/>
  <c r="D26" i="817" s="1"/>
  <c r="R25" i="817"/>
  <c r="L25" i="817"/>
  <c r="D25" i="817"/>
  <c r="R24" i="817"/>
  <c r="D24" i="817"/>
  <c r="R23" i="817"/>
  <c r="L23" i="817"/>
  <c r="D23" i="817" s="1"/>
  <c r="R22" i="817"/>
  <c r="L22" i="817"/>
  <c r="D22" i="817"/>
  <c r="R21" i="817"/>
  <c r="D21" i="817"/>
  <c r="R20" i="817"/>
  <c r="L20" i="817"/>
  <c r="D20" i="817" s="1"/>
  <c r="R19" i="817"/>
  <c r="R18" i="817"/>
  <c r="D18" i="817"/>
  <c r="R17" i="817"/>
  <c r="D17" i="817"/>
  <c r="R16" i="817"/>
  <c r="S15" i="817"/>
  <c r="R15" i="817"/>
  <c r="D15" i="817"/>
  <c r="S14" i="817"/>
  <c r="R14" i="817"/>
  <c r="D14" i="817"/>
  <c r="R13" i="817"/>
  <c r="D13" i="817"/>
  <c r="R12" i="817"/>
  <c r="L12" i="817"/>
  <c r="D12" i="817" s="1"/>
  <c r="R11" i="817"/>
  <c r="L10" i="817"/>
  <c r="D10" i="817"/>
  <c r="L9" i="817"/>
  <c r="D9" i="817"/>
  <c r="R6" i="817"/>
  <c r="L6" i="817"/>
  <c r="D6" i="817"/>
  <c r="R5" i="817"/>
  <c r="R4" i="817"/>
  <c r="R52" i="816"/>
  <c r="R51" i="816"/>
  <c r="D50" i="816"/>
  <c r="R49" i="816"/>
  <c r="D49" i="816"/>
  <c r="R48" i="816"/>
  <c r="D48" i="816"/>
  <c r="D46" i="816"/>
  <c r="D45" i="816"/>
  <c r="D44" i="816"/>
  <c r="R42" i="816"/>
  <c r="D42" i="816"/>
  <c r="R41" i="816"/>
  <c r="D41" i="816"/>
  <c r="R40" i="816"/>
  <c r="D40" i="816"/>
  <c r="R39" i="816"/>
  <c r="L20" i="816" s="1"/>
  <c r="D20" i="816" s="1"/>
  <c r="H39" i="816"/>
  <c r="D39" i="816"/>
  <c r="R38" i="816"/>
  <c r="L9" i="816" s="1"/>
  <c r="D9" i="816" s="1"/>
  <c r="H38" i="816"/>
  <c r="D38" i="816"/>
  <c r="R37" i="816"/>
  <c r="H37" i="816"/>
  <c r="D37" i="816"/>
  <c r="R36" i="816"/>
  <c r="L10" i="816" s="1"/>
  <c r="D10" i="816" s="1"/>
  <c r="H36" i="816"/>
  <c r="D36" i="816"/>
  <c r="R35" i="816"/>
  <c r="H35" i="816"/>
  <c r="D35" i="816"/>
  <c r="R34" i="816"/>
  <c r="L12" i="816" s="1"/>
  <c r="D12" i="816" s="1"/>
  <c r="H34" i="816"/>
  <c r="D34" i="816"/>
  <c r="R33" i="816"/>
  <c r="L23" i="816" s="1"/>
  <c r="D23" i="816" s="1"/>
  <c r="R32" i="816"/>
  <c r="L11" i="816" s="1"/>
  <c r="D11" i="816" s="1"/>
  <c r="R31" i="816"/>
  <c r="R30" i="816"/>
  <c r="R29" i="816"/>
  <c r="R28" i="816"/>
  <c r="D28" i="816"/>
  <c r="R27" i="816"/>
  <c r="D27" i="816"/>
  <c r="R26" i="816"/>
  <c r="L26" i="816"/>
  <c r="D26" i="816"/>
  <c r="R25" i="816"/>
  <c r="L25" i="816"/>
  <c r="D25" i="816"/>
  <c r="R24" i="816"/>
  <c r="L24" i="816"/>
  <c r="D24" i="816" s="1"/>
  <c r="R23" i="816"/>
  <c r="R22" i="816"/>
  <c r="L22" i="816"/>
  <c r="D22" i="816" s="1"/>
  <c r="R21" i="816"/>
  <c r="L17" i="816" s="1"/>
  <c r="D17" i="816" s="1"/>
  <c r="D21" i="816"/>
  <c r="R20" i="816"/>
  <c r="R19" i="816"/>
  <c r="L19" i="816"/>
  <c r="D19" i="816"/>
  <c r="R18" i="816"/>
  <c r="D18" i="816"/>
  <c r="R17" i="816"/>
  <c r="R16" i="816"/>
  <c r="L16" i="816"/>
  <c r="D16" i="816" s="1"/>
  <c r="R15" i="816"/>
  <c r="D15" i="816"/>
  <c r="R14" i="816"/>
  <c r="D14" i="816"/>
  <c r="R13" i="816"/>
  <c r="D13" i="816"/>
  <c r="R12" i="816"/>
  <c r="R11" i="816"/>
  <c r="L8" i="816"/>
  <c r="D8" i="816"/>
  <c r="L7" i="816"/>
  <c r="D7" i="816"/>
  <c r="R6" i="816"/>
  <c r="L6" i="816"/>
  <c r="D6" i="816" s="1"/>
  <c r="R5" i="816"/>
  <c r="R4" i="816"/>
  <c r="R52" i="815"/>
  <c r="R51" i="815"/>
  <c r="D50" i="815"/>
  <c r="R49" i="815"/>
  <c r="D49" i="815"/>
  <c r="R48" i="815"/>
  <c r="D48" i="815"/>
  <c r="D46" i="815"/>
  <c r="D45" i="815"/>
  <c r="P44" i="815"/>
  <c r="R44" i="815" s="1"/>
  <c r="D44" i="815"/>
  <c r="R42" i="815"/>
  <c r="L6" i="815" s="1"/>
  <c r="D6" i="815" s="1"/>
  <c r="D42" i="815"/>
  <c r="R41" i="815"/>
  <c r="D41" i="815"/>
  <c r="R40" i="815"/>
  <c r="L8" i="815" s="1"/>
  <c r="D8" i="815" s="1"/>
  <c r="D40" i="815"/>
  <c r="R39" i="815"/>
  <c r="H39" i="815"/>
  <c r="D39" i="815"/>
  <c r="R38" i="815"/>
  <c r="H38" i="815"/>
  <c r="D38" i="815"/>
  <c r="R37" i="815"/>
  <c r="H37" i="815"/>
  <c r="D37" i="815"/>
  <c r="R36" i="815"/>
  <c r="H36" i="815"/>
  <c r="D36" i="815"/>
  <c r="R35" i="815"/>
  <c r="H35" i="815"/>
  <c r="D35" i="815"/>
  <c r="R34" i="815"/>
  <c r="L12" i="815" s="1"/>
  <c r="D12" i="815" s="1"/>
  <c r="H34" i="815"/>
  <c r="D34" i="815"/>
  <c r="R33" i="815"/>
  <c r="R32" i="815"/>
  <c r="R31" i="815"/>
  <c r="R30" i="815"/>
  <c r="R29" i="815"/>
  <c r="R28" i="815"/>
  <c r="L16" i="815" s="1"/>
  <c r="D16" i="815" s="1"/>
  <c r="D28" i="815"/>
  <c r="R27" i="815"/>
  <c r="L27" i="815"/>
  <c r="D27" i="815"/>
  <c r="R26" i="815"/>
  <c r="L26" i="815"/>
  <c r="D26" i="815" s="1"/>
  <c r="R25" i="815"/>
  <c r="L25" i="815"/>
  <c r="D25" i="815"/>
  <c r="R24" i="815"/>
  <c r="L24" i="815"/>
  <c r="D24" i="815"/>
  <c r="R23" i="815"/>
  <c r="L23" i="815"/>
  <c r="D23" i="815"/>
  <c r="R22" i="815"/>
  <c r="D22" i="815"/>
  <c r="R21" i="815"/>
  <c r="D21" i="815"/>
  <c r="R20" i="815"/>
  <c r="L20" i="815"/>
  <c r="D20" i="815" s="1"/>
  <c r="R19" i="815"/>
  <c r="D19" i="815"/>
  <c r="R18" i="815"/>
  <c r="D18" i="815"/>
  <c r="R17" i="815"/>
  <c r="D17" i="815"/>
  <c r="R16" i="815"/>
  <c r="R15" i="815"/>
  <c r="D15" i="815"/>
  <c r="R14" i="815"/>
  <c r="D14" i="815"/>
  <c r="R13" i="815"/>
  <c r="D13" i="815"/>
  <c r="R12" i="815"/>
  <c r="R11" i="815"/>
  <c r="L11" i="815"/>
  <c r="D11" i="815"/>
  <c r="L10" i="815"/>
  <c r="D10" i="815" s="1"/>
  <c r="L9" i="815"/>
  <c r="D9" i="815" s="1"/>
  <c r="L7" i="815"/>
  <c r="D7" i="815" s="1"/>
  <c r="R6" i="815"/>
  <c r="R5" i="815"/>
  <c r="R4" i="815"/>
  <c r="G49" i="817" l="1"/>
  <c r="G49" i="816"/>
  <c r="G49" i="815"/>
  <c r="D54" i="817"/>
  <c r="H14" i="817" s="1"/>
  <c r="D54" i="816"/>
  <c r="H14" i="816" s="1"/>
  <c r="D54" i="815"/>
  <c r="H14" i="815" s="1"/>
  <c r="D29" i="817"/>
  <c r="H13" i="817" s="1"/>
  <c r="D29" i="816"/>
  <c r="H13" i="816" s="1"/>
  <c r="D29" i="815"/>
  <c r="H13" i="815" s="1"/>
  <c r="H15" i="817" l="1"/>
  <c r="H29" i="817" s="1"/>
  <c r="G51" i="817" s="1"/>
  <c r="H15" i="816"/>
  <c r="H29" i="816" s="1"/>
  <c r="G51" i="816" s="1"/>
  <c r="H15" i="815"/>
  <c r="H29" i="815" s="1"/>
  <c r="G51" i="815" s="1"/>
</calcChain>
</file>

<file path=xl/sharedStrings.xml><?xml version="1.0" encoding="utf-8"?>
<sst xmlns="http://schemas.openxmlformats.org/spreadsheetml/2006/main" count="9354" uniqueCount="214">
  <si>
    <t>GUILLERMO BEVERAGE DISTRIBUTION SERVICES</t>
  </si>
  <si>
    <t>PRODUCTS</t>
  </si>
  <si>
    <t>SELLING PRICE</t>
  </si>
  <si>
    <t>EMPTIES</t>
  </si>
  <si>
    <t>TOTAL</t>
  </si>
  <si>
    <t>SALES AND CASH REMITTANCE REPORT</t>
  </si>
  <si>
    <t>NON-ALCOHOLIC BEVERAGES</t>
  </si>
  <si>
    <t>SALES</t>
  </si>
  <si>
    <t xml:space="preserve">ROUTE # </t>
  </si>
  <si>
    <t>DATE:</t>
  </si>
  <si>
    <t>CALI PINEAPPLE 330ml</t>
  </si>
  <si>
    <t>PRODUCT</t>
  </si>
  <si>
    <t># OF CASES</t>
  </si>
  <si>
    <t>AMOUNT</t>
  </si>
  <si>
    <t>CALI ICE APPLE 330ml</t>
  </si>
  <si>
    <t>RH1000</t>
  </si>
  <si>
    <t>DSP</t>
  </si>
  <si>
    <t>CALI PINEAPPLE CAN 330ml</t>
  </si>
  <si>
    <t>RH500</t>
  </si>
  <si>
    <t>CALI ICE APPLE CAN 330ml</t>
  </si>
  <si>
    <t>RH330</t>
  </si>
  <si>
    <t>DRIVER</t>
  </si>
  <si>
    <t>CALI 10 DIET CAN 330ml</t>
  </si>
  <si>
    <t>PP1000</t>
  </si>
  <si>
    <t>MAGNOLIA</t>
  </si>
  <si>
    <t>PP320</t>
  </si>
  <si>
    <t>TRUCKMAN</t>
  </si>
  <si>
    <t>FRUIT DRINK GRAPE 250ml</t>
  </si>
  <si>
    <t>SML330</t>
  </si>
  <si>
    <t>FRUIT DRINK ORANGE 250ml</t>
  </si>
  <si>
    <t>FB330</t>
  </si>
  <si>
    <t>HEALTHTEA APPLE 250ml</t>
  </si>
  <si>
    <t>MHT</t>
  </si>
  <si>
    <t>CASH REMITTANCE COMPUTATION</t>
  </si>
  <si>
    <t>HEALTHTEA LEMON 250ml</t>
  </si>
  <si>
    <t>MHT BOTTLE</t>
  </si>
  <si>
    <t>TOTAL SALES</t>
  </si>
  <si>
    <t>HEALTHTEA STRAWBERRY 250ml</t>
  </si>
  <si>
    <t>CALI</t>
  </si>
  <si>
    <t>LESS: CONTAINERS RETURNED</t>
  </si>
  <si>
    <t>GROSS SALES</t>
  </si>
  <si>
    <t>ALCO BEVERAGES</t>
  </si>
  <si>
    <t>LESS:</t>
  </si>
  <si>
    <t>DISCOUNT</t>
  </si>
  <si>
    <t>PREMIUM ALL MALT 330ml</t>
  </si>
  <si>
    <t>TCS</t>
  </si>
  <si>
    <t>PREMIUM ALL MALT CAN 330ml</t>
  </si>
  <si>
    <t>COL</t>
  </si>
  <si>
    <t>KIRIN 330ml</t>
  </si>
  <si>
    <t>KIRIN CAN 330ml</t>
  </si>
  <si>
    <t>TOLL, FEES</t>
  </si>
  <si>
    <t>CERVEZA BLANCA CAN 330ml</t>
  </si>
  <si>
    <t>SUPERDRY 330ml</t>
  </si>
  <si>
    <t>SUPERDRY CAN 330ml</t>
  </si>
  <si>
    <t>CERVEZA NEGRA 330ml</t>
  </si>
  <si>
    <t>NET SALES
AMOUNT TO BE REMITTED:</t>
  </si>
  <si>
    <t>SAN MIGUEL CHOCOLATE LAGER CAN 330ml</t>
  </si>
  <si>
    <t>SAN MIG ZERO 330ml</t>
  </si>
  <si>
    <t>CONTAINERS RETURNED</t>
  </si>
  <si>
    <t>CASH BREAKDOWN</t>
  </si>
  <si>
    <t>SAN MIG LIGHT 330ml</t>
  </si>
  <si>
    <t>QTY</t>
  </si>
  <si>
    <t>PESOS</t>
  </si>
  <si>
    <t>NO. OF PCS.</t>
  </si>
  <si>
    <t>SAN MIG LIGHT CAN 330ml</t>
  </si>
  <si>
    <t>PP</t>
  </si>
  <si>
    <t>COMPLETE</t>
  </si>
  <si>
    <t>FLAVORED BEER APL/LEM/LYC 330ml</t>
  </si>
  <si>
    <t>SHELL</t>
  </si>
  <si>
    <t>FLAVORED BEER CAN APL/LEM/LY 330ml</t>
  </si>
  <si>
    <t>BOTTLES</t>
  </si>
  <si>
    <t>PALE PILSEN 320ml</t>
  </si>
  <si>
    <t>RHL/PL/GEK</t>
  </si>
  <si>
    <t>PALE PILSEN 330ml</t>
  </si>
  <si>
    <t>PALE PILSEN 1000ml</t>
  </si>
  <si>
    <t>PALE PILSEN Can 330ml</t>
  </si>
  <si>
    <t>RHP</t>
  </si>
  <si>
    <t>RED HORSE 330ml</t>
  </si>
  <si>
    <t>RED HORSE 500ml</t>
  </si>
  <si>
    <t>COINS</t>
  </si>
  <si>
    <t>RED HORSE 1000ml</t>
  </si>
  <si>
    <t>FBA/SML/RHS</t>
  </si>
  <si>
    <t>BANK</t>
  </si>
  <si>
    <t>CHECK NO.</t>
  </si>
  <si>
    <t>RED HORSE CAN 330ml</t>
  </si>
  <si>
    <t>SAN MIG FREE</t>
  </si>
  <si>
    <t>TOTAL REMITTANCE</t>
  </si>
  <si>
    <t>GOLD EAGLE 320ml</t>
  </si>
  <si>
    <t>GOLD EAGLE 1000ml</t>
  </si>
  <si>
    <t>SAN MIG HARD SELTZER 330ml</t>
  </si>
  <si>
    <t>TOTAL CONTAINERS RETURNED</t>
  </si>
  <si>
    <t>DEALER SALES PERSONEL
NAME AND SIGNATURE</t>
  </si>
  <si>
    <t>CHECKED BY: WIC/CLERK
NAME AND SIGNATURE</t>
  </si>
  <si>
    <t>PAMB</t>
  </si>
  <si>
    <t>CNB</t>
  </si>
  <si>
    <t>CIB</t>
  </si>
  <si>
    <t>FBLYC</t>
  </si>
  <si>
    <t>RHSL</t>
  </si>
  <si>
    <t>S.I. NO.</t>
  </si>
  <si>
    <t>LESS: CREDIT</t>
  </si>
  <si>
    <t>ADD: COLLECTION</t>
  </si>
  <si>
    <t>RH500C</t>
  </si>
  <si>
    <t>CHOCO LAGER CAN</t>
  </si>
  <si>
    <t>RED HORSE 500 CAN</t>
  </si>
  <si>
    <t>GE1000</t>
  </si>
  <si>
    <t>FBA BOTT.</t>
  </si>
  <si>
    <t>RED HORSE SUPER 1000</t>
  </si>
  <si>
    <t>SMLC/RHC</t>
  </si>
  <si>
    <t>SMFC</t>
  </si>
  <si>
    <t>CHOCO LAG</t>
  </si>
  <si>
    <t>HSC</t>
  </si>
  <si>
    <t>DANDAYO, RONNEL</t>
  </si>
  <si>
    <t>CALI BOTT.</t>
  </si>
  <si>
    <t>SALIG, JULIVEN</t>
  </si>
  <si>
    <t>PAMC</t>
  </si>
  <si>
    <t>ENCLONAR, JEROME</t>
  </si>
  <si>
    <t>SALIG, JOVANI</t>
  </si>
  <si>
    <t>SDC</t>
  </si>
  <si>
    <t>FBAC</t>
  </si>
  <si>
    <t xml:space="preserve">                            RONNEL DANDAYO</t>
  </si>
  <si>
    <t>FB BOTT.</t>
  </si>
  <si>
    <t>PP BOTT.</t>
  </si>
  <si>
    <t>ARANCES, MARIO</t>
  </si>
  <si>
    <t>DACULA, PAQUITO</t>
  </si>
  <si>
    <t>OTHERS/PROMO</t>
  </si>
  <si>
    <t>SMLB BOTT.</t>
  </si>
  <si>
    <t>RHS BOTT.</t>
  </si>
  <si>
    <t>TOPEZ, FERMIN</t>
  </si>
  <si>
    <t>BACULIO, JERRIX B.</t>
  </si>
  <si>
    <t xml:space="preserve">                            JERRIX B. BAACULIO</t>
  </si>
  <si>
    <t>CC</t>
  </si>
  <si>
    <t>PPC/RHC</t>
  </si>
  <si>
    <t>BAGOT, ROLANDO</t>
  </si>
  <si>
    <t>PL BOTT.</t>
  </si>
  <si>
    <t>RHSL BOTT.</t>
  </si>
  <si>
    <r>
      <rPr>
        <u/>
        <sz val="11"/>
        <color rgb="FFFF0000"/>
        <rFont val="Calibri"/>
        <family val="2"/>
        <scheme val="minor"/>
      </rPr>
      <t>(SHORT</t>
    </r>
    <r>
      <rPr>
        <sz val="11"/>
        <color rgb="FFFF0000"/>
        <rFont val="Calibri"/>
        <family val="2"/>
        <scheme val="minor"/>
      </rPr>
      <t xml:space="preserve">) </t>
    </r>
    <r>
      <rPr>
        <sz val="11"/>
        <rFont val="Calibri"/>
        <family val="2"/>
        <scheme val="minor"/>
      </rPr>
      <t>/ OVER</t>
    </r>
  </si>
  <si>
    <t xml:space="preserve">                            FERMIN TOPEZ</t>
  </si>
  <si>
    <t>CLC</t>
  </si>
  <si>
    <t>CC/CIC/C10C</t>
  </si>
  <si>
    <t>SMLC/PPC/RHC</t>
  </si>
  <si>
    <t>FBLC/FBLYC</t>
  </si>
  <si>
    <t>STEVAN ALAVAREN</t>
  </si>
  <si>
    <t>SOUND CHECK</t>
  </si>
  <si>
    <t>JAY TABAS</t>
  </si>
  <si>
    <r>
      <t xml:space="preserve">SHORT / </t>
    </r>
    <r>
      <rPr>
        <u/>
        <sz val="11"/>
        <rFont val="Calibri"/>
        <family val="2"/>
        <scheme val="minor"/>
      </rPr>
      <t xml:space="preserve">OVER </t>
    </r>
  </si>
  <si>
    <t>CC/CIC</t>
  </si>
  <si>
    <t>SMLC</t>
  </si>
  <si>
    <r>
      <t xml:space="preserve">SHORT / </t>
    </r>
    <r>
      <rPr>
        <u/>
        <sz val="11"/>
        <rFont val="Calibri"/>
        <family val="2"/>
        <scheme val="minor"/>
      </rPr>
      <t>OVER</t>
    </r>
  </si>
  <si>
    <t>BDO</t>
  </si>
  <si>
    <t>2000000549</t>
  </si>
  <si>
    <t>2000000550</t>
  </si>
  <si>
    <t>2000002069</t>
  </si>
  <si>
    <t>JAY TABASA</t>
  </si>
  <si>
    <t>MJ OCHAVO</t>
  </si>
  <si>
    <t>PSBC</t>
  </si>
  <si>
    <t>5645</t>
  </si>
  <si>
    <t>000135832</t>
  </si>
  <si>
    <r>
      <rPr>
        <u/>
        <sz val="11"/>
        <color rgb="FFFF0000"/>
        <rFont val="Calibri"/>
        <family val="2"/>
        <scheme val="minor"/>
      </rPr>
      <t>(SHORT</t>
    </r>
    <r>
      <rPr>
        <sz val="11"/>
        <color rgb="FFFF0000"/>
        <rFont val="Calibri"/>
        <family val="2"/>
        <scheme val="minor"/>
      </rPr>
      <t xml:space="preserve">) </t>
    </r>
    <r>
      <rPr>
        <sz val="11"/>
        <rFont val="Calibri"/>
        <family val="2"/>
        <scheme val="minor"/>
      </rPr>
      <t xml:space="preserve">/ OVER </t>
    </r>
  </si>
  <si>
    <t>CIC</t>
  </si>
  <si>
    <t>MERIAM APDOHAN</t>
  </si>
  <si>
    <t>ELMY COMM.</t>
  </si>
  <si>
    <t xml:space="preserve">                            PAQUITO A. DACULA</t>
  </si>
  <si>
    <t>5646</t>
  </si>
  <si>
    <t>ELIZABETH HENSON</t>
  </si>
  <si>
    <t>FBAC/FBLC</t>
  </si>
  <si>
    <t>000138079</t>
  </si>
  <si>
    <t>126316</t>
  </si>
  <si>
    <r>
      <rPr>
        <sz val="11"/>
        <color rgb="FFFF0000"/>
        <rFont val="Calibri"/>
        <family val="2"/>
        <scheme val="minor"/>
      </rPr>
      <t>(</t>
    </r>
    <r>
      <rPr>
        <u/>
        <sz val="11"/>
        <color rgb="FFFF0000"/>
        <rFont val="Calibri"/>
        <family val="2"/>
        <scheme val="minor"/>
      </rPr>
      <t>SHORT</t>
    </r>
    <r>
      <rPr>
        <sz val="11"/>
        <color rgb="FFFF0000"/>
        <rFont val="Calibri"/>
        <family val="2"/>
        <scheme val="minor"/>
      </rPr>
      <t>)</t>
    </r>
    <r>
      <rPr>
        <sz val="11"/>
        <rFont val="Calibri"/>
        <family val="2"/>
        <scheme val="minor"/>
      </rPr>
      <t xml:space="preserve"> / OVER </t>
    </r>
  </si>
  <si>
    <t>34710</t>
  </si>
  <si>
    <t>BEB'S MIRACLE</t>
  </si>
  <si>
    <t>122459</t>
  </si>
  <si>
    <t>138005</t>
  </si>
  <si>
    <t>138105</t>
  </si>
  <si>
    <t>5647</t>
  </si>
  <si>
    <t>KRC</t>
  </si>
  <si>
    <t>PAMC/SDC</t>
  </si>
  <si>
    <t>PNB</t>
  </si>
  <si>
    <t>7098</t>
  </si>
  <si>
    <t>5648</t>
  </si>
  <si>
    <t>34715</t>
  </si>
  <si>
    <t>000138116</t>
  </si>
  <si>
    <t>000138117</t>
  </si>
  <si>
    <t>RETURNED</t>
  </si>
  <si>
    <t>INDAY STORE</t>
  </si>
  <si>
    <t>C10C</t>
  </si>
  <si>
    <t>CBC</t>
  </si>
  <si>
    <t>2000005085</t>
  </si>
  <si>
    <t>000122462</t>
  </si>
  <si>
    <t xml:space="preserve">                           FERMIN TOPEZ</t>
  </si>
  <si>
    <t>000138131</t>
  </si>
  <si>
    <t>000137489</t>
  </si>
  <si>
    <t>136423</t>
  </si>
  <si>
    <t>000126333</t>
  </si>
  <si>
    <t>5650</t>
  </si>
  <si>
    <t>CBB</t>
  </si>
  <si>
    <t>FBLC</t>
  </si>
  <si>
    <r>
      <rPr>
        <u/>
        <sz val="11"/>
        <color rgb="FFFF0000"/>
        <rFont val="Calibri"/>
        <family val="2"/>
        <scheme val="minor"/>
      </rPr>
      <t>(SHORT</t>
    </r>
    <r>
      <rPr>
        <sz val="11"/>
        <color rgb="FFFF0000"/>
        <rFont val="Calibri"/>
        <family val="2"/>
        <scheme val="minor"/>
      </rPr>
      <t>)</t>
    </r>
    <r>
      <rPr>
        <sz val="11"/>
        <rFont val="Calibri"/>
        <family val="2"/>
        <scheme val="minor"/>
      </rPr>
      <t xml:space="preserve"> / OVER </t>
    </r>
  </si>
  <si>
    <t>2000005094</t>
  </si>
  <si>
    <t>34720</t>
  </si>
  <si>
    <t>000137492</t>
  </si>
  <si>
    <t>JMCC MINMART</t>
  </si>
  <si>
    <t>000138135</t>
  </si>
  <si>
    <r>
      <rPr>
        <u/>
        <sz val="11"/>
        <color rgb="FFFF0000"/>
        <rFont val="Calibri"/>
        <family val="2"/>
        <scheme val="minor"/>
      </rPr>
      <t>(SHORT)</t>
    </r>
    <r>
      <rPr>
        <sz val="11"/>
        <color rgb="FFFF0000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 xml:space="preserve">/ OVER </t>
    </r>
  </si>
  <si>
    <t>9352</t>
  </si>
  <si>
    <t>000126340</t>
  </si>
  <si>
    <t>SDC/CBC</t>
  </si>
  <si>
    <t>SDB</t>
  </si>
  <si>
    <t>SMZB</t>
  </si>
  <si>
    <t>SMLC/RHC/PPC</t>
  </si>
  <si>
    <t>7947</t>
  </si>
  <si>
    <t>32990</t>
  </si>
  <si>
    <t>000137530</t>
  </si>
  <si>
    <t>000136456</t>
  </si>
  <si>
    <t>9355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</si>
</sst>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₱&quot;* #,##0.00_-;\-&quot;₱&quot;* #,##0.00_-;_-&quot;₱&quot;* &quot;-&quot;??_-;_-@_-"/>
    <numFmt numFmtId="43" formatCode="_-* #,##0.00_-;\-* #,##0.00_-;_-* &quot;-&quot;??_-;_-@_-"/>
    <numFmt numFmtId="164" formatCode="[$-3409]mmmm\ dd\,\ yyyy;@"/>
    <numFmt numFmtId="165" formatCode="_-&quot;₱&quot;* #,##0.00_-;\-&quot;₱&quot;* \(#,##0.00\)_-;_-&quot;₱&quot;* &quot;-&quot;??_-;_-@_-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sz val="8"/>
      <color rgb="FFFF0000"/>
      <name val="Calibri"/>
      <family val="2"/>
      <scheme val="minor"/>
    </font>
    <font>
      <sz val="12"/>
      <name val="Calibri"/>
      <family val="2"/>
      <scheme val="minor"/>
    </font>
    <font>
      <sz val="8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u/>
      <sz val="11"/>
      <color rgb="FFFF0000"/>
      <name val="Calibri"/>
      <family val="2"/>
      <scheme val="minor"/>
    </font>
    <font>
      <u/>
      <sz val="11"/>
      <name val="Calibri"/>
      <family val="2"/>
      <scheme val="minor"/>
    </font>
    <font>
      <b/>
      <sz val="14"/>
      <name val="Calibri"/>
      <family val="2"/>
      <scheme val="minor"/>
    </font>
    <font>
      <sz val="9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27">
    <xf numFmtId="0" fontId="0" fillId="0" borderId="0" xfId="0"/>
    <xf numFmtId="0" fontId="2" fillId="0" borderId="0" xfId="0" applyFont="1"/>
    <xf numFmtId="0" fontId="2" fillId="2" borderId="0" xfId="0" applyFont="1" applyFill="1" applyAlignment="1">
      <alignment horizontal="center" vertical="center"/>
    </xf>
    <xf numFmtId="0" fontId="0" fillId="2" borderId="0" xfId="0" applyFill="1"/>
    <xf numFmtId="43" fontId="0" fillId="0" borderId="0" xfId="1" applyFont="1"/>
    <xf numFmtId="43" fontId="0" fillId="2" borderId="0" xfId="0" applyNumberFormat="1" applyFill="1"/>
    <xf numFmtId="43" fontId="0" fillId="4" borderId="1" xfId="0" applyNumberFormat="1" applyFill="1" applyBorder="1"/>
    <xf numFmtId="0" fontId="0" fillId="2" borderId="1" xfId="0" applyFill="1" applyBorder="1"/>
    <xf numFmtId="0" fontId="0" fillId="0" borderId="0" xfId="0" applyFont="1"/>
    <xf numFmtId="0" fontId="0" fillId="0" borderId="0" xfId="0" applyBorder="1"/>
    <xf numFmtId="0" fontId="0" fillId="0" borderId="3" xfId="0" applyBorder="1"/>
    <xf numFmtId="0" fontId="0" fillId="0" borderId="0" xfId="0" applyFont="1" applyBorder="1"/>
    <xf numFmtId="0" fontId="0" fillId="0" borderId="10" xfId="0" applyFont="1" applyBorder="1" applyAlignment="1">
      <alignment horizontal="center"/>
    </xf>
    <xf numFmtId="0" fontId="4" fillId="0" borderId="16" xfId="0" applyFont="1" applyBorder="1"/>
    <xf numFmtId="0" fontId="4" fillId="0" borderId="12" xfId="0" applyFont="1" applyBorder="1"/>
    <xf numFmtId="43" fontId="4" fillId="0" borderId="16" xfId="1" applyFont="1" applyBorder="1"/>
    <xf numFmtId="43" fontId="4" fillId="0" borderId="22" xfId="1" applyFont="1" applyBorder="1"/>
    <xf numFmtId="0" fontId="0" fillId="0" borderId="16" xfId="0" applyFont="1" applyBorder="1"/>
    <xf numFmtId="0" fontId="0" fillId="0" borderId="22" xfId="0" applyFont="1" applyBorder="1" applyAlignment="1">
      <alignment horizontal="center"/>
    </xf>
    <xf numFmtId="0" fontId="0" fillId="0" borderId="23" xfId="0" applyFont="1" applyBorder="1"/>
    <xf numFmtId="0" fontId="0" fillId="0" borderId="22" xfId="0" applyFont="1" applyBorder="1"/>
    <xf numFmtId="0" fontId="0" fillId="0" borderId="18" xfId="0" applyFont="1" applyBorder="1"/>
    <xf numFmtId="0" fontId="0" fillId="0" borderId="10" xfId="0" applyFont="1" applyBorder="1"/>
    <xf numFmtId="0" fontId="0" fillId="0" borderId="32" xfId="0" applyBorder="1"/>
    <xf numFmtId="0" fontId="0" fillId="0" borderId="36" xfId="0" applyBorder="1"/>
    <xf numFmtId="0" fontId="0" fillId="0" borderId="37" xfId="0" applyBorder="1"/>
    <xf numFmtId="0" fontId="0" fillId="0" borderId="24" xfId="0" applyBorder="1"/>
    <xf numFmtId="0" fontId="0" fillId="0" borderId="41" xfId="0" applyBorder="1"/>
    <xf numFmtId="0" fontId="0" fillId="0" borderId="16" xfId="0" applyFont="1" applyBorder="1" applyAlignment="1">
      <alignment horizontal="center"/>
    </xf>
    <xf numFmtId="0" fontId="3" fillId="3" borderId="40" xfId="0" applyFont="1" applyFill="1" applyBorder="1"/>
    <xf numFmtId="0" fontId="3" fillId="3" borderId="16" xfId="0" applyFont="1" applyFill="1" applyBorder="1"/>
    <xf numFmtId="0" fontId="3" fillId="3" borderId="23" xfId="0" applyFont="1" applyFill="1" applyBorder="1"/>
    <xf numFmtId="0" fontId="3" fillId="3" borderId="41" xfId="0" applyFont="1" applyFill="1" applyBorder="1"/>
    <xf numFmtId="43" fontId="4" fillId="0" borderId="18" xfId="1" applyFont="1" applyBorder="1"/>
    <xf numFmtId="43" fontId="4" fillId="0" borderId="42" xfId="1" applyFont="1" applyBorder="1"/>
    <xf numFmtId="0" fontId="3" fillId="3" borderId="12" xfId="0" applyFont="1" applyFill="1" applyBorder="1"/>
    <xf numFmtId="0" fontId="4" fillId="0" borderId="29" xfId="0" applyFont="1" applyBorder="1"/>
    <xf numFmtId="0" fontId="0" fillId="0" borderId="40" xfId="0" applyBorder="1"/>
    <xf numFmtId="0" fontId="0" fillId="0" borderId="22" xfId="0" applyBorder="1"/>
    <xf numFmtId="0" fontId="0" fillId="0" borderId="27" xfId="0" applyBorder="1"/>
    <xf numFmtId="0" fontId="0" fillId="0" borderId="29" xfId="0" applyBorder="1"/>
    <xf numFmtId="0" fontId="4" fillId="0" borderId="16" xfId="0" applyFont="1" applyBorder="1" applyAlignment="1">
      <alignment horizontal="right"/>
    </xf>
    <xf numFmtId="0" fontId="0" fillId="0" borderId="16" xfId="0" applyBorder="1" applyAlignment="1">
      <alignment horizontal="right"/>
    </xf>
    <xf numFmtId="0" fontId="4" fillId="0" borderId="18" xfId="0" applyFont="1" applyBorder="1" applyAlignment="1">
      <alignment horizontal="right"/>
    </xf>
    <xf numFmtId="0" fontId="4" fillId="0" borderId="43" xfId="0" applyFont="1" applyBorder="1" applyAlignment="1">
      <alignment horizontal="right"/>
    </xf>
    <xf numFmtId="0" fontId="4" fillId="0" borderId="12" xfId="0" applyFont="1" applyBorder="1" applyAlignment="1">
      <alignment horizontal="right"/>
    </xf>
    <xf numFmtId="0" fontId="4" fillId="0" borderId="28" xfId="0" applyFont="1" applyBorder="1" applyAlignment="1">
      <alignment horizontal="right"/>
    </xf>
    <xf numFmtId="0" fontId="0" fillId="0" borderId="42" xfId="0" applyBorder="1"/>
    <xf numFmtId="43" fontId="4" fillId="0" borderId="40" xfId="1" applyFont="1" applyBorder="1"/>
    <xf numFmtId="43" fontId="4" fillId="0" borderId="21" xfId="1" applyFont="1" applyBorder="1"/>
    <xf numFmtId="0" fontId="0" fillId="0" borderId="21" xfId="0" applyFont="1" applyFill="1" applyBorder="1"/>
    <xf numFmtId="43" fontId="0" fillId="2" borderId="1" xfId="0" applyNumberFormat="1" applyFill="1" applyBorder="1"/>
    <xf numFmtId="43" fontId="4" fillId="0" borderId="23" xfId="1" applyFont="1" applyBorder="1"/>
    <xf numFmtId="0" fontId="4" fillId="0" borderId="16" xfId="0" applyFont="1" applyFill="1" applyBorder="1"/>
    <xf numFmtId="0" fontId="3" fillId="3" borderId="10" xfId="0" applyFont="1" applyFill="1" applyBorder="1" applyAlignment="1"/>
    <xf numFmtId="0" fontId="0" fillId="0" borderId="43" xfId="0" applyBorder="1"/>
    <xf numFmtId="0" fontId="4" fillId="0" borderId="21" xfId="0" applyFont="1" applyFill="1" applyBorder="1"/>
    <xf numFmtId="0" fontId="4" fillId="0" borderId="10" xfId="0" applyFont="1" applyFill="1" applyBorder="1"/>
    <xf numFmtId="0" fontId="4" fillId="0" borderId="18" xfId="0" applyFont="1" applyFill="1" applyBorder="1"/>
    <xf numFmtId="0" fontId="4" fillId="0" borderId="27" xfId="0" applyFont="1" applyFill="1" applyBorder="1"/>
    <xf numFmtId="0" fontId="0" fillId="0" borderId="18" xfId="0" applyBorder="1" applyAlignment="1">
      <alignment horizontal="left" vertical="center"/>
    </xf>
    <xf numFmtId="0" fontId="0" fillId="0" borderId="0" xfId="0" applyAlignment="1">
      <alignment horizontal="center"/>
    </xf>
    <xf numFmtId="0" fontId="0" fillId="3" borderId="21" xfId="0" applyFill="1" applyBorder="1"/>
    <xf numFmtId="0" fontId="0" fillId="3" borderId="18" xfId="0" applyFill="1" applyBorder="1"/>
    <xf numFmtId="43" fontId="4" fillId="0" borderId="12" xfId="1" applyFont="1" applyBorder="1"/>
    <xf numFmtId="0" fontId="4" fillId="0" borderId="16" xfId="0" applyFont="1" applyBorder="1" applyAlignment="1">
      <alignment horizontal="center"/>
    </xf>
    <xf numFmtId="0" fontId="9" fillId="0" borderId="10" xfId="0" applyFont="1" applyBorder="1" applyAlignment="1">
      <alignment horizontal="left" vertical="center"/>
    </xf>
    <xf numFmtId="0" fontId="0" fillId="0" borderId="16" xfId="0" applyBorder="1"/>
    <xf numFmtId="0" fontId="10" fillId="0" borderId="40" xfId="0" applyFont="1" applyBorder="1" applyAlignment="1">
      <alignment horizontal="left"/>
    </xf>
    <xf numFmtId="49" fontId="4" fillId="0" borderId="16" xfId="0" applyNumberFormat="1" applyFont="1" applyBorder="1" applyAlignment="1">
      <alignment horizontal="right"/>
    </xf>
    <xf numFmtId="0" fontId="4" fillId="0" borderId="23" xfId="0" applyFont="1" applyFill="1" applyBorder="1"/>
    <xf numFmtId="0" fontId="4" fillId="0" borderId="12" xfId="0" applyFont="1" applyFill="1" applyBorder="1"/>
    <xf numFmtId="0" fontId="9" fillId="0" borderId="10" xfId="0" applyFont="1" applyBorder="1" applyAlignment="1">
      <alignment horizontal="center"/>
    </xf>
    <xf numFmtId="0" fontId="4" fillId="0" borderId="41" xfId="0" applyFont="1" applyBorder="1" applyAlignment="1">
      <alignment horizontal="center"/>
    </xf>
    <xf numFmtId="0" fontId="11" fillId="0" borderId="28" xfId="0" applyFont="1" applyBorder="1" applyAlignment="1">
      <alignment horizontal="left"/>
    </xf>
    <xf numFmtId="0" fontId="11" fillId="3" borderId="10" xfId="0" applyFont="1" applyFill="1" applyBorder="1"/>
    <xf numFmtId="0" fontId="11" fillId="0" borderId="43" xfId="0" applyFont="1" applyBorder="1" applyAlignment="1">
      <alignment horizontal="left"/>
    </xf>
    <xf numFmtId="0" fontId="11" fillId="0" borderId="18" xfId="0" applyFont="1" applyBorder="1" applyAlignment="1">
      <alignment horizontal="left"/>
    </xf>
    <xf numFmtId="0" fontId="14" fillId="0" borderId="41" xfId="0" applyFont="1" applyBorder="1" applyAlignment="1">
      <alignment horizontal="left"/>
    </xf>
    <xf numFmtId="0" fontId="16" fillId="0" borderId="16" xfId="0" applyFont="1" applyBorder="1" applyAlignment="1">
      <alignment horizontal="center"/>
    </xf>
    <xf numFmtId="0" fontId="11" fillId="0" borderId="10" xfId="0" applyFont="1" applyBorder="1" applyAlignment="1">
      <alignment horizontal="center"/>
    </xf>
    <xf numFmtId="0" fontId="12" fillId="0" borderId="41" xfId="0" applyFont="1" applyBorder="1" applyAlignment="1">
      <alignment horizontal="center"/>
    </xf>
    <xf numFmtId="0" fontId="15" fillId="0" borderId="43" xfId="0" applyFont="1" applyBorder="1" applyAlignment="1">
      <alignment horizontal="right"/>
    </xf>
    <xf numFmtId="0" fontId="17" fillId="0" borderId="10" xfId="0" applyFont="1" applyBorder="1" applyAlignment="1">
      <alignment horizontal="center"/>
    </xf>
    <xf numFmtId="49" fontId="0" fillId="0" borderId="16" xfId="0" applyNumberFormat="1" applyFont="1" applyBorder="1" applyAlignment="1">
      <alignment horizontal="right"/>
    </xf>
    <xf numFmtId="0" fontId="18" fillId="0" borderId="10" xfId="0" applyFont="1" applyBorder="1" applyAlignment="1">
      <alignment horizontal="center"/>
    </xf>
    <xf numFmtId="0" fontId="18" fillId="0" borderId="16" xfId="0" applyFont="1" applyBorder="1" applyAlignment="1">
      <alignment horizontal="center"/>
    </xf>
    <xf numFmtId="0" fontId="12" fillId="0" borderId="16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11" fillId="0" borderId="16" xfId="0" applyFont="1" applyBorder="1" applyAlignment="1">
      <alignment horizontal="center"/>
    </xf>
    <xf numFmtId="0" fontId="4" fillId="0" borderId="29" xfId="0" applyFont="1" applyFill="1" applyBorder="1"/>
    <xf numFmtId="0" fontId="4" fillId="0" borderId="36" xfId="0" applyFont="1" applyFill="1" applyBorder="1"/>
    <xf numFmtId="4" fontId="12" fillId="0" borderId="28" xfId="0" applyNumberFormat="1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28" xfId="0" applyFont="1" applyBorder="1" applyAlignment="1">
      <alignment horizontal="center"/>
    </xf>
    <xf numFmtId="4" fontId="4" fillId="0" borderId="16" xfId="0" applyNumberFormat="1" applyFont="1" applyBorder="1" applyAlignment="1">
      <alignment horizontal="right"/>
    </xf>
    <xf numFmtId="0" fontId="4" fillId="0" borderId="23" xfId="0" applyFont="1" applyBorder="1" applyAlignment="1">
      <alignment horizontal="center"/>
    </xf>
    <xf numFmtId="0" fontId="9" fillId="0" borderId="21" xfId="0" applyFont="1" applyFill="1" applyBorder="1"/>
    <xf numFmtId="0" fontId="4" fillId="0" borderId="23" xfId="0" applyFont="1" applyBorder="1" applyAlignment="1">
      <alignment horizontal="center"/>
    </xf>
    <xf numFmtId="4" fontId="4" fillId="0" borderId="16" xfId="0" applyNumberFormat="1" applyFont="1" applyBorder="1" applyAlignment="1">
      <alignment horizontal="right"/>
    </xf>
    <xf numFmtId="0" fontId="2" fillId="0" borderId="0" xfId="0" applyFont="1" applyAlignment="1">
      <alignment horizontal="center" vertical="center"/>
    </xf>
    <xf numFmtId="0" fontId="0" fillId="0" borderId="28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4" fontId="4" fillId="0" borderId="16" xfId="0" applyNumberFormat="1" applyFont="1" applyBorder="1" applyAlignment="1">
      <alignment horizontal="right"/>
    </xf>
    <xf numFmtId="0" fontId="2" fillId="0" borderId="0" xfId="0" applyFont="1" applyAlignment="1">
      <alignment horizontal="center" vertical="center"/>
    </xf>
    <xf numFmtId="0" fontId="0" fillId="0" borderId="28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28" xfId="0" applyFont="1" applyBorder="1" applyAlignment="1">
      <alignment horizontal="center"/>
    </xf>
    <xf numFmtId="4" fontId="4" fillId="0" borderId="16" xfId="0" applyNumberFormat="1" applyFont="1" applyBorder="1" applyAlignment="1">
      <alignment horizontal="right"/>
    </xf>
    <xf numFmtId="0" fontId="4" fillId="0" borderId="23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4" fontId="4" fillId="0" borderId="16" xfId="0" applyNumberFormat="1" applyFont="1" applyBorder="1" applyAlignment="1">
      <alignment horizontal="right"/>
    </xf>
    <xf numFmtId="0" fontId="2" fillId="0" borderId="0" xfId="0" applyFont="1" applyAlignment="1">
      <alignment horizontal="center" vertical="center"/>
    </xf>
    <xf numFmtId="0" fontId="0" fillId="0" borderId="28" xfId="0" applyFont="1" applyBorder="1" applyAlignment="1">
      <alignment horizontal="center"/>
    </xf>
    <xf numFmtId="0" fontId="23" fillId="0" borderId="10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28" xfId="0" applyFont="1" applyBorder="1" applyAlignment="1">
      <alignment horizontal="center"/>
    </xf>
    <xf numFmtId="4" fontId="4" fillId="0" borderId="16" xfId="0" applyNumberFormat="1" applyFont="1" applyBorder="1" applyAlignment="1">
      <alignment horizontal="right"/>
    </xf>
    <xf numFmtId="0" fontId="4" fillId="0" borderId="23" xfId="0" applyFont="1" applyBorder="1" applyAlignment="1">
      <alignment horizontal="center"/>
    </xf>
    <xf numFmtId="0" fontId="14" fillId="0" borderId="10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28" xfId="0" applyFont="1" applyBorder="1" applyAlignment="1">
      <alignment horizontal="center"/>
    </xf>
    <xf numFmtId="4" fontId="4" fillId="0" borderId="16" xfId="0" applyNumberFormat="1" applyFont="1" applyBorder="1" applyAlignment="1">
      <alignment horizontal="right"/>
    </xf>
    <xf numFmtId="0" fontId="4" fillId="0" borderId="23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4" fontId="4" fillId="0" borderId="16" xfId="0" applyNumberFormat="1" applyFont="1" applyBorder="1" applyAlignment="1">
      <alignment horizontal="right"/>
    </xf>
    <xf numFmtId="0" fontId="2" fillId="0" borderId="0" xfId="0" applyFont="1" applyAlignment="1">
      <alignment horizontal="center" vertical="center"/>
    </xf>
    <xf numFmtId="0" fontId="0" fillId="0" borderId="28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4" fontId="4" fillId="0" borderId="16" xfId="0" applyNumberFormat="1" applyFont="1" applyBorder="1" applyAlignment="1">
      <alignment horizontal="right"/>
    </xf>
    <xf numFmtId="0" fontId="2" fillId="0" borderId="0" xfId="0" applyFont="1" applyAlignment="1">
      <alignment horizontal="center" vertical="center"/>
    </xf>
    <xf numFmtId="0" fontId="0" fillId="0" borderId="28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28" xfId="0" applyFont="1" applyBorder="1" applyAlignment="1">
      <alignment horizontal="center"/>
    </xf>
    <xf numFmtId="4" fontId="4" fillId="0" borderId="16" xfId="0" applyNumberFormat="1" applyFont="1" applyBorder="1" applyAlignment="1">
      <alignment horizontal="right"/>
    </xf>
    <xf numFmtId="0" fontId="4" fillId="0" borderId="23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28" xfId="0" applyFont="1" applyBorder="1" applyAlignment="1">
      <alignment horizontal="center"/>
    </xf>
    <xf numFmtId="0" fontId="4" fillId="0" borderId="29" xfId="0" applyFont="1" applyBorder="1" applyAlignment="1">
      <alignment horizontal="right"/>
    </xf>
    <xf numFmtId="0" fontId="2" fillId="0" borderId="0" xfId="0" applyFont="1" applyAlignment="1">
      <alignment horizontal="center" vertical="center"/>
    </xf>
    <xf numFmtId="0" fontId="0" fillId="0" borderId="28" xfId="0" applyFont="1" applyBorder="1" applyAlignment="1">
      <alignment horizontal="center"/>
    </xf>
    <xf numFmtId="4" fontId="4" fillId="0" borderId="16" xfId="0" applyNumberFormat="1" applyFont="1" applyBorder="1" applyAlignment="1">
      <alignment horizontal="right"/>
    </xf>
    <xf numFmtId="0" fontId="4" fillId="0" borderId="23" xfId="0" applyFont="1" applyBorder="1" applyAlignment="1">
      <alignment horizontal="center"/>
    </xf>
    <xf numFmtId="0" fontId="24" fillId="0" borderId="10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4" fontId="4" fillId="0" borderId="16" xfId="0" applyNumberFormat="1" applyFont="1" applyBorder="1" applyAlignment="1">
      <alignment horizontal="right"/>
    </xf>
    <xf numFmtId="0" fontId="2" fillId="0" borderId="0" xfId="0" applyFont="1" applyAlignment="1">
      <alignment horizontal="center" vertical="center"/>
    </xf>
    <xf numFmtId="0" fontId="0" fillId="0" borderId="28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28" xfId="0" applyFont="1" applyBorder="1" applyAlignment="1">
      <alignment horizontal="center"/>
    </xf>
    <xf numFmtId="4" fontId="4" fillId="0" borderId="16" xfId="0" applyNumberFormat="1" applyFont="1" applyBorder="1" applyAlignment="1">
      <alignment horizontal="right"/>
    </xf>
    <xf numFmtId="0" fontId="4" fillId="0" borderId="23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4" fontId="4" fillId="0" borderId="16" xfId="0" applyNumberFormat="1" applyFont="1" applyBorder="1" applyAlignment="1">
      <alignment horizontal="right"/>
    </xf>
    <xf numFmtId="0" fontId="2" fillId="0" borderId="0" xfId="0" applyFont="1" applyAlignment="1">
      <alignment horizontal="center" vertical="center"/>
    </xf>
    <xf numFmtId="0" fontId="0" fillId="0" borderId="28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28" xfId="0" applyFont="1" applyBorder="1" applyAlignment="1">
      <alignment horizontal="center"/>
    </xf>
    <xf numFmtId="4" fontId="4" fillId="0" borderId="16" xfId="0" applyNumberFormat="1" applyFont="1" applyBorder="1" applyAlignment="1">
      <alignment horizontal="right"/>
    </xf>
    <xf numFmtId="0" fontId="4" fillId="0" borderId="23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28" xfId="0" applyFont="1" applyBorder="1" applyAlignment="1">
      <alignment horizontal="center"/>
    </xf>
    <xf numFmtId="4" fontId="4" fillId="0" borderId="16" xfId="0" applyNumberFormat="1" applyFont="1" applyBorder="1" applyAlignment="1">
      <alignment horizontal="right"/>
    </xf>
    <xf numFmtId="0" fontId="4" fillId="0" borderId="23" xfId="0" applyFont="1" applyBorder="1" applyAlignment="1">
      <alignment horizontal="center"/>
    </xf>
    <xf numFmtId="0" fontId="25" fillId="0" borderId="16" xfId="0" applyFont="1" applyBorder="1"/>
    <xf numFmtId="0" fontId="4" fillId="0" borderId="23" xfId="0" applyFont="1" applyBorder="1" applyAlignment="1">
      <alignment horizontal="center"/>
    </xf>
    <xf numFmtId="4" fontId="4" fillId="0" borderId="16" xfId="0" applyNumberFormat="1" applyFont="1" applyBorder="1" applyAlignment="1">
      <alignment horizontal="right"/>
    </xf>
    <xf numFmtId="0" fontId="2" fillId="0" borderId="0" xfId="0" applyFont="1" applyAlignment="1">
      <alignment horizontal="center" vertical="center"/>
    </xf>
    <xf numFmtId="0" fontId="0" fillId="0" borderId="28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28" xfId="0" applyFont="1" applyBorder="1" applyAlignment="1">
      <alignment horizontal="center"/>
    </xf>
    <xf numFmtId="4" fontId="4" fillId="0" borderId="16" xfId="0" applyNumberFormat="1" applyFont="1" applyBorder="1" applyAlignment="1">
      <alignment horizontal="right"/>
    </xf>
    <xf numFmtId="0" fontId="4" fillId="0" borderId="23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11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0" fillId="0" borderId="31" xfId="0" applyFont="1" applyBorder="1" applyAlignment="1">
      <alignment horizontal="left" vertical="center"/>
    </xf>
    <xf numFmtId="0" fontId="0" fillId="0" borderId="34" xfId="0" applyFont="1" applyBorder="1" applyAlignment="1">
      <alignment horizontal="left" vertical="center"/>
    </xf>
    <xf numFmtId="0" fontId="8" fillId="0" borderId="8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0" fillId="0" borderId="8" xfId="0" applyFont="1" applyBorder="1" applyAlignment="1">
      <alignment horizontal="left" vertical="center"/>
    </xf>
    <xf numFmtId="0" fontId="0" fillId="0" borderId="17" xfId="0" applyFont="1" applyBorder="1" applyAlignment="1">
      <alignment horizontal="left" vertical="center"/>
    </xf>
    <xf numFmtId="164" fontId="0" fillId="0" borderId="6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164" fontId="0" fillId="0" borderId="25" xfId="0" applyNumberFormat="1" applyBorder="1" applyAlignment="1">
      <alignment horizontal="center" vertical="center"/>
    </xf>
    <xf numFmtId="164" fontId="0" fillId="0" borderId="26" xfId="0" applyNumberFormat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 textRotation="90"/>
    </xf>
    <xf numFmtId="0" fontId="5" fillId="3" borderId="13" xfId="0" applyFont="1" applyFill="1" applyBorder="1" applyAlignment="1">
      <alignment horizontal="center" vertical="center" textRotation="90"/>
    </xf>
    <xf numFmtId="0" fontId="5" fillId="3" borderId="17" xfId="0" applyFont="1" applyFill="1" applyBorder="1" applyAlignment="1">
      <alignment horizontal="center" vertical="center" textRotation="90"/>
    </xf>
    <xf numFmtId="0" fontId="0" fillId="0" borderId="10" xfId="0" applyFont="1" applyBorder="1" applyAlignment="1">
      <alignment horizontal="left" vertical="center"/>
    </xf>
    <xf numFmtId="0" fontId="0" fillId="0" borderId="18" xfId="0" applyFont="1" applyBorder="1" applyAlignment="1">
      <alignment horizontal="left" vertical="center"/>
    </xf>
    <xf numFmtId="0" fontId="7" fillId="0" borderId="27" xfId="0" applyFont="1" applyBorder="1" applyAlignment="1">
      <alignment horizontal="center" vertical="center"/>
    </xf>
    <xf numFmtId="0" fontId="7" fillId="0" borderId="41" xfId="0" applyFont="1" applyBorder="1" applyAlignment="1">
      <alignment horizontal="center" vertical="center"/>
    </xf>
    <xf numFmtId="0" fontId="7" fillId="0" borderId="22" xfId="0" applyFont="1" applyBorder="1" applyAlignment="1">
      <alignment horizontal="center" vertical="center"/>
    </xf>
    <xf numFmtId="0" fontId="7" fillId="0" borderId="29" xfId="0" applyFont="1" applyBorder="1" applyAlignment="1">
      <alignment horizontal="center" vertical="center"/>
    </xf>
    <xf numFmtId="0" fontId="7" fillId="0" borderId="43" xfId="0" applyFont="1" applyBorder="1" applyAlignment="1">
      <alignment horizontal="center" vertical="center"/>
    </xf>
    <xf numFmtId="0" fontId="7" fillId="0" borderId="42" xfId="0" applyFont="1" applyBorder="1" applyAlignment="1">
      <alignment horizontal="center" vertical="center"/>
    </xf>
    <xf numFmtId="0" fontId="0" fillId="0" borderId="21" xfId="0" applyFont="1" applyBorder="1" applyAlignment="1">
      <alignment horizontal="left" vertical="center"/>
    </xf>
    <xf numFmtId="0" fontId="0" fillId="3" borderId="16" xfId="0" applyFill="1" applyBorder="1" applyAlignment="1">
      <alignment horizontal="center"/>
    </xf>
    <xf numFmtId="0" fontId="0" fillId="0" borderId="3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2" xfId="0" applyFont="1" applyBorder="1" applyAlignment="1">
      <alignment horizontal="center"/>
    </xf>
    <xf numFmtId="0" fontId="0" fillId="0" borderId="28" xfId="0" applyFont="1" applyBorder="1" applyAlignment="1">
      <alignment horizontal="center"/>
    </xf>
    <xf numFmtId="0" fontId="0" fillId="0" borderId="23" xfId="0" applyFont="1" applyBorder="1" applyAlignment="1">
      <alignment horizontal="center"/>
    </xf>
    <xf numFmtId="0" fontId="0" fillId="0" borderId="12" xfId="0" applyFont="1" applyBorder="1" applyAlignment="1">
      <alignment horizontal="left"/>
    </xf>
    <xf numFmtId="0" fontId="0" fillId="0" borderId="23" xfId="0" applyFont="1" applyBorder="1" applyAlignment="1">
      <alignment horizontal="left"/>
    </xf>
    <xf numFmtId="43" fontId="4" fillId="0" borderId="12" xfId="1" applyFont="1" applyBorder="1" applyAlignment="1">
      <alignment horizontal="left"/>
    </xf>
    <xf numFmtId="43" fontId="4" fillId="0" borderId="28" xfId="1" applyFont="1" applyBorder="1" applyAlignment="1">
      <alignment horizontal="left"/>
    </xf>
    <xf numFmtId="43" fontId="4" fillId="0" borderId="23" xfId="1" applyFont="1" applyBorder="1" applyAlignment="1">
      <alignment horizontal="left"/>
    </xf>
    <xf numFmtId="0" fontId="11" fillId="0" borderId="12" xfId="0" applyFont="1" applyBorder="1" applyAlignment="1">
      <alignment horizontal="left"/>
    </xf>
    <xf numFmtId="0" fontId="11" fillId="0" borderId="23" xfId="0" applyFont="1" applyBorder="1" applyAlignment="1">
      <alignment horizontal="left"/>
    </xf>
    <xf numFmtId="43" fontId="12" fillId="0" borderId="12" xfId="1" applyFont="1" applyBorder="1" applyAlignment="1">
      <alignment horizontal="left"/>
    </xf>
    <xf numFmtId="43" fontId="12" fillId="0" borderId="28" xfId="1" applyFont="1" applyBorder="1" applyAlignment="1">
      <alignment horizontal="left"/>
    </xf>
    <xf numFmtId="43" fontId="12" fillId="0" borderId="23" xfId="1" applyFont="1" applyBorder="1" applyAlignment="1">
      <alignment horizontal="left"/>
    </xf>
    <xf numFmtId="0" fontId="0" fillId="0" borderId="27" xfId="0" applyFont="1" applyBorder="1" applyAlignment="1">
      <alignment horizontal="left"/>
    </xf>
    <xf numFmtId="43" fontId="6" fillId="0" borderId="27" xfId="1" applyFont="1" applyBorder="1" applyAlignment="1">
      <alignment horizontal="right"/>
    </xf>
    <xf numFmtId="43" fontId="6" fillId="0" borderId="41" xfId="1" applyFont="1" applyBorder="1" applyAlignment="1">
      <alignment horizontal="right"/>
    </xf>
    <xf numFmtId="43" fontId="6" fillId="0" borderId="22" xfId="1" applyFont="1" applyBorder="1" applyAlignment="1">
      <alignment horizontal="right"/>
    </xf>
    <xf numFmtId="44" fontId="12" fillId="3" borderId="16" xfId="0" applyNumberFormat="1" applyFont="1" applyFill="1" applyBorder="1" applyAlignment="1">
      <alignment horizontal="center"/>
    </xf>
    <xf numFmtId="0" fontId="0" fillId="0" borderId="6" xfId="0" applyFont="1" applyBorder="1" applyAlignment="1">
      <alignment horizontal="right" vertical="center"/>
    </xf>
    <xf numFmtId="0" fontId="0" fillId="0" borderId="4" xfId="0" applyFont="1" applyBorder="1" applyAlignment="1">
      <alignment horizontal="right" vertical="center"/>
    </xf>
    <xf numFmtId="0" fontId="0" fillId="0" borderId="7" xfId="0" applyFont="1" applyBorder="1" applyAlignment="1">
      <alignment horizontal="right" vertical="center"/>
    </xf>
    <xf numFmtId="0" fontId="0" fillId="0" borderId="25" xfId="0" applyFont="1" applyBorder="1" applyAlignment="1">
      <alignment horizontal="right" vertical="center"/>
    </xf>
    <xf numFmtId="0" fontId="0" fillId="0" borderId="30" xfId="0" applyFont="1" applyBorder="1" applyAlignment="1">
      <alignment horizontal="right" vertical="center"/>
    </xf>
    <xf numFmtId="0" fontId="0" fillId="0" borderId="26" xfId="0" applyFont="1" applyBorder="1" applyAlignment="1">
      <alignment horizontal="right" vertical="center"/>
    </xf>
    <xf numFmtId="43" fontId="4" fillId="0" borderId="45" xfId="1" applyFont="1" applyBorder="1" applyAlignment="1">
      <alignment horizontal="left" vertical="center"/>
    </xf>
    <xf numFmtId="43" fontId="4" fillId="0" borderId="44" xfId="1" applyFont="1" applyBorder="1" applyAlignment="1">
      <alignment horizontal="left" vertical="center"/>
    </xf>
    <xf numFmtId="0" fontId="0" fillId="0" borderId="6" xfId="0" applyFont="1" applyBorder="1" applyAlignment="1">
      <alignment horizontal="right" vertical="center" wrapText="1"/>
    </xf>
    <xf numFmtId="0" fontId="0" fillId="0" borderId="9" xfId="0" applyFont="1" applyBorder="1" applyAlignment="1">
      <alignment horizontal="right" vertical="center" wrapText="1"/>
    </xf>
    <xf numFmtId="0" fontId="0" fillId="0" borderId="25" xfId="0" applyFont="1" applyBorder="1" applyAlignment="1">
      <alignment horizontal="right" vertical="center" wrapText="1"/>
    </xf>
    <xf numFmtId="0" fontId="0" fillId="0" borderId="35" xfId="0" applyFont="1" applyBorder="1" applyAlignment="1">
      <alignment horizontal="right" vertical="center" wrapText="1"/>
    </xf>
    <xf numFmtId="44" fontId="8" fillId="0" borderId="33" xfId="0" applyNumberFormat="1" applyFont="1" applyBorder="1" applyAlignment="1">
      <alignment horizontal="left" vertical="center"/>
    </xf>
    <xf numFmtId="44" fontId="8" fillId="0" borderId="2" xfId="0" applyNumberFormat="1" applyFont="1" applyBorder="1" applyAlignment="1">
      <alignment horizontal="left" vertical="center"/>
    </xf>
    <xf numFmtId="44" fontId="8" fillId="0" borderId="38" xfId="0" applyNumberFormat="1" applyFont="1" applyBorder="1" applyAlignment="1">
      <alignment horizontal="left" vertical="center"/>
    </xf>
    <xf numFmtId="44" fontId="8" fillId="0" borderId="25" xfId="0" applyNumberFormat="1" applyFont="1" applyBorder="1" applyAlignment="1">
      <alignment horizontal="left" vertical="center"/>
    </xf>
    <xf numFmtId="44" fontId="8" fillId="0" borderId="30" xfId="0" applyNumberFormat="1" applyFont="1" applyBorder="1" applyAlignment="1">
      <alignment horizontal="left" vertical="center"/>
    </xf>
    <xf numFmtId="44" fontId="8" fillId="0" borderId="26" xfId="0" applyNumberFormat="1" applyFont="1" applyBorder="1" applyAlignment="1">
      <alignment horizontal="left" vertical="center"/>
    </xf>
    <xf numFmtId="0" fontId="11" fillId="0" borderId="32" xfId="0" applyFont="1" applyBorder="1" applyAlignment="1">
      <alignment horizontal="center"/>
    </xf>
    <xf numFmtId="0" fontId="11" fillId="0" borderId="15" xfId="0" applyFont="1" applyBorder="1" applyAlignment="1">
      <alignment horizontal="center"/>
    </xf>
    <xf numFmtId="0" fontId="11" fillId="0" borderId="39" xfId="0" applyFont="1" applyBorder="1" applyAlignment="1">
      <alignment horizontal="center"/>
    </xf>
    <xf numFmtId="4" fontId="12" fillId="0" borderId="16" xfId="0" applyNumberFormat="1" applyFont="1" applyBorder="1" applyAlignment="1">
      <alignment horizontal="right"/>
    </xf>
    <xf numFmtId="4" fontId="12" fillId="0" borderId="23" xfId="0" applyNumberFormat="1" applyFont="1" applyBorder="1" applyAlignment="1"/>
    <xf numFmtId="4" fontId="12" fillId="0" borderId="16" xfId="0" applyNumberFormat="1" applyFont="1" applyBorder="1" applyAlignment="1"/>
    <xf numFmtId="44" fontId="4" fillId="0" borderId="27" xfId="0" applyNumberFormat="1" applyFont="1" applyBorder="1" applyAlignment="1">
      <alignment horizontal="center"/>
    </xf>
    <xf numFmtId="44" fontId="4" fillId="0" borderId="41" xfId="0" applyNumberFormat="1" applyFont="1" applyBorder="1" applyAlignment="1">
      <alignment horizontal="center"/>
    </xf>
    <xf numFmtId="44" fontId="4" fillId="0" borderId="22" xfId="0" applyNumberFormat="1" applyFont="1" applyBorder="1" applyAlignment="1">
      <alignment horizontal="center"/>
    </xf>
    <xf numFmtId="4" fontId="4" fillId="0" borderId="16" xfId="0" applyNumberFormat="1" applyFont="1" applyBorder="1" applyAlignment="1">
      <alignment horizontal="right"/>
    </xf>
    <xf numFmtId="4" fontId="4" fillId="0" borderId="23" xfId="0" applyNumberFormat="1" applyFont="1" applyBorder="1" applyAlignment="1"/>
    <xf numFmtId="4" fontId="4" fillId="0" borderId="16" xfId="0" applyNumberFormat="1" applyFont="1" applyBorder="1" applyAlignment="1"/>
    <xf numFmtId="44" fontId="4" fillId="0" borderId="47" xfId="0" applyNumberFormat="1" applyFont="1" applyBorder="1" applyAlignment="1">
      <alignment horizontal="right"/>
    </xf>
    <xf numFmtId="44" fontId="4" fillId="0" borderId="48" xfId="0" applyNumberFormat="1" applyFont="1" applyBorder="1" applyAlignment="1">
      <alignment horizontal="right"/>
    </xf>
    <xf numFmtId="44" fontId="4" fillId="0" borderId="49" xfId="0" applyNumberFormat="1" applyFont="1" applyBorder="1" applyAlignment="1">
      <alignment horizontal="right"/>
    </xf>
    <xf numFmtId="0" fontId="0" fillId="0" borderId="24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20" xfId="0" applyFont="1" applyBorder="1" applyAlignment="1">
      <alignment horizontal="center"/>
    </xf>
    <xf numFmtId="4" fontId="4" fillId="0" borderId="11" xfId="0" applyNumberFormat="1" applyFont="1" applyBorder="1" applyAlignment="1">
      <alignment horizontal="right"/>
    </xf>
    <xf numFmtId="4" fontId="4" fillId="0" borderId="14" xfId="0" applyNumberFormat="1" applyFont="1" applyBorder="1" applyAlignment="1">
      <alignment horizontal="right"/>
    </xf>
    <xf numFmtId="4" fontId="4" fillId="0" borderId="19" xfId="0" applyNumberFormat="1" applyFont="1" applyBorder="1" applyAlignment="1">
      <alignment horizontal="right"/>
    </xf>
    <xf numFmtId="0" fontId="5" fillId="3" borderId="10" xfId="0" applyFont="1" applyFill="1" applyBorder="1" applyAlignment="1">
      <alignment horizontal="center" vertical="center" textRotation="90"/>
    </xf>
    <xf numFmtId="0" fontId="5" fillId="3" borderId="21" xfId="0" applyFont="1" applyFill="1" applyBorder="1" applyAlignment="1">
      <alignment horizontal="center" vertical="center" textRotation="90"/>
    </xf>
    <xf numFmtId="0" fontId="5" fillId="3" borderId="18" xfId="0" applyFont="1" applyFill="1" applyBorder="1" applyAlignment="1">
      <alignment horizontal="center" vertical="center" textRotation="90"/>
    </xf>
    <xf numFmtId="0" fontId="4" fillId="0" borderId="2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0" fillId="0" borderId="4" xfId="0" applyFont="1" applyBorder="1" applyAlignment="1">
      <alignment horizontal="right" vertical="center" wrapText="1"/>
    </xf>
    <xf numFmtId="0" fontId="0" fillId="0" borderId="7" xfId="0" applyFont="1" applyBorder="1" applyAlignment="1">
      <alignment horizontal="right" vertical="center" wrapText="1"/>
    </xf>
    <xf numFmtId="0" fontId="0" fillId="0" borderId="30" xfId="0" applyFont="1" applyBorder="1" applyAlignment="1">
      <alignment horizontal="right" vertical="center" wrapText="1"/>
    </xf>
    <xf numFmtId="0" fontId="0" fillId="0" borderId="26" xfId="0" applyFont="1" applyBorder="1" applyAlignment="1">
      <alignment horizontal="right" vertical="center" wrapText="1"/>
    </xf>
    <xf numFmtId="43" fontId="13" fillId="0" borderId="8" xfId="1" applyFont="1" applyBorder="1" applyAlignment="1">
      <alignment horizontal="left" vertical="center"/>
    </xf>
    <xf numFmtId="43" fontId="13" fillId="0" borderId="17" xfId="1" applyFont="1" applyBorder="1" applyAlignment="1">
      <alignment horizontal="left" vertical="center"/>
    </xf>
    <xf numFmtId="0" fontId="0" fillId="0" borderId="6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25" xfId="0" applyFont="1" applyBorder="1" applyAlignment="1">
      <alignment horizontal="center" vertical="center"/>
    </xf>
    <xf numFmtId="0" fontId="0" fillId="0" borderId="30" xfId="0" applyFont="1" applyBorder="1" applyAlignment="1">
      <alignment horizontal="center" vertical="center"/>
    </xf>
    <xf numFmtId="0" fontId="0" fillId="0" borderId="26" xfId="0" applyFont="1" applyBorder="1" applyAlignment="1">
      <alignment horizontal="center" vertical="center"/>
    </xf>
    <xf numFmtId="0" fontId="0" fillId="0" borderId="46" xfId="0" applyFont="1" applyBorder="1" applyAlignment="1">
      <alignment horizontal="right" wrapText="1"/>
    </xf>
    <xf numFmtId="0" fontId="0" fillId="0" borderId="34" xfId="0" applyFont="1" applyBorder="1" applyAlignment="1">
      <alignment horizontal="right" wrapText="1"/>
    </xf>
    <xf numFmtId="0" fontId="3" fillId="0" borderId="10" xfId="0" applyFont="1" applyBorder="1" applyAlignment="1">
      <alignment horizontal="right" vertical="center" wrapText="1"/>
    </xf>
    <xf numFmtId="0" fontId="3" fillId="0" borderId="21" xfId="0" applyFont="1" applyBorder="1" applyAlignment="1">
      <alignment horizontal="right" vertical="center" wrapText="1"/>
    </xf>
    <xf numFmtId="165" fontId="19" fillId="0" borderId="6" xfId="0" applyNumberFormat="1" applyFont="1" applyFill="1" applyBorder="1" applyAlignment="1">
      <alignment horizontal="left" vertical="center"/>
    </xf>
    <xf numFmtId="165" fontId="19" fillId="0" borderId="4" xfId="0" applyNumberFormat="1" applyFont="1" applyFill="1" applyBorder="1" applyAlignment="1">
      <alignment horizontal="left" vertical="center"/>
    </xf>
    <xf numFmtId="165" fontId="19" fillId="0" borderId="7" xfId="0" applyNumberFormat="1" applyFont="1" applyFill="1" applyBorder="1" applyAlignment="1">
      <alignment horizontal="left" vertical="center"/>
    </xf>
    <xf numFmtId="165" fontId="19" fillId="0" borderId="50" xfId="0" applyNumberFormat="1" applyFont="1" applyFill="1" applyBorder="1" applyAlignment="1">
      <alignment horizontal="left" vertical="center"/>
    </xf>
    <xf numFmtId="165" fontId="19" fillId="0" borderId="51" xfId="0" applyNumberFormat="1" applyFont="1" applyFill="1" applyBorder="1" applyAlignment="1">
      <alignment horizontal="left" vertical="center"/>
    </xf>
    <xf numFmtId="165" fontId="19" fillId="0" borderId="52" xfId="0" applyNumberFormat="1" applyFont="1" applyFill="1" applyBorder="1" applyAlignment="1">
      <alignment horizontal="left" vertical="center"/>
    </xf>
    <xf numFmtId="44" fontId="0" fillId="3" borderId="16" xfId="0" applyNumberFormat="1" applyFill="1" applyBorder="1" applyAlignment="1">
      <alignment horizontal="right"/>
    </xf>
    <xf numFmtId="4" fontId="4" fillId="0" borderId="23" xfId="0" applyNumberFormat="1" applyFont="1" applyBorder="1" applyAlignment="1">
      <alignment horizontal="right"/>
    </xf>
    <xf numFmtId="44" fontId="4" fillId="0" borderId="12" xfId="0" applyNumberFormat="1" applyFont="1" applyBorder="1" applyAlignment="1">
      <alignment horizontal="right"/>
    </xf>
    <xf numFmtId="44" fontId="4" fillId="0" borderId="28" xfId="0" applyNumberFormat="1" applyFont="1" applyBorder="1" applyAlignment="1">
      <alignment horizontal="right"/>
    </xf>
    <xf numFmtId="44" fontId="4" fillId="0" borderId="23" xfId="0" applyNumberFormat="1" applyFont="1" applyBorder="1" applyAlignment="1">
      <alignment horizontal="right"/>
    </xf>
    <xf numFmtId="44" fontId="4" fillId="0" borderId="11" xfId="0" applyNumberFormat="1" applyFont="1" applyBorder="1" applyAlignment="1">
      <alignment horizontal="right"/>
    </xf>
    <xf numFmtId="44" fontId="4" fillId="0" borderId="14" xfId="0" applyNumberFormat="1" applyFont="1" applyBorder="1" applyAlignment="1">
      <alignment horizontal="right"/>
    </xf>
    <xf numFmtId="44" fontId="4" fillId="0" borderId="19" xfId="0" applyNumberFormat="1" applyFont="1" applyBorder="1" applyAlignment="1">
      <alignment horizontal="right"/>
    </xf>
    <xf numFmtId="4" fontId="4" fillId="0" borderId="16" xfId="0" applyNumberFormat="1" applyFont="1" applyBorder="1" applyAlignment="1">
      <alignment horizontal="center"/>
    </xf>
    <xf numFmtId="165" fontId="22" fillId="0" borderId="6" xfId="0" applyNumberFormat="1" applyFont="1" applyBorder="1" applyAlignment="1">
      <alignment horizontal="left" vertical="center"/>
    </xf>
    <xf numFmtId="165" fontId="22" fillId="0" borderId="4" xfId="0" applyNumberFormat="1" applyFont="1" applyBorder="1" applyAlignment="1">
      <alignment horizontal="left" vertical="center"/>
    </xf>
    <xf numFmtId="165" fontId="22" fillId="0" borderId="7" xfId="0" applyNumberFormat="1" applyFont="1" applyBorder="1" applyAlignment="1">
      <alignment horizontal="left" vertical="center"/>
    </xf>
    <xf numFmtId="165" fontId="22" fillId="0" borderId="50" xfId="0" applyNumberFormat="1" applyFont="1" applyBorder="1" applyAlignment="1">
      <alignment horizontal="left" vertical="center"/>
    </xf>
    <xf numFmtId="165" fontId="22" fillId="0" borderId="51" xfId="0" applyNumberFormat="1" applyFont="1" applyBorder="1" applyAlignment="1">
      <alignment horizontal="left" vertical="center"/>
    </xf>
    <xf numFmtId="165" fontId="22" fillId="0" borderId="52" xfId="0" applyNumberFormat="1" applyFont="1" applyBorder="1" applyAlignment="1">
      <alignment horizontal="left" vertical="center"/>
    </xf>
    <xf numFmtId="44" fontId="11" fillId="3" borderId="16" xfId="0" applyNumberFormat="1" applyFont="1" applyFill="1" applyBorder="1" applyAlignment="1">
      <alignment horizontal="right"/>
    </xf>
    <xf numFmtId="165" fontId="19" fillId="0" borderId="6" xfId="0" applyNumberFormat="1" applyFont="1" applyBorder="1" applyAlignment="1">
      <alignment horizontal="left" vertical="center"/>
    </xf>
    <xf numFmtId="165" fontId="19" fillId="0" borderId="4" xfId="0" applyNumberFormat="1" applyFont="1" applyBorder="1" applyAlignment="1">
      <alignment horizontal="left" vertical="center"/>
    </xf>
    <xf numFmtId="165" fontId="19" fillId="0" borderId="7" xfId="0" applyNumberFormat="1" applyFont="1" applyBorder="1" applyAlignment="1">
      <alignment horizontal="left" vertical="center"/>
    </xf>
    <xf numFmtId="165" fontId="19" fillId="0" borderId="50" xfId="0" applyNumberFormat="1" applyFont="1" applyBorder="1" applyAlignment="1">
      <alignment horizontal="left" vertical="center"/>
    </xf>
    <xf numFmtId="165" fontId="19" fillId="0" borderId="51" xfId="0" applyNumberFormat="1" applyFont="1" applyBorder="1" applyAlignment="1">
      <alignment horizontal="left" vertical="center"/>
    </xf>
    <xf numFmtId="165" fontId="19" fillId="0" borderId="52" xfId="0" applyNumberFormat="1" applyFont="1" applyBorder="1" applyAlignment="1">
      <alignment horizontal="left" vertical="center"/>
    </xf>
    <xf numFmtId="165" fontId="22" fillId="0" borderId="6" xfId="0" applyNumberFormat="1" applyFont="1" applyFill="1" applyBorder="1" applyAlignment="1">
      <alignment horizontal="left" vertical="center"/>
    </xf>
    <xf numFmtId="165" fontId="22" fillId="0" borderId="4" xfId="0" applyNumberFormat="1" applyFont="1" applyFill="1" applyBorder="1" applyAlignment="1">
      <alignment horizontal="left" vertical="center"/>
    </xf>
    <xf numFmtId="165" fontId="22" fillId="0" borderId="7" xfId="0" applyNumberFormat="1" applyFont="1" applyFill="1" applyBorder="1" applyAlignment="1">
      <alignment horizontal="left" vertical="center"/>
    </xf>
    <xf numFmtId="165" fontId="22" fillId="0" borderId="50" xfId="0" applyNumberFormat="1" applyFont="1" applyFill="1" applyBorder="1" applyAlignment="1">
      <alignment horizontal="left" vertical="center"/>
    </xf>
    <xf numFmtId="165" fontId="22" fillId="0" borderId="51" xfId="0" applyNumberFormat="1" applyFont="1" applyFill="1" applyBorder="1" applyAlignment="1">
      <alignment horizontal="left" vertical="center"/>
    </xf>
    <xf numFmtId="165" fontId="22" fillId="0" borderId="52" xfId="0" applyNumberFormat="1" applyFont="1" applyFill="1" applyBorder="1" applyAlignment="1">
      <alignment horizontal="left" vertical="center"/>
    </xf>
    <xf numFmtId="44" fontId="12" fillId="3" borderId="16" xfId="0" applyNumberFormat="1" applyFont="1" applyFill="1" applyBorder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calcChain" Target="calcChain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theme" Target="theme/theme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673710A-B3B7-4B0D-BDC4-F9E1DEE1B2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762002</xdr:colOff>
      <xdr:row>51</xdr:row>
      <xdr:rowOff>171450</xdr:rowOff>
    </xdr:from>
    <xdr:to>
      <xdr:col>3</xdr:col>
      <xdr:colOff>95720</xdr:colOff>
      <xdr:row>59</xdr:row>
      <xdr:rowOff>180975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9479C6D-17CD-4F1A-B6F3-2EEACB3015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2" y="10134600"/>
          <a:ext cx="952968" cy="1552575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F8EAF07-6754-42D1-8F5E-BC72187F9E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5A6DF05-A1C2-49D5-966B-2D4DFB21D1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E05B1FF-2899-42B1-ADCB-2F5B9F3ED6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6A77F18-8213-423C-852B-26BB22A0EF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BC7FF25-A4D5-4357-8716-A1C81D6F0C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E214571-67E6-4748-9C0E-797A1C29B0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0571F76-030A-498A-8E75-1EAE489522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A80DF7D-CAE9-4E55-B3AB-9DACBDA8A2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8E4B191-50B6-4BAA-B246-C752EACD79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2DB409-4007-42C0-937E-00B837D02C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B66920F-B7EF-478E-B564-3171FBD9FC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2C4AEBD-C51B-41C7-BAAF-5F1E87A888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208E725-95BD-45BC-A856-6F77656B7A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10782BD-2096-4468-AF06-566B8806AB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EA5B120-0A5C-4CA4-93D8-51A09849DA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2D0C923-9108-46CA-888D-50718FA7A7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4D75669-F9EC-4ADC-80B5-317FDE4DC9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5CEE099-71D7-4D62-943F-E93DA9F403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E2BE139-D7F0-4E41-807C-FB4230B224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19252B7-74EF-461E-8E9B-8B63319186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83CEDD0-16D8-4DAA-AAC4-06BDEACC6B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33B316D-14BA-4154-BAF5-D8B1862CFB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D37785C-2D28-4790-8754-EFE7DE9B3E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D4D7FEA-8C26-4BD5-BDA7-AC47EFC379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0EE9900-8E2D-4922-A530-DD1F6F7C8F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D68921D-1B37-4EC9-A9B1-E40D2E008B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A995F6C-B890-4C2E-8BF3-2ADE8C8CAD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742950</xdr:colOff>
      <xdr:row>53</xdr:row>
      <xdr:rowOff>134374</xdr:rowOff>
    </xdr:from>
    <xdr:to>
      <xdr:col>3</xdr:col>
      <xdr:colOff>180975</xdr:colOff>
      <xdr:row>59</xdr:row>
      <xdr:rowOff>143376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AABE2A9-448B-4852-8D13-068BA998D0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0" y="10497574"/>
          <a:ext cx="1057275" cy="1152002"/>
        </a:xfrm>
        <a:prstGeom prst="rect">
          <a:avLst/>
        </a:prstGeom>
      </xdr:spPr>
    </xdr:pic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723900</xdr:colOff>
      <xdr:row>51</xdr:row>
      <xdr:rowOff>19050</xdr:rowOff>
    </xdr:from>
    <xdr:to>
      <xdr:col>3</xdr:col>
      <xdr:colOff>380496</xdr:colOff>
      <xdr:row>61</xdr:row>
      <xdr:rowOff>38100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339901C-BB44-4B8B-96F9-418E569677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4400" y="9982200"/>
          <a:ext cx="1275846" cy="1943100"/>
        </a:xfrm>
        <a:prstGeom prst="rect">
          <a:avLst/>
        </a:prstGeom>
      </xdr:spPr>
    </xdr:pic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BF92C99-FEAE-4035-98E8-D4D5E2A627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BF3347D-A20C-451D-A0DB-3F559DE8A8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BB55C7D-C768-4693-AAFE-E2C6064FF5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FE2B6A3-D763-41BF-9CB3-6E6D6FA326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8FFC6D5-6746-4E06-A1AE-5BC6091D24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19051</xdr:colOff>
      <xdr:row>51</xdr:row>
      <xdr:rowOff>98005</xdr:rowOff>
    </xdr:from>
    <xdr:to>
      <xdr:col>3</xdr:col>
      <xdr:colOff>219075</xdr:colOff>
      <xdr:row>60</xdr:row>
      <xdr:rowOff>85724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54799D2-1E28-4D53-A09D-9FB16776F8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9176" y="10061155"/>
          <a:ext cx="1009649" cy="1721269"/>
        </a:xfrm>
        <a:prstGeom prst="rect">
          <a:avLst/>
        </a:prstGeom>
      </xdr:spPr>
    </xdr:pic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D2706FF-12C4-4FB1-A2B5-A856E7D411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499ED72-BCBE-4DB6-A6D9-935B883CCA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087B71E-3B4E-4993-B68B-910F16CDD0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4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714376</xdr:colOff>
      <xdr:row>52</xdr:row>
      <xdr:rowOff>65207</xdr:rowOff>
    </xdr:from>
    <xdr:to>
      <xdr:col>3</xdr:col>
      <xdr:colOff>266700</xdr:colOff>
      <xdr:row>61</xdr:row>
      <xdr:rowOff>104774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1E75D15-FC88-42BA-8F40-58B1D1140E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4876" y="10228382"/>
          <a:ext cx="1171574" cy="1763592"/>
        </a:xfrm>
        <a:prstGeom prst="rect">
          <a:avLst/>
        </a:prstGeom>
      </xdr:spPr>
    </xdr:pic>
    <xdr:clientData/>
  </xdr:twoCellAnchor>
</xdr:wsDr>
</file>

<file path=xl/drawings/drawing4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3B844EE-F6DE-4D4E-87E8-CBBEF22D4D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4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E8CF947-36AB-4CE0-B2F7-B0E962A844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4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43275AE-AB5C-4EEE-B475-6A98F5098F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D6155BA-6E68-410B-9494-694284B354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5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08FF8AF-3E5C-4A2C-A27F-CEA349893D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5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6CACB72-1005-420C-A235-15B6843606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5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20083E6-9CBF-43C3-8964-B98E4BE03C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5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52AE97B-A869-4180-8CE4-1B57FDADEE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5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D7363E7-FFC3-4E6E-BBEB-182806158E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5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C7C8174-8AF6-471E-B2AA-7436879CAC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5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1F2BEFA-AE3E-4744-B9A0-40E6EB721E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5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1E2486B-A149-4406-A602-86C1C3BAB5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5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2B42402-4119-4CC0-B091-60B0359F56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5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58CDC0D-7D0B-49C2-B35C-059F04B1F2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F9220B7-BA97-4374-98B0-7644228C30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6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F9A5F6B-7BAB-4E86-910F-59D2C6315E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6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499A80B-1F4E-4F62-BBF5-6E555AABA6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6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A2086A3-DA92-4AC4-ADF6-69423F61BE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6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62B7491-6211-411F-9D5F-038F73027D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6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5A75FA8-AA69-4287-B334-107E2E3066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6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D3E08C5-9128-4A66-8F32-5300560421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6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A12E362-A4C7-4A7D-B5D6-A734730EF8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6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B40F5CC-4779-4C04-8235-EE19CF7845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D0EE64E-8BDA-40DF-8C83-C7B41357FC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C506880-DF9A-4308-8C68-6D8832C510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9D9214D-C920-430C-B586-27829C9258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0.bin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1.bin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2.bin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3.bin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34.bin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35.bin"/></Relationships>
</file>

<file path=xl/worksheets/_rels/sheet4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36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37.bin"/></Relationships>
</file>

<file path=xl/worksheets/_rels/sheet5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38.bin"/></Relationships>
</file>

<file path=xl/worksheets/_rels/sheet5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39.bin"/></Relationships>
</file>

<file path=xl/worksheets/_rels/sheet5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40.bin"/></Relationships>
</file>

<file path=xl/worksheets/_rels/sheet5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41.bin"/></Relationships>
</file>

<file path=xl/worksheets/_rels/sheet5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2.xml"/><Relationship Id="rId1" Type="http://schemas.openxmlformats.org/officeDocument/2006/relationships/printerSettings" Target="../printerSettings/printerSettings42.bin"/></Relationships>
</file>

<file path=xl/worksheets/_rels/sheet5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3.xml"/><Relationship Id="rId1" Type="http://schemas.openxmlformats.org/officeDocument/2006/relationships/printerSettings" Target="../printerSettings/printerSettings43.bin"/></Relationships>
</file>

<file path=xl/worksheets/_rels/sheet6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4.xml"/><Relationship Id="rId1" Type="http://schemas.openxmlformats.org/officeDocument/2006/relationships/printerSettings" Target="../printerSettings/printerSettings44.bin"/></Relationships>
</file>

<file path=xl/worksheets/_rels/sheet6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5.xml"/><Relationship Id="rId1" Type="http://schemas.openxmlformats.org/officeDocument/2006/relationships/printerSettings" Target="../printerSettings/printerSettings45.bin"/></Relationships>
</file>

<file path=xl/worksheets/_rels/sheet6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6.xml"/><Relationship Id="rId1" Type="http://schemas.openxmlformats.org/officeDocument/2006/relationships/printerSettings" Target="../printerSettings/printerSettings46.bin"/></Relationships>
</file>

<file path=xl/worksheets/_rels/sheet6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7.xml"/><Relationship Id="rId1" Type="http://schemas.openxmlformats.org/officeDocument/2006/relationships/printerSettings" Target="../printerSettings/printerSettings47.bin"/></Relationships>
</file>

<file path=xl/worksheets/_rels/sheet6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8.xml"/><Relationship Id="rId1" Type="http://schemas.openxmlformats.org/officeDocument/2006/relationships/printerSettings" Target="../printerSettings/printerSettings48.bin"/></Relationships>
</file>

<file path=xl/worksheets/_rels/sheet6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9.xml"/><Relationship Id="rId1" Type="http://schemas.openxmlformats.org/officeDocument/2006/relationships/printerSettings" Target="../printerSettings/printerSettings49.bin"/></Relationships>
</file>

<file path=xl/worksheets/_rels/sheet6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0.xml"/><Relationship Id="rId1" Type="http://schemas.openxmlformats.org/officeDocument/2006/relationships/printerSettings" Target="../printerSettings/printerSettings50.bin"/></Relationships>
</file>

<file path=xl/worksheets/_rels/sheet6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1.xml"/><Relationship Id="rId1" Type="http://schemas.openxmlformats.org/officeDocument/2006/relationships/printerSettings" Target="../printerSettings/printerSettings5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7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2.xml"/><Relationship Id="rId1" Type="http://schemas.openxmlformats.org/officeDocument/2006/relationships/printerSettings" Target="../printerSettings/printerSettings52.bin"/></Relationships>
</file>

<file path=xl/worksheets/_rels/sheet7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3.xml"/><Relationship Id="rId1" Type="http://schemas.openxmlformats.org/officeDocument/2006/relationships/printerSettings" Target="../printerSettings/printerSettings53.bin"/></Relationships>
</file>

<file path=xl/worksheets/_rels/sheet7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4.xml"/><Relationship Id="rId1" Type="http://schemas.openxmlformats.org/officeDocument/2006/relationships/printerSettings" Target="../printerSettings/printerSettings54.bin"/></Relationships>
</file>

<file path=xl/worksheets/_rels/sheet7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5.xml"/><Relationship Id="rId1" Type="http://schemas.openxmlformats.org/officeDocument/2006/relationships/printerSettings" Target="../printerSettings/printerSettings55.bin"/></Relationships>
</file>

<file path=xl/worksheets/_rels/sheet7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6.xml"/><Relationship Id="rId1" Type="http://schemas.openxmlformats.org/officeDocument/2006/relationships/printerSettings" Target="../printerSettings/printerSettings56.bin"/></Relationships>
</file>

<file path=xl/worksheets/_rels/sheet7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7.xml"/><Relationship Id="rId1" Type="http://schemas.openxmlformats.org/officeDocument/2006/relationships/printerSettings" Target="../printerSettings/printerSettings57.bin"/></Relationships>
</file>

<file path=xl/worksheets/_rels/sheet7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8.xml"/><Relationship Id="rId1" Type="http://schemas.openxmlformats.org/officeDocument/2006/relationships/printerSettings" Target="../printerSettings/printerSettings58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8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9.xml"/><Relationship Id="rId1" Type="http://schemas.openxmlformats.org/officeDocument/2006/relationships/printerSettings" Target="../printerSettings/printerSettings59.bin"/></Relationships>
</file>

<file path=xl/worksheets/_rels/sheet8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0.xml"/><Relationship Id="rId1" Type="http://schemas.openxmlformats.org/officeDocument/2006/relationships/printerSettings" Target="../printerSettings/printerSettings60.bin"/></Relationships>
</file>

<file path=xl/worksheets/_rels/sheet8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1.xml"/><Relationship Id="rId1" Type="http://schemas.openxmlformats.org/officeDocument/2006/relationships/printerSettings" Target="../printerSettings/printerSettings61.bin"/></Relationships>
</file>

<file path=xl/worksheets/_rels/sheet8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2.xml"/><Relationship Id="rId1" Type="http://schemas.openxmlformats.org/officeDocument/2006/relationships/printerSettings" Target="../printerSettings/printerSettings62.bin"/></Relationships>
</file>

<file path=xl/worksheets/_rels/sheet8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3.xml"/><Relationship Id="rId1" Type="http://schemas.openxmlformats.org/officeDocument/2006/relationships/printerSettings" Target="../printerSettings/printerSettings63.bin"/></Relationships>
</file>

<file path=xl/worksheets/_rels/sheet8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4.xml"/><Relationship Id="rId1" Type="http://schemas.openxmlformats.org/officeDocument/2006/relationships/printerSettings" Target="../printerSettings/printerSettings64.bin"/></Relationships>
</file>

<file path=xl/worksheets/_rels/sheet8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5.xml"/><Relationship Id="rId1" Type="http://schemas.openxmlformats.org/officeDocument/2006/relationships/printerSettings" Target="../printerSettings/printerSettings65.bin"/></Relationships>
</file>

<file path=xl/worksheets/_rels/sheet8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6.xml"/><Relationship Id="rId1" Type="http://schemas.openxmlformats.org/officeDocument/2006/relationships/printerSettings" Target="../printerSettings/printerSettings6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9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7.xml"/><Relationship Id="rId1" Type="http://schemas.openxmlformats.org/officeDocument/2006/relationships/printerSettings" Target="../printerSettings/printerSettings6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4E2826-7E98-4473-9814-1B8909A373CC}">
  <dimension ref="A1"/>
  <sheetViews>
    <sheetView workbookViewId="0">
      <selection activeCell="I4" sqref="I4:J5"/>
    </sheetView>
  </sheetViews>
  <sheetFormatPr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96CF6-6EE0-498A-B94D-DE27F82E58C6}">
  <dimension ref="A1"/>
  <sheetViews>
    <sheetView workbookViewId="0">
      <selection activeCell="I4" sqref="I4:J5"/>
    </sheetView>
  </sheetViews>
  <sheetFormatPr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81E87-4732-4DCD-99B0-DEF2386ADBB1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174" t="s">
        <v>1</v>
      </c>
      <c r="O1" s="174"/>
      <c r="P1" s="100" t="s">
        <v>2</v>
      </c>
      <c r="Q1" s="100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75" t="s">
        <v>7</v>
      </c>
      <c r="B4" s="176"/>
      <c r="C4" s="176"/>
      <c r="D4" s="177"/>
      <c r="E4" s="9"/>
      <c r="F4" s="178" t="s">
        <v>8</v>
      </c>
      <c r="G4" s="180">
        <v>1</v>
      </c>
      <c r="H4" s="182" t="s">
        <v>9</v>
      </c>
      <c r="I4" s="184">
        <v>45780</v>
      </c>
      <c r="J4" s="185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88" t="s">
        <v>7</v>
      </c>
      <c r="B5" s="18" t="s">
        <v>11</v>
      </c>
      <c r="C5" s="12" t="s">
        <v>12</v>
      </c>
      <c r="D5" s="28" t="s">
        <v>13</v>
      </c>
      <c r="E5" s="9"/>
      <c r="F5" s="179"/>
      <c r="G5" s="181"/>
      <c r="H5" s="183"/>
      <c r="I5" s="186"/>
      <c r="J5" s="187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89"/>
      <c r="B6" s="19" t="s">
        <v>15</v>
      </c>
      <c r="C6" s="53">
        <v>263</v>
      </c>
      <c r="D6" s="16">
        <f t="shared" ref="D6:D28" si="1">C6*L6</f>
        <v>193831</v>
      </c>
      <c r="E6" s="9"/>
      <c r="F6" s="191" t="s">
        <v>16</v>
      </c>
      <c r="G6" s="193" t="s">
        <v>128</v>
      </c>
      <c r="H6" s="194"/>
      <c r="I6" s="194"/>
      <c r="J6" s="195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89"/>
      <c r="B7" s="19" t="s">
        <v>18</v>
      </c>
      <c r="C7" s="53">
        <v>105</v>
      </c>
      <c r="D7" s="16">
        <f t="shared" si="1"/>
        <v>76125</v>
      </c>
      <c r="E7" s="9"/>
      <c r="F7" s="192"/>
      <c r="G7" s="196"/>
      <c r="H7" s="197"/>
      <c r="I7" s="197"/>
      <c r="J7" s="198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189"/>
      <c r="B8" s="19" t="s">
        <v>20</v>
      </c>
      <c r="C8" s="53">
        <v>42</v>
      </c>
      <c r="D8" s="16">
        <f t="shared" si="1"/>
        <v>43386</v>
      </c>
      <c r="E8" s="9"/>
      <c r="F8" s="199" t="s">
        <v>21</v>
      </c>
      <c r="G8" s="201" t="s">
        <v>113</v>
      </c>
      <c r="H8" s="202"/>
      <c r="I8" s="202"/>
      <c r="J8" s="203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189"/>
      <c r="B9" s="19" t="s">
        <v>23</v>
      </c>
      <c r="C9" s="53">
        <v>28</v>
      </c>
      <c r="D9" s="16">
        <f t="shared" si="1"/>
        <v>19796</v>
      </c>
      <c r="E9" s="9"/>
      <c r="F9" s="192"/>
      <c r="G9" s="204"/>
      <c r="H9" s="205"/>
      <c r="I9" s="205"/>
      <c r="J9" s="206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189"/>
      <c r="B10" s="11" t="s">
        <v>25</v>
      </c>
      <c r="C10" s="53">
        <v>1</v>
      </c>
      <c r="D10" s="16">
        <f t="shared" si="1"/>
        <v>972</v>
      </c>
      <c r="E10" s="9"/>
      <c r="F10" s="191" t="s">
        <v>26</v>
      </c>
      <c r="G10" s="207" t="s">
        <v>132</v>
      </c>
      <c r="H10" s="208"/>
      <c r="I10" s="208"/>
      <c r="J10" s="209"/>
      <c r="K10" s="10"/>
      <c r="L10" s="6">
        <f>R36</f>
        <v>972</v>
      </c>
      <c r="P10" s="4"/>
      <c r="Q10" s="4"/>
      <c r="R10" s="5"/>
    </row>
    <row r="11" spans="1:18" ht="15.75" x14ac:dyDescent="0.25">
      <c r="A11" s="189"/>
      <c r="B11" s="20" t="s">
        <v>28</v>
      </c>
      <c r="C11" s="53">
        <v>41</v>
      </c>
      <c r="D11" s="16">
        <f t="shared" si="1"/>
        <v>46125</v>
      </c>
      <c r="E11" s="9"/>
      <c r="F11" s="192"/>
      <c r="G11" s="204"/>
      <c r="H11" s="205"/>
      <c r="I11" s="205"/>
      <c r="J11" s="206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89"/>
      <c r="B12" s="20" t="s">
        <v>30</v>
      </c>
      <c r="C12" s="53">
        <f>1</f>
        <v>1</v>
      </c>
      <c r="D12" s="52">
        <f t="shared" si="1"/>
        <v>952</v>
      </c>
      <c r="E12" s="9"/>
      <c r="F12" s="210" t="s">
        <v>33</v>
      </c>
      <c r="G12" s="211"/>
      <c r="H12" s="211"/>
      <c r="I12" s="211"/>
      <c r="J12" s="212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89"/>
      <c r="B13" s="20" t="s">
        <v>32</v>
      </c>
      <c r="C13" s="53">
        <v>11</v>
      </c>
      <c r="D13" s="52">
        <f t="shared" si="1"/>
        <v>3377</v>
      </c>
      <c r="E13" s="9"/>
      <c r="F13" s="213" t="s">
        <v>36</v>
      </c>
      <c r="G13" s="214"/>
      <c r="H13" s="215">
        <f>D29</f>
        <v>398680.33333333331</v>
      </c>
      <c r="I13" s="216"/>
      <c r="J13" s="217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89"/>
      <c r="B14" s="17" t="s">
        <v>35</v>
      </c>
      <c r="C14" s="53">
        <v>10</v>
      </c>
      <c r="D14" s="34">
        <f t="shared" si="1"/>
        <v>110</v>
      </c>
      <c r="E14" s="9"/>
      <c r="F14" s="218" t="s">
        <v>39</v>
      </c>
      <c r="G14" s="219"/>
      <c r="H14" s="220">
        <f>D54</f>
        <v>66667.5</v>
      </c>
      <c r="I14" s="221"/>
      <c r="J14" s="222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89"/>
      <c r="B15" s="17" t="s">
        <v>38</v>
      </c>
      <c r="C15" s="53">
        <v>8</v>
      </c>
      <c r="D15" s="34">
        <f t="shared" si="1"/>
        <v>4960</v>
      </c>
      <c r="E15" s="9"/>
      <c r="F15" s="223" t="s">
        <v>40</v>
      </c>
      <c r="G15" s="214"/>
      <c r="H15" s="224">
        <f>H13-H14</f>
        <v>332012.83333333331</v>
      </c>
      <c r="I15" s="225"/>
      <c r="J15" s="226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89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227">
        <f>1800</f>
        <v>1800</v>
      </c>
      <c r="I16" s="227"/>
      <c r="J16" s="22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89"/>
      <c r="B17" s="11" t="s">
        <v>137</v>
      </c>
      <c r="C17" s="53"/>
      <c r="D17" s="52">
        <f t="shared" si="1"/>
        <v>0</v>
      </c>
      <c r="E17" s="9"/>
      <c r="F17" s="62"/>
      <c r="G17" s="74" t="s">
        <v>45</v>
      </c>
      <c r="H17" s="200"/>
      <c r="I17" s="200"/>
      <c r="J17" s="200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89"/>
      <c r="B18" s="22" t="s">
        <v>95</v>
      </c>
      <c r="C18" s="53">
        <v>1</v>
      </c>
      <c r="D18" s="52">
        <f t="shared" si="1"/>
        <v>620</v>
      </c>
      <c r="E18" s="9"/>
      <c r="F18" s="62"/>
      <c r="G18" s="74" t="s">
        <v>47</v>
      </c>
      <c r="H18" s="200"/>
      <c r="I18" s="200"/>
      <c r="J18" s="200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89"/>
      <c r="B19" s="17" t="s">
        <v>140</v>
      </c>
      <c r="C19" s="53"/>
      <c r="D19" s="52">
        <f t="shared" si="1"/>
        <v>0</v>
      </c>
      <c r="E19" s="9"/>
      <c r="F19" s="62"/>
      <c r="G19" s="76" t="s">
        <v>50</v>
      </c>
      <c r="H19" s="200"/>
      <c r="I19" s="200"/>
      <c r="J19" s="200"/>
      <c r="L19" s="6">
        <v>1102</v>
      </c>
      <c r="Q19" s="4"/>
      <c r="R19" s="5">
        <f t="shared" si="0"/>
        <v>0</v>
      </c>
    </row>
    <row r="20" spans="1:18" ht="15.75" x14ac:dyDescent="0.25">
      <c r="A20" s="189"/>
      <c r="B20" s="97" t="s">
        <v>139</v>
      </c>
      <c r="C20" s="53"/>
      <c r="D20" s="16">
        <f t="shared" si="1"/>
        <v>0</v>
      </c>
      <c r="E20" s="9"/>
      <c r="F20" s="63"/>
      <c r="G20" s="78" t="s">
        <v>124</v>
      </c>
      <c r="H20" s="227"/>
      <c r="I20" s="227"/>
      <c r="J20" s="227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89"/>
      <c r="B21" s="17" t="s">
        <v>145</v>
      </c>
      <c r="C21" s="53">
        <f>6+5</f>
        <v>11</v>
      </c>
      <c r="D21" s="52">
        <f t="shared" si="1"/>
        <v>7150</v>
      </c>
      <c r="E21" s="9"/>
      <c r="F21" s="77" t="s">
        <v>99</v>
      </c>
      <c r="G21" s="92" t="s">
        <v>98</v>
      </c>
      <c r="H21" s="246" t="s">
        <v>13</v>
      </c>
      <c r="I21" s="247"/>
      <c r="J21" s="248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89"/>
      <c r="B22" s="50" t="s">
        <v>110</v>
      </c>
      <c r="C22" s="53"/>
      <c r="D22" s="52">
        <f t="shared" si="1"/>
        <v>0</v>
      </c>
      <c r="E22" s="9"/>
      <c r="F22" s="85"/>
      <c r="G22" s="81"/>
      <c r="H22" s="249"/>
      <c r="I22" s="249"/>
      <c r="J22" s="249"/>
      <c r="L22" s="7">
        <v>1142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89"/>
      <c r="B23" s="17" t="s">
        <v>125</v>
      </c>
      <c r="C23" s="53"/>
      <c r="D23" s="52">
        <f t="shared" si="1"/>
        <v>0</v>
      </c>
      <c r="E23" s="9"/>
      <c r="F23" s="85"/>
      <c r="G23" s="87"/>
      <c r="H23" s="250"/>
      <c r="I23" s="251"/>
      <c r="J23" s="251"/>
      <c r="L23" s="51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89"/>
      <c r="B24" s="17" t="s">
        <v>126</v>
      </c>
      <c r="C24" s="53"/>
      <c r="D24" s="52">
        <f t="shared" si="1"/>
        <v>0</v>
      </c>
      <c r="E24" s="9"/>
      <c r="F24" s="85"/>
      <c r="G24" s="87"/>
      <c r="H24" s="250"/>
      <c r="I24" s="251"/>
      <c r="J24" s="251"/>
      <c r="L24" s="51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89"/>
      <c r="B25" s="17" t="s">
        <v>121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52" t="s">
        <v>13</v>
      </c>
      <c r="I25" s="253"/>
      <c r="J25" s="254"/>
      <c r="L25" s="51">
        <f>852/24+1.5</f>
        <v>37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89"/>
      <c r="B26" s="17" t="s">
        <v>112</v>
      </c>
      <c r="C26" s="53">
        <v>22</v>
      </c>
      <c r="D26" s="52">
        <f t="shared" si="1"/>
        <v>491.33333333333331</v>
      </c>
      <c r="E26" s="9"/>
      <c r="F26" s="83"/>
      <c r="G26" s="73"/>
      <c r="H26" s="255"/>
      <c r="I26" s="255"/>
      <c r="J26" s="255"/>
      <c r="L26" s="7">
        <f>500/24+1.5</f>
        <v>22.333333333333332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89"/>
      <c r="B27" s="17" t="s">
        <v>120</v>
      </c>
      <c r="C27" s="53"/>
      <c r="D27" s="48">
        <f t="shared" si="1"/>
        <v>0</v>
      </c>
      <c r="E27" s="9"/>
      <c r="F27" s="79"/>
      <c r="G27" s="98"/>
      <c r="H27" s="256"/>
      <c r="I27" s="257"/>
      <c r="J27" s="257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90"/>
      <c r="B28" s="50" t="s">
        <v>97</v>
      </c>
      <c r="C28" s="53">
        <v>1</v>
      </c>
      <c r="D28" s="52">
        <f t="shared" si="1"/>
        <v>785</v>
      </c>
      <c r="E28" s="9"/>
      <c r="F28" s="60"/>
      <c r="G28" s="68"/>
      <c r="H28" s="258"/>
      <c r="I28" s="259"/>
      <c r="J28" s="260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28" t="s">
        <v>36</v>
      </c>
      <c r="B29" s="229"/>
      <c r="C29" s="230"/>
      <c r="D29" s="234">
        <f>SUM(D6:D28)</f>
        <v>398680.33333333331</v>
      </c>
      <c r="E29" s="9"/>
      <c r="F29" s="236" t="s">
        <v>55</v>
      </c>
      <c r="G29" s="237"/>
      <c r="H29" s="240">
        <f>H15-H16-H17-H18-H19-H20-H22-H23-H24+H26+H27+H28</f>
        <v>330212.83333333331</v>
      </c>
      <c r="I29" s="241"/>
      <c r="J29" s="242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231"/>
      <c r="B30" s="232"/>
      <c r="C30" s="233"/>
      <c r="D30" s="235"/>
      <c r="E30" s="9"/>
      <c r="F30" s="238"/>
      <c r="G30" s="239"/>
      <c r="H30" s="243"/>
      <c r="I30" s="244"/>
      <c r="J30" s="245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5" t="s">
        <v>58</v>
      </c>
      <c r="B32" s="176"/>
      <c r="C32" s="176"/>
      <c r="D32" s="177"/>
      <c r="E32" s="11"/>
      <c r="F32" s="261" t="s">
        <v>59</v>
      </c>
      <c r="G32" s="262"/>
      <c r="H32" s="262"/>
      <c r="I32" s="262"/>
      <c r="J32" s="263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01" t="s">
        <v>63</v>
      </c>
      <c r="H33" s="261" t="s">
        <v>13</v>
      </c>
      <c r="I33" s="262"/>
      <c r="J33" s="263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88" t="s">
        <v>65</v>
      </c>
      <c r="B34" s="29" t="s">
        <v>66</v>
      </c>
      <c r="C34" s="56">
        <v>3</v>
      </c>
      <c r="D34" s="33">
        <f>C34*120</f>
        <v>360</v>
      </c>
      <c r="E34" s="9"/>
      <c r="F34" s="15">
        <v>1000</v>
      </c>
      <c r="G34" s="44">
        <v>150</v>
      </c>
      <c r="H34" s="264">
        <f t="shared" ref="H34:H39" si="2">F34*G34</f>
        <v>150000</v>
      </c>
      <c r="I34" s="265"/>
      <c r="J34" s="266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89"/>
      <c r="B35" s="30" t="s">
        <v>68</v>
      </c>
      <c r="C35" s="57">
        <v>1</v>
      </c>
      <c r="D35" s="33">
        <f>C35*84</f>
        <v>84</v>
      </c>
      <c r="E35" s="9"/>
      <c r="F35" s="64">
        <v>500</v>
      </c>
      <c r="G35" s="45">
        <v>93</v>
      </c>
      <c r="H35" s="264">
        <f t="shared" si="2"/>
        <v>46500</v>
      </c>
      <c r="I35" s="265"/>
      <c r="J35" s="266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90"/>
      <c r="B36" s="29" t="s">
        <v>70</v>
      </c>
      <c r="C36" s="53">
        <v>16</v>
      </c>
      <c r="D36" s="15">
        <f>C36*1.5</f>
        <v>24</v>
      </c>
      <c r="E36" s="9"/>
      <c r="F36" s="15">
        <v>200</v>
      </c>
      <c r="G36" s="41"/>
      <c r="H36" s="264">
        <f t="shared" si="2"/>
        <v>0</v>
      </c>
      <c r="I36" s="265"/>
      <c r="J36" s="266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88" t="s">
        <v>72</v>
      </c>
      <c r="B37" s="31" t="s">
        <v>66</v>
      </c>
      <c r="C37" s="58">
        <v>525</v>
      </c>
      <c r="D37" s="15">
        <f>C37*111</f>
        <v>58275</v>
      </c>
      <c r="E37" s="9"/>
      <c r="F37" s="15">
        <v>100</v>
      </c>
      <c r="G37" s="43">
        <v>28</v>
      </c>
      <c r="H37" s="264">
        <f t="shared" si="2"/>
        <v>2800</v>
      </c>
      <c r="I37" s="265"/>
      <c r="J37" s="266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89"/>
      <c r="B38" s="32" t="s">
        <v>68</v>
      </c>
      <c r="C38" s="59">
        <v>13</v>
      </c>
      <c r="D38" s="15">
        <f>C38*84</f>
        <v>1092</v>
      </c>
      <c r="E38" s="9"/>
      <c r="F38" s="33">
        <v>50</v>
      </c>
      <c r="G38" s="43">
        <v>27</v>
      </c>
      <c r="H38" s="264">
        <f t="shared" si="2"/>
        <v>1350</v>
      </c>
      <c r="I38" s="265"/>
      <c r="J38" s="266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90"/>
      <c r="B39" s="32" t="s">
        <v>70</v>
      </c>
      <c r="C39" s="57">
        <v>3</v>
      </c>
      <c r="D39" s="34">
        <f>C39*4.5</f>
        <v>13.5</v>
      </c>
      <c r="E39" s="9"/>
      <c r="F39" s="15">
        <v>20</v>
      </c>
      <c r="G39" s="41">
        <v>7</v>
      </c>
      <c r="H39" s="264">
        <f t="shared" si="2"/>
        <v>140</v>
      </c>
      <c r="I39" s="265"/>
      <c r="J39" s="266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88" t="s">
        <v>76</v>
      </c>
      <c r="B40" s="30" t="s">
        <v>66</v>
      </c>
      <c r="C40" s="70">
        <v>16</v>
      </c>
      <c r="D40" s="15">
        <f>C40*111</f>
        <v>1776</v>
      </c>
      <c r="E40" s="9"/>
      <c r="F40" s="15">
        <v>10</v>
      </c>
      <c r="G40" s="46"/>
      <c r="H40" s="264"/>
      <c r="I40" s="265"/>
      <c r="J40" s="266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89"/>
      <c r="B41" s="30" t="s">
        <v>68</v>
      </c>
      <c r="C41" s="53">
        <v>3</v>
      </c>
      <c r="D41" s="15">
        <f>C41*84</f>
        <v>252</v>
      </c>
      <c r="E41" s="9"/>
      <c r="F41" s="15">
        <v>5</v>
      </c>
      <c r="G41" s="46"/>
      <c r="H41" s="264"/>
      <c r="I41" s="265"/>
      <c r="J41" s="266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90"/>
      <c r="B42" s="30" t="s">
        <v>70</v>
      </c>
      <c r="C42" s="71">
        <v>8</v>
      </c>
      <c r="D42" s="15">
        <f>C42*2.25</f>
        <v>18</v>
      </c>
      <c r="E42" s="9"/>
      <c r="F42" s="43" t="s">
        <v>79</v>
      </c>
      <c r="G42" s="264">
        <v>281</v>
      </c>
      <c r="H42" s="265"/>
      <c r="I42" s="265"/>
      <c r="J42" s="266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67" t="s">
        <v>81</v>
      </c>
      <c r="C43" s="71"/>
      <c r="D43" s="15"/>
      <c r="E43" s="9"/>
      <c r="F43" s="65" t="s">
        <v>82</v>
      </c>
      <c r="G43" s="98" t="s">
        <v>83</v>
      </c>
      <c r="H43" s="270" t="s">
        <v>13</v>
      </c>
      <c r="I43" s="271"/>
      <c r="J43" s="272"/>
      <c r="K43" s="24"/>
      <c r="O43" t="s">
        <v>103</v>
      </c>
      <c r="P43" s="4">
        <v>1667</v>
      </c>
      <c r="Q43" s="4"/>
      <c r="R43" s="5"/>
    </row>
    <row r="44" spans="1:18" ht="15.75" x14ac:dyDescent="0.25">
      <c r="A44" s="268"/>
      <c r="B44" s="30" t="s">
        <v>66</v>
      </c>
      <c r="C44" s="53">
        <v>15</v>
      </c>
      <c r="D44" s="15">
        <f>C44*120</f>
        <v>1800</v>
      </c>
      <c r="E44" s="9"/>
      <c r="F44" s="41" t="s">
        <v>148</v>
      </c>
      <c r="G44" s="69" t="s">
        <v>156</v>
      </c>
      <c r="H44" s="255">
        <v>124417.5</v>
      </c>
      <c r="I44" s="255"/>
      <c r="J44" s="255"/>
      <c r="K44" s="24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268"/>
      <c r="B45" s="30" t="s">
        <v>68</v>
      </c>
      <c r="C45" s="90">
        <v>2</v>
      </c>
      <c r="D45" s="15">
        <f>C45*84</f>
        <v>168</v>
      </c>
      <c r="E45" s="9"/>
      <c r="F45" s="41"/>
      <c r="G45" s="69"/>
      <c r="H45" s="255"/>
      <c r="I45" s="255"/>
      <c r="J45" s="255"/>
      <c r="K45" s="24"/>
      <c r="P45" s="4"/>
      <c r="Q45" s="4"/>
      <c r="R45" s="5"/>
    </row>
    <row r="46" spans="1:18" ht="15.75" x14ac:dyDescent="0.25">
      <c r="A46" s="268"/>
      <c r="B46" s="54" t="s">
        <v>70</v>
      </c>
      <c r="C46" s="91">
        <v>30</v>
      </c>
      <c r="D46" s="15">
        <f>C46*1.5</f>
        <v>45</v>
      </c>
      <c r="E46" s="9"/>
      <c r="F46" s="41"/>
      <c r="G46" s="69"/>
      <c r="H46" s="255"/>
      <c r="I46" s="255"/>
      <c r="J46" s="255"/>
      <c r="K46" s="24"/>
      <c r="P46" s="4"/>
      <c r="Q46" s="4"/>
      <c r="R46" s="5"/>
    </row>
    <row r="47" spans="1:18" ht="15.75" x14ac:dyDescent="0.25">
      <c r="A47" s="269"/>
      <c r="B47" s="30"/>
      <c r="C47" s="71"/>
      <c r="D47" s="15"/>
      <c r="E47" s="9"/>
      <c r="F47" s="65"/>
      <c r="G47" s="65"/>
      <c r="H47" s="273"/>
      <c r="I47" s="274"/>
      <c r="J47" s="275"/>
      <c r="K47" s="24"/>
      <c r="P47" s="4"/>
      <c r="Q47" s="4"/>
      <c r="R47" s="5"/>
    </row>
    <row r="48" spans="1:18" ht="15" customHeight="1" x14ac:dyDescent="0.25">
      <c r="A48" s="267" t="s">
        <v>32</v>
      </c>
      <c r="B48" s="30" t="s">
        <v>66</v>
      </c>
      <c r="C48" s="53">
        <v>20</v>
      </c>
      <c r="D48" s="15">
        <f>C48*78</f>
        <v>1560</v>
      </c>
      <c r="E48" s="9"/>
      <c r="F48" s="65"/>
      <c r="G48" s="65"/>
      <c r="H48" s="273"/>
      <c r="I48" s="274"/>
      <c r="J48" s="275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68"/>
      <c r="B49" s="32" t="s">
        <v>68</v>
      </c>
      <c r="C49" s="90">
        <v>28</v>
      </c>
      <c r="D49" s="15">
        <f>C49*42</f>
        <v>1176</v>
      </c>
      <c r="E49" s="9"/>
      <c r="F49" s="288" t="s">
        <v>86</v>
      </c>
      <c r="G49" s="240">
        <f>H34+H35+H36+H37+H38+H39+H40+H41+G42+H44+H45+H46</f>
        <v>325488.5</v>
      </c>
      <c r="H49" s="241"/>
      <c r="I49" s="241"/>
      <c r="J49" s="242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68"/>
      <c r="B50" s="35" t="s">
        <v>70</v>
      </c>
      <c r="C50" s="71">
        <v>16</v>
      </c>
      <c r="D50" s="15">
        <f>C50*1.5</f>
        <v>24</v>
      </c>
      <c r="E50" s="9"/>
      <c r="F50" s="289"/>
      <c r="G50" s="243"/>
      <c r="H50" s="244"/>
      <c r="I50" s="244"/>
      <c r="J50" s="245"/>
      <c r="K50" s="9"/>
      <c r="P50" s="4"/>
      <c r="Q50" s="4"/>
      <c r="R50" s="5"/>
    </row>
    <row r="51" spans="1:18" ht="15" customHeight="1" x14ac:dyDescent="0.25">
      <c r="A51" s="268"/>
      <c r="B51" s="30"/>
      <c r="C51" s="13"/>
      <c r="D51" s="34"/>
      <c r="E51" s="9"/>
      <c r="F51" s="290" t="s">
        <v>135</v>
      </c>
      <c r="G51" s="292">
        <f>G49-H29</f>
        <v>-4724.3333333333139</v>
      </c>
      <c r="H51" s="293"/>
      <c r="I51" s="293"/>
      <c r="J51" s="294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68"/>
      <c r="B52" s="32"/>
      <c r="C52" s="36"/>
      <c r="D52" s="49"/>
      <c r="E52" s="9"/>
      <c r="F52" s="291"/>
      <c r="G52" s="295"/>
      <c r="H52" s="296"/>
      <c r="I52" s="296"/>
      <c r="J52" s="297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69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236" t="s">
        <v>90</v>
      </c>
      <c r="B54" s="276"/>
      <c r="C54" s="277"/>
      <c r="D54" s="280">
        <f>SUM(D34:D53)</f>
        <v>66667.5</v>
      </c>
      <c r="E54" s="9"/>
      <c r="F54" s="24"/>
      <c r="G54" s="9"/>
      <c r="H54" s="9"/>
      <c r="I54" s="9"/>
      <c r="J54" s="37"/>
      <c r="O54" t="s">
        <v>102</v>
      </c>
      <c r="P54" s="4">
        <v>1582</v>
      </c>
      <c r="R54" s="3">
        <v>1582</v>
      </c>
    </row>
    <row r="55" spans="1:18" x14ac:dyDescent="0.25">
      <c r="A55" s="238"/>
      <c r="B55" s="278"/>
      <c r="C55" s="279"/>
      <c r="D55" s="281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129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282" t="s">
        <v>91</v>
      </c>
      <c r="B58" s="283"/>
      <c r="C58" s="283"/>
      <c r="D58" s="284"/>
      <c r="E58" s="9"/>
      <c r="F58" s="282" t="s">
        <v>92</v>
      </c>
      <c r="G58" s="283"/>
      <c r="H58" s="283"/>
      <c r="I58" s="283"/>
      <c r="J58" s="284"/>
    </row>
    <row r="59" spans="1:18" x14ac:dyDescent="0.25">
      <c r="A59" s="285"/>
      <c r="B59" s="286"/>
      <c r="C59" s="286"/>
      <c r="D59" s="287"/>
      <c r="E59" s="9"/>
      <c r="F59" s="285"/>
      <c r="G59" s="286"/>
      <c r="H59" s="286"/>
      <c r="I59" s="286"/>
      <c r="J59" s="287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09834-2791-4789-91D7-4BC230CC026B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174" t="s">
        <v>1</v>
      </c>
      <c r="O1" s="174"/>
      <c r="P1" s="100" t="s">
        <v>2</v>
      </c>
      <c r="Q1" s="100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75" t="s">
        <v>7</v>
      </c>
      <c r="B4" s="176"/>
      <c r="C4" s="176"/>
      <c r="D4" s="177"/>
      <c r="E4" s="9"/>
      <c r="F4" s="178" t="s">
        <v>8</v>
      </c>
      <c r="G4" s="180">
        <v>2</v>
      </c>
      <c r="H4" s="182" t="s">
        <v>9</v>
      </c>
      <c r="I4" s="184">
        <v>45780</v>
      </c>
      <c r="J4" s="185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88" t="s">
        <v>7</v>
      </c>
      <c r="B5" s="18" t="s">
        <v>11</v>
      </c>
      <c r="C5" s="12" t="s">
        <v>12</v>
      </c>
      <c r="D5" s="28" t="s">
        <v>13</v>
      </c>
      <c r="E5" s="9"/>
      <c r="F5" s="179"/>
      <c r="G5" s="181"/>
      <c r="H5" s="183"/>
      <c r="I5" s="186"/>
      <c r="J5" s="187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89"/>
      <c r="B6" s="19" t="s">
        <v>15</v>
      </c>
      <c r="C6" s="53">
        <v>246</v>
      </c>
      <c r="D6" s="16">
        <f t="shared" ref="D6:D28" si="1">C6*L6</f>
        <v>181302</v>
      </c>
      <c r="E6" s="9"/>
      <c r="F6" s="191" t="s">
        <v>16</v>
      </c>
      <c r="G6" s="193" t="s">
        <v>127</v>
      </c>
      <c r="H6" s="194"/>
      <c r="I6" s="194"/>
      <c r="J6" s="195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89"/>
      <c r="B7" s="19" t="s">
        <v>18</v>
      </c>
      <c r="C7" s="53">
        <v>5</v>
      </c>
      <c r="D7" s="16">
        <f t="shared" si="1"/>
        <v>3625</v>
      </c>
      <c r="E7" s="9"/>
      <c r="F7" s="192"/>
      <c r="G7" s="196"/>
      <c r="H7" s="197"/>
      <c r="I7" s="197"/>
      <c r="J7" s="198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189"/>
      <c r="B8" s="19" t="s">
        <v>20</v>
      </c>
      <c r="C8" s="53"/>
      <c r="D8" s="16">
        <f t="shared" si="1"/>
        <v>0</v>
      </c>
      <c r="E8" s="9"/>
      <c r="F8" s="199" t="s">
        <v>21</v>
      </c>
      <c r="G8" s="201" t="s">
        <v>115</v>
      </c>
      <c r="H8" s="202"/>
      <c r="I8" s="202"/>
      <c r="J8" s="203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189"/>
      <c r="B9" s="19" t="s">
        <v>23</v>
      </c>
      <c r="C9" s="53">
        <v>33</v>
      </c>
      <c r="D9" s="16">
        <f t="shared" si="1"/>
        <v>23331</v>
      </c>
      <c r="E9" s="9"/>
      <c r="F9" s="192"/>
      <c r="G9" s="204"/>
      <c r="H9" s="205"/>
      <c r="I9" s="205"/>
      <c r="J9" s="206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189"/>
      <c r="B10" s="11" t="s">
        <v>25</v>
      </c>
      <c r="C10" s="53">
        <v>2</v>
      </c>
      <c r="D10" s="16">
        <f t="shared" si="1"/>
        <v>1944</v>
      </c>
      <c r="E10" s="9"/>
      <c r="F10" s="191" t="s">
        <v>26</v>
      </c>
      <c r="G10" s="207" t="s">
        <v>116</v>
      </c>
      <c r="H10" s="208"/>
      <c r="I10" s="208"/>
      <c r="J10" s="209"/>
      <c r="K10" s="10"/>
      <c r="L10" s="6">
        <f>R36</f>
        <v>972</v>
      </c>
      <c r="P10" s="4"/>
      <c r="Q10" s="4"/>
      <c r="R10" s="5"/>
    </row>
    <row r="11" spans="1:18" ht="15.75" x14ac:dyDescent="0.25">
      <c r="A11" s="189"/>
      <c r="B11" s="20" t="s">
        <v>28</v>
      </c>
      <c r="C11" s="53"/>
      <c r="D11" s="16">
        <f t="shared" si="1"/>
        <v>0</v>
      </c>
      <c r="E11" s="9"/>
      <c r="F11" s="192"/>
      <c r="G11" s="204"/>
      <c r="H11" s="205"/>
      <c r="I11" s="205"/>
      <c r="J11" s="206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89"/>
      <c r="B12" s="20" t="s">
        <v>30</v>
      </c>
      <c r="C12" s="53">
        <f>2+1</f>
        <v>3</v>
      </c>
      <c r="D12" s="52">
        <f t="shared" si="1"/>
        <v>2856</v>
      </c>
      <c r="E12" s="9"/>
      <c r="F12" s="210" t="s">
        <v>33</v>
      </c>
      <c r="G12" s="211"/>
      <c r="H12" s="211"/>
      <c r="I12" s="211"/>
      <c r="J12" s="212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89"/>
      <c r="B13" s="20" t="s">
        <v>32</v>
      </c>
      <c r="C13" s="53">
        <v>9</v>
      </c>
      <c r="D13" s="52">
        <f t="shared" si="1"/>
        <v>2763</v>
      </c>
      <c r="E13" s="9"/>
      <c r="F13" s="213" t="s">
        <v>36</v>
      </c>
      <c r="G13" s="214"/>
      <c r="H13" s="215">
        <f>D29</f>
        <v>218184</v>
      </c>
      <c r="I13" s="216"/>
      <c r="J13" s="217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89"/>
      <c r="B14" s="17" t="s">
        <v>35</v>
      </c>
      <c r="C14" s="53">
        <v>13</v>
      </c>
      <c r="D14" s="34">
        <f t="shared" si="1"/>
        <v>143</v>
      </c>
      <c r="E14" s="9"/>
      <c r="F14" s="218" t="s">
        <v>39</v>
      </c>
      <c r="G14" s="219"/>
      <c r="H14" s="220">
        <f>D54</f>
        <v>30680.25</v>
      </c>
      <c r="I14" s="221"/>
      <c r="J14" s="222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89"/>
      <c r="B15" s="17" t="s">
        <v>38</v>
      </c>
      <c r="C15" s="53"/>
      <c r="D15" s="34">
        <f t="shared" si="1"/>
        <v>0</v>
      </c>
      <c r="E15" s="9"/>
      <c r="F15" s="223" t="s">
        <v>40</v>
      </c>
      <c r="G15" s="214"/>
      <c r="H15" s="224">
        <f>H13-H14</f>
        <v>187503.75</v>
      </c>
      <c r="I15" s="225"/>
      <c r="J15" s="226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89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227"/>
      <c r="I16" s="227"/>
      <c r="J16" s="22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89"/>
      <c r="B17" s="11" t="s">
        <v>93</v>
      </c>
      <c r="C17" s="53"/>
      <c r="D17" s="52">
        <f t="shared" si="1"/>
        <v>0</v>
      </c>
      <c r="E17" s="9"/>
      <c r="F17" s="62"/>
      <c r="G17" s="74" t="s">
        <v>45</v>
      </c>
      <c r="H17" s="200"/>
      <c r="I17" s="200"/>
      <c r="J17" s="200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89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200"/>
      <c r="I18" s="200"/>
      <c r="J18" s="200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89"/>
      <c r="B19" s="17" t="s">
        <v>96</v>
      </c>
      <c r="C19" s="53"/>
      <c r="D19" s="52">
        <f t="shared" si="1"/>
        <v>0</v>
      </c>
      <c r="E19" s="9"/>
      <c r="F19" s="62"/>
      <c r="G19" s="76" t="s">
        <v>50</v>
      </c>
      <c r="H19" s="298"/>
      <c r="I19" s="298"/>
      <c r="J19" s="298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89"/>
      <c r="B20" s="50" t="s">
        <v>131</v>
      </c>
      <c r="C20" s="53"/>
      <c r="D20" s="16">
        <f t="shared" si="1"/>
        <v>0</v>
      </c>
      <c r="E20" s="9"/>
      <c r="F20" s="63"/>
      <c r="G20" s="78" t="s">
        <v>124</v>
      </c>
      <c r="H20" s="200"/>
      <c r="I20" s="200"/>
      <c r="J20" s="200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89"/>
      <c r="B21" s="17" t="s">
        <v>130</v>
      </c>
      <c r="C21" s="53">
        <v>1</v>
      </c>
      <c r="D21" s="52">
        <f t="shared" si="1"/>
        <v>650</v>
      </c>
      <c r="E21" s="9"/>
      <c r="F21" s="77" t="s">
        <v>99</v>
      </c>
      <c r="G21" s="92" t="s">
        <v>98</v>
      </c>
      <c r="H21" s="246" t="s">
        <v>13</v>
      </c>
      <c r="I21" s="247"/>
      <c r="J21" s="248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89"/>
      <c r="B22" s="50" t="s">
        <v>104</v>
      </c>
      <c r="C22" s="53"/>
      <c r="D22" s="52">
        <f t="shared" si="1"/>
        <v>0</v>
      </c>
      <c r="E22" s="9"/>
      <c r="F22" s="80"/>
      <c r="G22" s="81"/>
      <c r="H22" s="249"/>
      <c r="I22" s="249"/>
      <c r="J22" s="249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89"/>
      <c r="B23" s="17" t="s">
        <v>107</v>
      </c>
      <c r="C23" s="53"/>
      <c r="D23" s="52">
        <f t="shared" si="1"/>
        <v>0</v>
      </c>
      <c r="E23" s="9"/>
      <c r="F23" s="28"/>
      <c r="G23" s="41"/>
      <c r="H23" s="299"/>
      <c r="I23" s="255"/>
      <c r="J23" s="255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89"/>
      <c r="B24" s="17" t="s">
        <v>133</v>
      </c>
      <c r="C24" s="53"/>
      <c r="D24" s="52">
        <f t="shared" si="1"/>
        <v>0</v>
      </c>
      <c r="E24" s="9"/>
      <c r="F24" s="42"/>
      <c r="G24" s="41"/>
      <c r="H24" s="299"/>
      <c r="I24" s="255"/>
      <c r="J24" s="255"/>
      <c r="L24" s="51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89"/>
      <c r="B25" s="17" t="s">
        <v>134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52" t="s">
        <v>13</v>
      </c>
      <c r="I25" s="253"/>
      <c r="J25" s="254"/>
      <c r="L25" s="51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89"/>
      <c r="B26" s="17" t="s">
        <v>105</v>
      </c>
      <c r="C26" s="53"/>
      <c r="D26" s="52">
        <f t="shared" si="1"/>
        <v>0</v>
      </c>
      <c r="E26" s="9"/>
      <c r="F26" s="72"/>
      <c r="G26" s="13"/>
      <c r="H26" s="300"/>
      <c r="I26" s="301"/>
      <c r="J26" s="302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89"/>
      <c r="B27" s="17" t="s">
        <v>109</v>
      </c>
      <c r="C27" s="53"/>
      <c r="D27" s="48">
        <f t="shared" si="1"/>
        <v>0</v>
      </c>
      <c r="E27" s="9"/>
      <c r="F27" s="67"/>
      <c r="G27" s="67"/>
      <c r="H27" s="303"/>
      <c r="I27" s="304"/>
      <c r="J27" s="305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90"/>
      <c r="B28" s="50" t="s">
        <v>97</v>
      </c>
      <c r="C28" s="53">
        <v>2</v>
      </c>
      <c r="D28" s="52">
        <f t="shared" si="1"/>
        <v>1570</v>
      </c>
      <c r="E28" s="9"/>
      <c r="F28" s="60"/>
      <c r="G28" s="68"/>
      <c r="H28" s="258"/>
      <c r="I28" s="259"/>
      <c r="J28" s="260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28" t="s">
        <v>36</v>
      </c>
      <c r="B29" s="229"/>
      <c r="C29" s="230"/>
      <c r="D29" s="234">
        <f>SUM(D6:D28)</f>
        <v>218184</v>
      </c>
      <c r="E29" s="9"/>
      <c r="F29" s="236" t="s">
        <v>55</v>
      </c>
      <c r="G29" s="237"/>
      <c r="H29" s="240">
        <f>H15-H16-H17-H18-H19-H20-H22-H23-H24+H26+H27</f>
        <v>187503.75</v>
      </c>
      <c r="I29" s="241"/>
      <c r="J29" s="242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231"/>
      <c r="B30" s="232"/>
      <c r="C30" s="233"/>
      <c r="D30" s="235"/>
      <c r="E30" s="9"/>
      <c r="F30" s="238"/>
      <c r="G30" s="239"/>
      <c r="H30" s="243"/>
      <c r="I30" s="244"/>
      <c r="J30" s="245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5" t="s">
        <v>58</v>
      </c>
      <c r="B32" s="176"/>
      <c r="C32" s="176"/>
      <c r="D32" s="177"/>
      <c r="E32" s="11"/>
      <c r="F32" s="261" t="s">
        <v>59</v>
      </c>
      <c r="G32" s="262"/>
      <c r="H32" s="262"/>
      <c r="I32" s="262"/>
      <c r="J32" s="263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01" t="s">
        <v>63</v>
      </c>
      <c r="H33" s="261" t="s">
        <v>13</v>
      </c>
      <c r="I33" s="262"/>
      <c r="J33" s="263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88" t="s">
        <v>65</v>
      </c>
      <c r="B34" s="29" t="s">
        <v>66</v>
      </c>
      <c r="C34" s="56">
        <v>1</v>
      </c>
      <c r="D34" s="33">
        <f>C34*120</f>
        <v>120</v>
      </c>
      <c r="E34" s="9"/>
      <c r="F34" s="15">
        <v>1000</v>
      </c>
      <c r="G34" s="82">
        <v>141</v>
      </c>
      <c r="H34" s="264">
        <f>F34*G34</f>
        <v>141000</v>
      </c>
      <c r="I34" s="265"/>
      <c r="J34" s="266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89"/>
      <c r="B35" s="30" t="s">
        <v>68</v>
      </c>
      <c r="C35" s="57"/>
      <c r="D35" s="33">
        <f>C35*84</f>
        <v>0</v>
      </c>
      <c r="E35" s="9"/>
      <c r="F35" s="64">
        <v>500</v>
      </c>
      <c r="G35" s="45">
        <v>61</v>
      </c>
      <c r="H35" s="264">
        <f t="shared" ref="H35:H39" si="2">F35*G35</f>
        <v>30500</v>
      </c>
      <c r="I35" s="265"/>
      <c r="J35" s="266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90"/>
      <c r="B36" s="29" t="s">
        <v>70</v>
      </c>
      <c r="C36" s="53">
        <v>9</v>
      </c>
      <c r="D36" s="15">
        <f>C36*1.5</f>
        <v>13.5</v>
      </c>
      <c r="E36" s="9"/>
      <c r="F36" s="15">
        <v>200</v>
      </c>
      <c r="G36" s="41">
        <v>4</v>
      </c>
      <c r="H36" s="264">
        <f t="shared" si="2"/>
        <v>800</v>
      </c>
      <c r="I36" s="265"/>
      <c r="J36" s="266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88" t="s">
        <v>72</v>
      </c>
      <c r="B37" s="31" t="s">
        <v>66</v>
      </c>
      <c r="C37" s="58">
        <v>256</v>
      </c>
      <c r="D37" s="15">
        <f>C37*111</f>
        <v>28416</v>
      </c>
      <c r="E37" s="9"/>
      <c r="F37" s="15">
        <v>100</v>
      </c>
      <c r="G37" s="43">
        <v>142</v>
      </c>
      <c r="H37" s="264">
        <f t="shared" si="2"/>
        <v>14200</v>
      </c>
      <c r="I37" s="265"/>
      <c r="J37" s="266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89"/>
      <c r="B38" s="32" t="s">
        <v>68</v>
      </c>
      <c r="C38" s="59">
        <v>2</v>
      </c>
      <c r="D38" s="15">
        <f>C38*84</f>
        <v>168</v>
      </c>
      <c r="E38" s="9"/>
      <c r="F38" s="33">
        <v>50</v>
      </c>
      <c r="G38" s="43">
        <v>6</v>
      </c>
      <c r="H38" s="264">
        <f t="shared" si="2"/>
        <v>300</v>
      </c>
      <c r="I38" s="265"/>
      <c r="J38" s="266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90"/>
      <c r="B39" s="32" t="s">
        <v>70</v>
      </c>
      <c r="C39" s="57">
        <v>2</v>
      </c>
      <c r="D39" s="34">
        <f>C39*4.5</f>
        <v>9</v>
      </c>
      <c r="E39" s="9"/>
      <c r="F39" s="15">
        <v>20</v>
      </c>
      <c r="G39" s="41">
        <v>3</v>
      </c>
      <c r="H39" s="264">
        <f t="shared" si="2"/>
        <v>60</v>
      </c>
      <c r="I39" s="265"/>
      <c r="J39" s="266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88" t="s">
        <v>76</v>
      </c>
      <c r="B40" s="30" t="s">
        <v>66</v>
      </c>
      <c r="C40" s="70">
        <v>6</v>
      </c>
      <c r="D40" s="15">
        <f>C40*111</f>
        <v>666</v>
      </c>
      <c r="E40" s="9"/>
      <c r="F40" s="15">
        <v>10</v>
      </c>
      <c r="G40" s="46"/>
      <c r="H40" s="264"/>
      <c r="I40" s="265"/>
      <c r="J40" s="266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89"/>
      <c r="B41" s="30" t="s">
        <v>68</v>
      </c>
      <c r="C41" s="53">
        <v>1</v>
      </c>
      <c r="D41" s="15">
        <f>C41*84</f>
        <v>84</v>
      </c>
      <c r="E41" s="9"/>
      <c r="F41" s="15">
        <v>5</v>
      </c>
      <c r="G41" s="46"/>
      <c r="H41" s="264"/>
      <c r="I41" s="265"/>
      <c r="J41" s="266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90"/>
      <c r="B42" s="30" t="s">
        <v>70</v>
      </c>
      <c r="C42" s="71">
        <v>7</v>
      </c>
      <c r="D42" s="15">
        <f>C42*2.25</f>
        <v>15.75</v>
      </c>
      <c r="E42" s="9"/>
      <c r="F42" s="43" t="s">
        <v>79</v>
      </c>
      <c r="G42" s="264">
        <v>180</v>
      </c>
      <c r="H42" s="265"/>
      <c r="I42" s="265"/>
      <c r="J42" s="266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67" t="s">
        <v>81</v>
      </c>
      <c r="C43" s="71"/>
      <c r="D43" s="15"/>
      <c r="E43" s="9"/>
      <c r="F43" s="65" t="s">
        <v>82</v>
      </c>
      <c r="G43" s="98" t="s">
        <v>83</v>
      </c>
      <c r="H43" s="270" t="s">
        <v>13</v>
      </c>
      <c r="I43" s="271"/>
      <c r="J43" s="272"/>
      <c r="K43" s="24"/>
      <c r="P43" s="4"/>
      <c r="Q43" s="4"/>
      <c r="R43" s="5"/>
    </row>
    <row r="44" spans="1:18" ht="15.75" x14ac:dyDescent="0.25">
      <c r="A44" s="268"/>
      <c r="B44" s="30" t="s">
        <v>66</v>
      </c>
      <c r="C44" s="53">
        <v>1</v>
      </c>
      <c r="D44" s="15">
        <f>C44*120</f>
        <v>120</v>
      </c>
      <c r="E44" s="9"/>
      <c r="F44" s="41"/>
      <c r="G44" s="69"/>
      <c r="H44" s="255"/>
      <c r="I44" s="255"/>
      <c r="J44" s="255"/>
      <c r="K44" s="24"/>
      <c r="P44" s="4"/>
      <c r="Q44" s="4"/>
      <c r="R44" s="5"/>
    </row>
    <row r="45" spans="1:18" ht="15.75" x14ac:dyDescent="0.25">
      <c r="A45" s="268"/>
      <c r="B45" s="30" t="s">
        <v>68</v>
      </c>
      <c r="C45" s="90">
        <v>3</v>
      </c>
      <c r="D45" s="15">
        <f>C45*84</f>
        <v>252</v>
      </c>
      <c r="E45" s="9"/>
      <c r="F45" s="41"/>
      <c r="G45" s="69"/>
      <c r="H45" s="255"/>
      <c r="I45" s="255"/>
      <c r="J45" s="255"/>
      <c r="K45" s="24"/>
      <c r="P45" s="4"/>
      <c r="Q45" s="4"/>
      <c r="R45" s="5"/>
    </row>
    <row r="46" spans="1:18" ht="15.75" x14ac:dyDescent="0.25">
      <c r="A46" s="268"/>
      <c r="B46" s="54" t="s">
        <v>70</v>
      </c>
      <c r="C46" s="91">
        <v>12</v>
      </c>
      <c r="D46" s="15">
        <f>C46*1.5</f>
        <v>18</v>
      </c>
      <c r="E46" s="9"/>
      <c r="F46" s="41"/>
      <c r="G46" s="99"/>
      <c r="H46" s="306"/>
      <c r="I46" s="306"/>
      <c r="J46" s="306"/>
      <c r="K46" s="24"/>
      <c r="P46" s="4"/>
      <c r="Q46" s="4"/>
      <c r="R46" s="5"/>
    </row>
    <row r="47" spans="1:18" ht="15.75" x14ac:dyDescent="0.25">
      <c r="A47" s="269"/>
      <c r="B47" s="30"/>
      <c r="C47" s="71"/>
      <c r="D47" s="15"/>
      <c r="E47" s="9"/>
      <c r="F47" s="65"/>
      <c r="G47" s="65"/>
      <c r="H47" s="273"/>
      <c r="I47" s="274"/>
      <c r="J47" s="275"/>
      <c r="K47" s="24"/>
      <c r="P47" s="4"/>
      <c r="Q47" s="4"/>
      <c r="R47" s="5"/>
    </row>
    <row r="48" spans="1:18" ht="15" customHeight="1" x14ac:dyDescent="0.25">
      <c r="A48" s="267" t="s">
        <v>32</v>
      </c>
      <c r="B48" s="30" t="s">
        <v>66</v>
      </c>
      <c r="C48" s="53">
        <v>9</v>
      </c>
      <c r="D48" s="15">
        <f>C48*78</f>
        <v>702</v>
      </c>
      <c r="E48" s="9"/>
      <c r="F48" s="65"/>
      <c r="G48" s="65"/>
      <c r="H48" s="273"/>
      <c r="I48" s="274"/>
      <c r="J48" s="275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68"/>
      <c r="B49" s="32" t="s">
        <v>68</v>
      </c>
      <c r="C49" s="90">
        <v>1</v>
      </c>
      <c r="D49" s="15">
        <f>C49*42</f>
        <v>42</v>
      </c>
      <c r="E49" s="9"/>
      <c r="F49" s="288" t="s">
        <v>86</v>
      </c>
      <c r="G49" s="240">
        <f>H34+H35+H36+H37+H38+H39+H40+H41+G42+H44+H45+H46</f>
        <v>187040</v>
      </c>
      <c r="H49" s="241"/>
      <c r="I49" s="241"/>
      <c r="J49" s="242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68"/>
      <c r="B50" s="35" t="s">
        <v>70</v>
      </c>
      <c r="C50" s="71">
        <v>36</v>
      </c>
      <c r="D50" s="15">
        <f>C50*1.5</f>
        <v>54</v>
      </c>
      <c r="E50" s="9"/>
      <c r="F50" s="289"/>
      <c r="G50" s="243"/>
      <c r="H50" s="244"/>
      <c r="I50" s="244"/>
      <c r="J50" s="245"/>
      <c r="K50" s="9"/>
      <c r="P50" s="4"/>
      <c r="Q50" s="4"/>
      <c r="R50" s="5"/>
    </row>
    <row r="51" spans="1:18" ht="15" customHeight="1" x14ac:dyDescent="0.25">
      <c r="A51" s="268"/>
      <c r="B51" s="30"/>
      <c r="C51" s="13"/>
      <c r="D51" s="34"/>
      <c r="E51" s="9"/>
      <c r="F51" s="290" t="s">
        <v>157</v>
      </c>
      <c r="G51" s="314">
        <f>G49-H29</f>
        <v>-463.75</v>
      </c>
      <c r="H51" s="315"/>
      <c r="I51" s="315"/>
      <c r="J51" s="316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68"/>
      <c r="B52" s="32"/>
      <c r="C52" s="36"/>
      <c r="D52" s="49"/>
      <c r="E52" s="9"/>
      <c r="F52" s="291"/>
      <c r="G52" s="317"/>
      <c r="H52" s="318"/>
      <c r="I52" s="318"/>
      <c r="J52" s="319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69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236" t="s">
        <v>90</v>
      </c>
      <c r="B54" s="276"/>
      <c r="C54" s="277"/>
      <c r="D54" s="280">
        <f>SUM(D34:D53)</f>
        <v>30680.25</v>
      </c>
      <c r="E54" s="9"/>
      <c r="F54" s="24"/>
      <c r="G54" s="9"/>
      <c r="H54" s="9"/>
      <c r="I54" s="9"/>
      <c r="J54" s="37"/>
    </row>
    <row r="55" spans="1:18" x14ac:dyDescent="0.25">
      <c r="A55" s="238"/>
      <c r="B55" s="278"/>
      <c r="C55" s="279"/>
      <c r="D55" s="281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136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282" t="s">
        <v>91</v>
      </c>
      <c r="B58" s="283"/>
      <c r="C58" s="283"/>
      <c r="D58" s="284"/>
      <c r="E58" s="9"/>
      <c r="F58" s="282" t="s">
        <v>92</v>
      </c>
      <c r="G58" s="283"/>
      <c r="H58" s="283"/>
      <c r="I58" s="283"/>
      <c r="J58" s="284"/>
    </row>
    <row r="59" spans="1:18" x14ac:dyDescent="0.25">
      <c r="A59" s="285"/>
      <c r="B59" s="286"/>
      <c r="C59" s="286"/>
      <c r="D59" s="287"/>
      <c r="E59" s="9"/>
      <c r="F59" s="285"/>
      <c r="G59" s="286"/>
      <c r="H59" s="286"/>
      <c r="I59" s="286"/>
      <c r="J59" s="287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7640FC-9D5B-4C7C-9645-AA3645A5B523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s="8" t="s">
        <v>0</v>
      </c>
      <c r="B1" s="8"/>
      <c r="C1" s="8"/>
      <c r="D1" s="8"/>
      <c r="N1" s="174" t="s">
        <v>1</v>
      </c>
      <c r="O1" s="174"/>
      <c r="P1" s="100" t="s">
        <v>2</v>
      </c>
      <c r="Q1" s="100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75" t="s">
        <v>7</v>
      </c>
      <c r="B4" s="176"/>
      <c r="C4" s="176"/>
      <c r="D4" s="177"/>
      <c r="E4" s="9"/>
      <c r="F4" s="178" t="s">
        <v>8</v>
      </c>
      <c r="G4" s="180">
        <v>3</v>
      </c>
      <c r="H4" s="182" t="s">
        <v>9</v>
      </c>
      <c r="I4" s="184">
        <v>45780</v>
      </c>
      <c r="J4" s="185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88" t="s">
        <v>7</v>
      </c>
      <c r="B5" s="18" t="s">
        <v>11</v>
      </c>
      <c r="C5" s="12" t="s">
        <v>12</v>
      </c>
      <c r="D5" s="28" t="s">
        <v>13</v>
      </c>
      <c r="E5" s="9"/>
      <c r="F5" s="179"/>
      <c r="G5" s="181"/>
      <c r="H5" s="183"/>
      <c r="I5" s="186"/>
      <c r="J5" s="187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89"/>
      <c r="B6" s="19" t="s">
        <v>15</v>
      </c>
      <c r="C6" s="53">
        <v>304</v>
      </c>
      <c r="D6" s="16">
        <f t="shared" ref="D6:D28" si="1">C6*L6</f>
        <v>224048</v>
      </c>
      <c r="E6" s="9"/>
      <c r="F6" s="191" t="s">
        <v>16</v>
      </c>
      <c r="G6" s="193" t="s">
        <v>111</v>
      </c>
      <c r="H6" s="194"/>
      <c r="I6" s="194"/>
      <c r="J6" s="195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89"/>
      <c r="B7" s="19" t="s">
        <v>18</v>
      </c>
      <c r="C7" s="53">
        <v>13</v>
      </c>
      <c r="D7" s="16">
        <f t="shared" si="1"/>
        <v>9425</v>
      </c>
      <c r="E7" s="9"/>
      <c r="F7" s="192"/>
      <c r="G7" s="196"/>
      <c r="H7" s="197"/>
      <c r="I7" s="197"/>
      <c r="J7" s="198"/>
      <c r="K7" s="10"/>
      <c r="L7" s="6">
        <f>R41</f>
        <v>725</v>
      </c>
      <c r="P7" s="4"/>
      <c r="Q7" s="4"/>
      <c r="R7" s="5"/>
    </row>
    <row r="8" spans="1:19" ht="14.45" customHeight="1" x14ac:dyDescent="0.25">
      <c r="A8" s="189"/>
      <c r="B8" s="19" t="s">
        <v>20</v>
      </c>
      <c r="C8" s="53"/>
      <c r="D8" s="16">
        <f t="shared" si="1"/>
        <v>0</v>
      </c>
      <c r="E8" s="9"/>
      <c r="F8" s="199" t="s">
        <v>21</v>
      </c>
      <c r="G8" s="201" t="s">
        <v>122</v>
      </c>
      <c r="H8" s="202"/>
      <c r="I8" s="202"/>
      <c r="J8" s="203"/>
      <c r="K8" s="10"/>
      <c r="L8" s="6">
        <f>R40</f>
        <v>1033</v>
      </c>
      <c r="P8" s="4"/>
      <c r="Q8" s="4"/>
      <c r="R8" s="5"/>
    </row>
    <row r="9" spans="1:19" ht="14.45" customHeight="1" x14ac:dyDescent="0.25">
      <c r="A9" s="189"/>
      <c r="B9" s="19" t="s">
        <v>23</v>
      </c>
      <c r="C9" s="53">
        <v>36</v>
      </c>
      <c r="D9" s="16">
        <f t="shared" si="1"/>
        <v>25452</v>
      </c>
      <c r="E9" s="9"/>
      <c r="F9" s="192"/>
      <c r="G9" s="204"/>
      <c r="H9" s="205"/>
      <c r="I9" s="205"/>
      <c r="J9" s="206"/>
      <c r="K9" s="10"/>
      <c r="L9" s="6">
        <f>R38</f>
        <v>707</v>
      </c>
      <c r="P9" s="4"/>
      <c r="Q9" s="4"/>
      <c r="R9" s="5"/>
    </row>
    <row r="10" spans="1:19" ht="14.45" customHeight="1" x14ac:dyDescent="0.25">
      <c r="A10" s="189"/>
      <c r="B10" s="11" t="s">
        <v>25</v>
      </c>
      <c r="C10" s="53">
        <v>3</v>
      </c>
      <c r="D10" s="16">
        <f t="shared" si="1"/>
        <v>2916</v>
      </c>
      <c r="E10" s="9"/>
      <c r="F10" s="191" t="s">
        <v>26</v>
      </c>
      <c r="G10" s="207" t="s">
        <v>123</v>
      </c>
      <c r="H10" s="208"/>
      <c r="I10" s="208"/>
      <c r="J10" s="209"/>
      <c r="K10" s="10"/>
      <c r="L10" s="6">
        <f>R36</f>
        <v>972</v>
      </c>
      <c r="P10" s="4"/>
      <c r="Q10" s="4"/>
      <c r="R10" s="5"/>
    </row>
    <row r="11" spans="1:19" ht="15.75" x14ac:dyDescent="0.25">
      <c r="A11" s="189"/>
      <c r="B11" s="20" t="s">
        <v>28</v>
      </c>
      <c r="C11" s="53">
        <v>2</v>
      </c>
      <c r="D11" s="16">
        <f t="shared" si="1"/>
        <v>2250</v>
      </c>
      <c r="E11" s="9"/>
      <c r="F11" s="192"/>
      <c r="G11" s="204"/>
      <c r="H11" s="205"/>
      <c r="I11" s="205"/>
      <c r="J11" s="206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89"/>
      <c r="B12" s="20" t="s">
        <v>30</v>
      </c>
      <c r="C12" s="53">
        <f>3</f>
        <v>3</v>
      </c>
      <c r="D12" s="52">
        <f t="shared" si="1"/>
        <v>2856</v>
      </c>
      <c r="E12" s="9"/>
      <c r="F12" s="210" t="s">
        <v>33</v>
      </c>
      <c r="G12" s="211"/>
      <c r="H12" s="211"/>
      <c r="I12" s="211"/>
      <c r="J12" s="212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89"/>
      <c r="B13" s="20" t="s">
        <v>32</v>
      </c>
      <c r="C13" s="53">
        <v>14</v>
      </c>
      <c r="D13" s="52">
        <f t="shared" si="1"/>
        <v>4298</v>
      </c>
      <c r="E13" s="9"/>
      <c r="F13" s="213" t="s">
        <v>36</v>
      </c>
      <c r="G13" s="214"/>
      <c r="H13" s="215">
        <f>D29</f>
        <v>278013</v>
      </c>
      <c r="I13" s="216"/>
      <c r="J13" s="217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89"/>
      <c r="B14" s="17" t="s">
        <v>35</v>
      </c>
      <c r="C14" s="53">
        <v>18</v>
      </c>
      <c r="D14" s="34">
        <f t="shared" si="1"/>
        <v>198</v>
      </c>
      <c r="E14" s="9"/>
      <c r="F14" s="218" t="s">
        <v>39</v>
      </c>
      <c r="G14" s="219"/>
      <c r="H14" s="220">
        <f>D54</f>
        <v>42398.25</v>
      </c>
      <c r="I14" s="221"/>
      <c r="J14" s="222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89"/>
      <c r="B15" s="17" t="s">
        <v>38</v>
      </c>
      <c r="C15" s="53"/>
      <c r="D15" s="34">
        <f t="shared" si="1"/>
        <v>0</v>
      </c>
      <c r="E15" s="9"/>
      <c r="F15" s="223" t="s">
        <v>40</v>
      </c>
      <c r="G15" s="214"/>
      <c r="H15" s="224">
        <f>H13-H14</f>
        <v>235614.75</v>
      </c>
      <c r="I15" s="225"/>
      <c r="J15" s="226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89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227">
        <f>402+996+186</f>
        <v>1584</v>
      </c>
      <c r="I16" s="227"/>
      <c r="J16" s="22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89"/>
      <c r="B17" s="11" t="s">
        <v>114</v>
      </c>
      <c r="C17" s="53"/>
      <c r="D17" s="52">
        <f t="shared" si="1"/>
        <v>0</v>
      </c>
      <c r="E17" s="9"/>
      <c r="F17" s="62"/>
      <c r="G17" s="74" t="s">
        <v>45</v>
      </c>
      <c r="H17" s="200"/>
      <c r="I17" s="200"/>
      <c r="J17" s="200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89"/>
      <c r="B18" s="22" t="s">
        <v>95</v>
      </c>
      <c r="C18" s="53">
        <v>3</v>
      </c>
      <c r="D18" s="52">
        <f t="shared" si="1"/>
        <v>1860</v>
      </c>
      <c r="E18" s="9"/>
      <c r="F18" s="62"/>
      <c r="G18" s="74" t="s">
        <v>47</v>
      </c>
      <c r="H18" s="200"/>
      <c r="I18" s="200"/>
      <c r="J18" s="200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89"/>
      <c r="B19" s="17" t="s">
        <v>118</v>
      </c>
      <c r="C19" s="53"/>
      <c r="D19" s="52">
        <f t="shared" si="1"/>
        <v>0</v>
      </c>
      <c r="E19" s="9"/>
      <c r="F19" s="62"/>
      <c r="G19" s="76" t="s">
        <v>50</v>
      </c>
      <c r="H19" s="313"/>
      <c r="I19" s="313"/>
      <c r="J19" s="313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89"/>
      <c r="B20" s="50" t="s">
        <v>108</v>
      </c>
      <c r="C20" s="53"/>
      <c r="D20" s="16">
        <f t="shared" si="1"/>
        <v>0</v>
      </c>
      <c r="E20" s="9"/>
      <c r="F20" s="63"/>
      <c r="G20" s="78" t="s">
        <v>124</v>
      </c>
      <c r="H20" s="227">
        <f>626</f>
        <v>626</v>
      </c>
      <c r="I20" s="227"/>
      <c r="J20" s="227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89"/>
      <c r="B21" s="17" t="s">
        <v>130</v>
      </c>
      <c r="C21" s="53"/>
      <c r="D21" s="52">
        <f t="shared" si="1"/>
        <v>0</v>
      </c>
      <c r="E21" s="9"/>
      <c r="F21" s="77" t="s">
        <v>99</v>
      </c>
      <c r="G21" s="92" t="s">
        <v>98</v>
      </c>
      <c r="H21" s="246" t="s">
        <v>13</v>
      </c>
      <c r="I21" s="247"/>
      <c r="J21" s="248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89"/>
      <c r="B22" s="50" t="s">
        <v>104</v>
      </c>
      <c r="C22" s="53"/>
      <c r="D22" s="52">
        <f t="shared" si="1"/>
        <v>0</v>
      </c>
      <c r="E22" s="9"/>
      <c r="F22" s="85"/>
      <c r="G22" s="81"/>
      <c r="H22" s="249"/>
      <c r="I22" s="249"/>
      <c r="J22" s="249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89"/>
      <c r="B23" s="17" t="s">
        <v>107</v>
      </c>
      <c r="C23" s="53"/>
      <c r="D23" s="52">
        <f t="shared" si="1"/>
        <v>0</v>
      </c>
      <c r="E23" s="9"/>
      <c r="F23" s="86"/>
      <c r="G23" s="87"/>
      <c r="H23" s="299"/>
      <c r="I23" s="255"/>
      <c r="J23" s="255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89"/>
      <c r="B24" s="17" t="s">
        <v>101</v>
      </c>
      <c r="C24" s="53"/>
      <c r="D24" s="52">
        <f t="shared" si="1"/>
        <v>0</v>
      </c>
      <c r="E24" s="9"/>
      <c r="F24" s="42"/>
      <c r="G24" s="41"/>
      <c r="H24" s="299"/>
      <c r="I24" s="255"/>
      <c r="J24" s="255"/>
      <c r="L24" s="51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89"/>
      <c r="B25" s="17" t="s">
        <v>117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52" t="s">
        <v>13</v>
      </c>
      <c r="I25" s="253"/>
      <c r="J25" s="254"/>
      <c r="L25" s="51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89"/>
      <c r="B26" s="17" t="s">
        <v>105</v>
      </c>
      <c r="C26" s="53"/>
      <c r="D26" s="52">
        <f t="shared" si="1"/>
        <v>0</v>
      </c>
      <c r="E26" s="9"/>
      <c r="F26" s="72"/>
      <c r="G26" s="65"/>
      <c r="H26" s="300"/>
      <c r="I26" s="301"/>
      <c r="J26" s="302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89"/>
      <c r="B27" s="17" t="s">
        <v>109</v>
      </c>
      <c r="C27" s="53"/>
      <c r="D27" s="48">
        <f t="shared" si="1"/>
        <v>0</v>
      </c>
      <c r="E27" s="9"/>
      <c r="F27" s="88"/>
      <c r="G27" s="89"/>
      <c r="H27" s="303"/>
      <c r="I27" s="304"/>
      <c r="J27" s="305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90"/>
      <c r="B28" s="50" t="s">
        <v>97</v>
      </c>
      <c r="C28" s="53">
        <v>6</v>
      </c>
      <c r="D28" s="52">
        <f t="shared" si="1"/>
        <v>4710</v>
      </c>
      <c r="E28" s="9"/>
      <c r="F28" s="60"/>
      <c r="G28" s="68"/>
      <c r="H28" s="258"/>
      <c r="I28" s="259"/>
      <c r="J28" s="260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28" t="s">
        <v>36</v>
      </c>
      <c r="B29" s="229"/>
      <c r="C29" s="230"/>
      <c r="D29" s="234">
        <f>SUM(D6:D28)</f>
        <v>278013</v>
      </c>
      <c r="E29" s="9"/>
      <c r="F29" s="236" t="s">
        <v>55</v>
      </c>
      <c r="G29" s="237"/>
      <c r="H29" s="240">
        <f>H15-H16-H17-H18-H19-H20-H22-H23-H24+H26+H27</f>
        <v>233404.75</v>
      </c>
      <c r="I29" s="241"/>
      <c r="J29" s="242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231"/>
      <c r="B30" s="232"/>
      <c r="C30" s="233"/>
      <c r="D30" s="235"/>
      <c r="E30" s="9"/>
      <c r="F30" s="238"/>
      <c r="G30" s="239"/>
      <c r="H30" s="243"/>
      <c r="I30" s="244"/>
      <c r="J30" s="245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5" t="s">
        <v>58</v>
      </c>
      <c r="B32" s="176"/>
      <c r="C32" s="176"/>
      <c r="D32" s="177"/>
      <c r="E32" s="11"/>
      <c r="F32" s="261" t="s">
        <v>59</v>
      </c>
      <c r="G32" s="262"/>
      <c r="H32" s="262"/>
      <c r="I32" s="262"/>
      <c r="J32" s="263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01" t="s">
        <v>63</v>
      </c>
      <c r="H33" s="261" t="s">
        <v>13</v>
      </c>
      <c r="I33" s="262"/>
      <c r="J33" s="263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88" t="s">
        <v>65</v>
      </c>
      <c r="B34" s="29" t="s">
        <v>66</v>
      </c>
      <c r="C34" s="56">
        <v>3</v>
      </c>
      <c r="D34" s="33">
        <f>C34*120</f>
        <v>360</v>
      </c>
      <c r="E34" s="9"/>
      <c r="F34" s="15">
        <v>1000</v>
      </c>
      <c r="G34" s="82">
        <v>121</v>
      </c>
      <c r="H34" s="264">
        <f>F34*G34</f>
        <v>121000</v>
      </c>
      <c r="I34" s="265"/>
      <c r="J34" s="266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89"/>
      <c r="B35" s="30" t="s">
        <v>68</v>
      </c>
      <c r="C35" s="57"/>
      <c r="D35" s="33">
        <f>C35*84</f>
        <v>0</v>
      </c>
      <c r="E35" s="9"/>
      <c r="F35" s="64">
        <v>500</v>
      </c>
      <c r="G35" s="45">
        <v>20</v>
      </c>
      <c r="H35" s="264">
        <f>F35*G35</f>
        <v>10000</v>
      </c>
      <c r="I35" s="265"/>
      <c r="J35" s="266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90"/>
      <c r="B36" s="29" t="s">
        <v>70</v>
      </c>
      <c r="C36" s="53"/>
      <c r="D36" s="15">
        <f>C36*1.5</f>
        <v>0</v>
      </c>
      <c r="E36" s="9"/>
      <c r="F36" s="15">
        <v>200</v>
      </c>
      <c r="G36" s="41"/>
      <c r="H36" s="264">
        <f t="shared" ref="H36:H39" si="2">F36*G36</f>
        <v>0</v>
      </c>
      <c r="I36" s="265"/>
      <c r="J36" s="266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88" t="s">
        <v>72</v>
      </c>
      <c r="B37" s="31" t="s">
        <v>66</v>
      </c>
      <c r="C37" s="58">
        <v>349</v>
      </c>
      <c r="D37" s="15">
        <f>C37*111</f>
        <v>38739</v>
      </c>
      <c r="E37" s="9"/>
      <c r="F37" s="15">
        <v>100</v>
      </c>
      <c r="G37" s="43">
        <v>5</v>
      </c>
      <c r="H37" s="264">
        <f t="shared" si="2"/>
        <v>500</v>
      </c>
      <c r="I37" s="265"/>
      <c r="J37" s="266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89"/>
      <c r="B38" s="32" t="s">
        <v>68</v>
      </c>
      <c r="C38" s="59">
        <v>1</v>
      </c>
      <c r="D38" s="15">
        <f>C38*84</f>
        <v>84</v>
      </c>
      <c r="E38" s="9"/>
      <c r="F38" s="33">
        <v>50</v>
      </c>
      <c r="G38" s="43">
        <v>4</v>
      </c>
      <c r="H38" s="264">
        <f t="shared" si="2"/>
        <v>200</v>
      </c>
      <c r="I38" s="265"/>
      <c r="J38" s="266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90"/>
      <c r="B39" s="32" t="s">
        <v>70</v>
      </c>
      <c r="C39" s="57">
        <v>4</v>
      </c>
      <c r="D39" s="34">
        <f>C39*4.5</f>
        <v>18</v>
      </c>
      <c r="E39" s="9"/>
      <c r="F39" s="15">
        <v>20</v>
      </c>
      <c r="G39" s="41">
        <v>1</v>
      </c>
      <c r="H39" s="264">
        <f t="shared" si="2"/>
        <v>20</v>
      </c>
      <c r="I39" s="265"/>
      <c r="J39" s="266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88" t="s">
        <v>76</v>
      </c>
      <c r="B40" s="30" t="s">
        <v>66</v>
      </c>
      <c r="C40" s="70">
        <v>8</v>
      </c>
      <c r="D40" s="15">
        <f>C40*111</f>
        <v>888</v>
      </c>
      <c r="E40" s="9"/>
      <c r="F40" s="15">
        <v>10</v>
      </c>
      <c r="G40" s="46"/>
      <c r="H40" s="264"/>
      <c r="I40" s="265"/>
      <c r="J40" s="266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89"/>
      <c r="B41" s="30" t="s">
        <v>68</v>
      </c>
      <c r="C41" s="53">
        <v>1</v>
      </c>
      <c r="D41" s="15">
        <f>C41*84</f>
        <v>84</v>
      </c>
      <c r="E41" s="9"/>
      <c r="F41" s="15">
        <v>5</v>
      </c>
      <c r="G41" s="46"/>
      <c r="H41" s="264"/>
      <c r="I41" s="265"/>
      <c r="J41" s="266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90"/>
      <c r="B42" s="30" t="s">
        <v>70</v>
      </c>
      <c r="C42" s="71">
        <v>9</v>
      </c>
      <c r="D42" s="15">
        <f>C42*2.25</f>
        <v>20.25</v>
      </c>
      <c r="E42" s="9"/>
      <c r="F42" s="43" t="s">
        <v>79</v>
      </c>
      <c r="G42" s="264">
        <v>47</v>
      </c>
      <c r="H42" s="265"/>
      <c r="I42" s="265"/>
      <c r="J42" s="266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67" t="s">
        <v>81</v>
      </c>
      <c r="C43" s="71"/>
      <c r="D43" s="15"/>
      <c r="E43" s="9"/>
      <c r="F43" s="65" t="s">
        <v>82</v>
      </c>
      <c r="G43" s="98" t="s">
        <v>83</v>
      </c>
      <c r="H43" s="270" t="s">
        <v>13</v>
      </c>
      <c r="I43" s="271"/>
      <c r="J43" s="272"/>
      <c r="K43" s="24"/>
      <c r="P43" s="4"/>
      <c r="Q43" s="4"/>
      <c r="R43" s="5"/>
    </row>
    <row r="44" spans="1:18" ht="15.75" x14ac:dyDescent="0.25">
      <c r="A44" s="268"/>
      <c r="B44" s="30" t="s">
        <v>66</v>
      </c>
      <c r="C44" s="53">
        <v>6</v>
      </c>
      <c r="D44" s="15">
        <f>C44*120</f>
        <v>720</v>
      </c>
      <c r="E44" s="9"/>
      <c r="F44" s="41" t="s">
        <v>154</v>
      </c>
      <c r="G44" s="84" t="s">
        <v>155</v>
      </c>
      <c r="H44" s="255">
        <v>101536</v>
      </c>
      <c r="I44" s="255"/>
      <c r="J44" s="255"/>
      <c r="K44" s="24"/>
      <c r="P44" s="4"/>
      <c r="Q44" s="4"/>
      <c r="R44" s="5"/>
    </row>
    <row r="45" spans="1:18" ht="15.75" x14ac:dyDescent="0.25">
      <c r="A45" s="268"/>
      <c r="B45" s="30" t="s">
        <v>68</v>
      </c>
      <c r="C45" s="90"/>
      <c r="D45" s="15">
        <f>C45*84</f>
        <v>0</v>
      </c>
      <c r="E45" s="9"/>
      <c r="F45" s="41"/>
      <c r="G45" s="84"/>
      <c r="H45" s="255"/>
      <c r="I45" s="255"/>
      <c r="J45" s="255"/>
      <c r="K45" s="24"/>
      <c r="P45" s="4"/>
      <c r="Q45" s="4"/>
      <c r="R45" s="5"/>
    </row>
    <row r="46" spans="1:18" ht="15.75" x14ac:dyDescent="0.25">
      <c r="A46" s="268"/>
      <c r="B46" s="54" t="s">
        <v>70</v>
      </c>
      <c r="C46" s="91">
        <v>14</v>
      </c>
      <c r="D46" s="15">
        <f>C46*1.5</f>
        <v>21</v>
      </c>
      <c r="E46" s="9"/>
      <c r="F46" s="41"/>
      <c r="G46" s="69"/>
      <c r="H46" s="306"/>
      <c r="I46" s="306"/>
      <c r="J46" s="306"/>
      <c r="K46" s="24"/>
      <c r="P46" s="4"/>
      <c r="Q46" s="4"/>
      <c r="R46" s="5"/>
    </row>
    <row r="47" spans="1:18" ht="15.75" x14ac:dyDescent="0.25">
      <c r="A47" s="269"/>
      <c r="B47" s="30"/>
      <c r="C47" s="71"/>
      <c r="D47" s="15"/>
      <c r="E47" s="9"/>
      <c r="F47" s="65"/>
      <c r="G47" s="65"/>
      <c r="H47" s="273"/>
      <c r="I47" s="274"/>
      <c r="J47" s="275"/>
      <c r="K47" s="24"/>
      <c r="P47" s="4"/>
      <c r="Q47" s="4"/>
      <c r="R47" s="5"/>
    </row>
    <row r="48" spans="1:18" ht="15" customHeight="1" x14ac:dyDescent="0.25">
      <c r="A48" s="267" t="s">
        <v>32</v>
      </c>
      <c r="B48" s="30" t="s">
        <v>66</v>
      </c>
      <c r="C48" s="53">
        <v>12</v>
      </c>
      <c r="D48" s="15">
        <f>C48*78</f>
        <v>936</v>
      </c>
      <c r="E48" s="9"/>
      <c r="F48" s="65"/>
      <c r="G48" s="65"/>
      <c r="H48" s="273"/>
      <c r="I48" s="274"/>
      <c r="J48" s="275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68"/>
      <c r="B49" s="32" t="s">
        <v>68</v>
      </c>
      <c r="C49" s="90">
        <v>12</v>
      </c>
      <c r="D49" s="15">
        <f>C49*42</f>
        <v>504</v>
      </c>
      <c r="E49" s="9"/>
      <c r="F49" s="288" t="s">
        <v>86</v>
      </c>
      <c r="G49" s="240">
        <f>H34+H35+H36+H37+H38+H39+H40+H41+G42+H44+H45+H46</f>
        <v>233303</v>
      </c>
      <c r="H49" s="241"/>
      <c r="I49" s="241"/>
      <c r="J49" s="242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68"/>
      <c r="B50" s="35" t="s">
        <v>70</v>
      </c>
      <c r="C50" s="71">
        <v>16</v>
      </c>
      <c r="D50" s="15">
        <f>C50*1.5</f>
        <v>24</v>
      </c>
      <c r="E50" s="9"/>
      <c r="F50" s="289"/>
      <c r="G50" s="243"/>
      <c r="H50" s="244"/>
      <c r="I50" s="244"/>
      <c r="J50" s="245"/>
      <c r="K50" s="9"/>
      <c r="P50" s="4"/>
      <c r="Q50" s="4"/>
      <c r="R50" s="5"/>
    </row>
    <row r="51" spans="1:18" ht="15" customHeight="1" x14ac:dyDescent="0.25">
      <c r="A51" s="268"/>
      <c r="B51" s="30"/>
      <c r="C51" s="53"/>
      <c r="D51" s="34"/>
      <c r="E51" s="9"/>
      <c r="F51" s="290" t="s">
        <v>135</v>
      </c>
      <c r="G51" s="314">
        <f>G49-H29</f>
        <v>-101.75</v>
      </c>
      <c r="H51" s="315"/>
      <c r="I51" s="315"/>
      <c r="J51" s="316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68"/>
      <c r="B52" s="32"/>
      <c r="C52" s="36"/>
      <c r="D52" s="49"/>
      <c r="E52" s="9"/>
      <c r="F52" s="291"/>
      <c r="G52" s="317"/>
      <c r="H52" s="318"/>
      <c r="I52" s="318"/>
      <c r="J52" s="319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69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236" t="s">
        <v>90</v>
      </c>
      <c r="B54" s="276"/>
      <c r="C54" s="277"/>
      <c r="D54" s="280">
        <f>SUM(D34:D53)</f>
        <v>42398.25</v>
      </c>
      <c r="E54" s="9"/>
      <c r="F54" s="24"/>
      <c r="G54" s="9"/>
      <c r="H54" s="9"/>
      <c r="I54" s="9"/>
      <c r="J54" s="37"/>
    </row>
    <row r="55" spans="1:18" x14ac:dyDescent="0.25">
      <c r="A55" s="238"/>
      <c r="B55" s="278"/>
      <c r="C55" s="279"/>
      <c r="D55" s="281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119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282" t="s">
        <v>91</v>
      </c>
      <c r="B58" s="283"/>
      <c r="C58" s="283"/>
      <c r="D58" s="284"/>
      <c r="E58" s="9"/>
      <c r="F58" s="282" t="s">
        <v>92</v>
      </c>
      <c r="G58" s="283"/>
      <c r="H58" s="283"/>
      <c r="I58" s="283"/>
      <c r="J58" s="284"/>
    </row>
    <row r="59" spans="1:18" x14ac:dyDescent="0.25">
      <c r="A59" s="285"/>
      <c r="B59" s="286"/>
      <c r="C59" s="286"/>
      <c r="D59" s="287"/>
      <c r="E59" s="9"/>
      <c r="F59" s="285"/>
      <c r="G59" s="286"/>
      <c r="H59" s="286"/>
      <c r="I59" s="286"/>
      <c r="J59" s="287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4372B-A276-4528-A168-0746169D67BA}">
  <dimension ref="A1"/>
  <sheetViews>
    <sheetView workbookViewId="0">
      <selection activeCell="I4" sqref="I4:J5"/>
    </sheetView>
  </sheetViews>
  <sheetFormatPr defaultRowHeight="15" x14ac:dyDescent="0.25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63DA3-6CA7-449F-BD1C-EFB7669DD4B2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174" t="s">
        <v>1</v>
      </c>
      <c r="O1" s="174"/>
      <c r="P1" s="104" t="s">
        <v>2</v>
      </c>
      <c r="Q1" s="104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75" t="s">
        <v>7</v>
      </c>
      <c r="B4" s="176"/>
      <c r="C4" s="176"/>
      <c r="D4" s="177"/>
      <c r="E4" s="9"/>
      <c r="F4" s="178" t="s">
        <v>8</v>
      </c>
      <c r="G4" s="180">
        <v>1</v>
      </c>
      <c r="H4" s="182" t="s">
        <v>9</v>
      </c>
      <c r="I4" s="184">
        <v>45782</v>
      </c>
      <c r="J4" s="185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88" t="s">
        <v>7</v>
      </c>
      <c r="B5" s="18" t="s">
        <v>11</v>
      </c>
      <c r="C5" s="12" t="s">
        <v>12</v>
      </c>
      <c r="D5" s="28" t="s">
        <v>13</v>
      </c>
      <c r="E5" s="9"/>
      <c r="F5" s="179"/>
      <c r="G5" s="181"/>
      <c r="H5" s="183"/>
      <c r="I5" s="186"/>
      <c r="J5" s="187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89"/>
      <c r="B6" s="19" t="s">
        <v>15</v>
      </c>
      <c r="C6" s="53">
        <v>148</v>
      </c>
      <c r="D6" s="16">
        <f t="shared" ref="D6:D28" si="1">C6*L6</f>
        <v>109076</v>
      </c>
      <c r="E6" s="9"/>
      <c r="F6" s="191" t="s">
        <v>16</v>
      </c>
      <c r="G6" s="193" t="s">
        <v>123</v>
      </c>
      <c r="H6" s="194"/>
      <c r="I6" s="194"/>
      <c r="J6" s="195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89"/>
      <c r="B7" s="19" t="s">
        <v>18</v>
      </c>
      <c r="C7" s="53">
        <v>9</v>
      </c>
      <c r="D7" s="16">
        <f t="shared" si="1"/>
        <v>6525</v>
      </c>
      <c r="E7" s="9"/>
      <c r="F7" s="192"/>
      <c r="G7" s="196"/>
      <c r="H7" s="197"/>
      <c r="I7" s="197"/>
      <c r="J7" s="198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189"/>
      <c r="B8" s="19" t="s">
        <v>20</v>
      </c>
      <c r="C8" s="53"/>
      <c r="D8" s="16">
        <f t="shared" si="1"/>
        <v>0</v>
      </c>
      <c r="E8" s="9"/>
      <c r="F8" s="199" t="s">
        <v>21</v>
      </c>
      <c r="G8" s="201" t="s">
        <v>113</v>
      </c>
      <c r="H8" s="202"/>
      <c r="I8" s="202"/>
      <c r="J8" s="203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189"/>
      <c r="B9" s="19" t="s">
        <v>23</v>
      </c>
      <c r="C9" s="53">
        <v>18</v>
      </c>
      <c r="D9" s="16">
        <f t="shared" si="1"/>
        <v>12726</v>
      </c>
      <c r="E9" s="9"/>
      <c r="F9" s="192"/>
      <c r="G9" s="204"/>
      <c r="H9" s="205"/>
      <c r="I9" s="205"/>
      <c r="J9" s="206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189"/>
      <c r="B10" s="11" t="s">
        <v>25</v>
      </c>
      <c r="C10" s="53"/>
      <c r="D10" s="16">
        <f t="shared" si="1"/>
        <v>0</v>
      </c>
      <c r="E10" s="9"/>
      <c r="F10" s="191" t="s">
        <v>26</v>
      </c>
      <c r="G10" s="207" t="s">
        <v>132</v>
      </c>
      <c r="H10" s="208"/>
      <c r="I10" s="208"/>
      <c r="J10" s="209"/>
      <c r="K10" s="10"/>
      <c r="L10" s="6">
        <f>R36</f>
        <v>972</v>
      </c>
      <c r="P10" s="4"/>
      <c r="Q10" s="4"/>
      <c r="R10" s="5"/>
    </row>
    <row r="11" spans="1:18" ht="15.75" x14ac:dyDescent="0.25">
      <c r="A11" s="189"/>
      <c r="B11" s="20" t="s">
        <v>28</v>
      </c>
      <c r="C11" s="53"/>
      <c r="D11" s="16">
        <f t="shared" si="1"/>
        <v>0</v>
      </c>
      <c r="E11" s="9"/>
      <c r="F11" s="192"/>
      <c r="G11" s="204"/>
      <c r="H11" s="205"/>
      <c r="I11" s="205"/>
      <c r="J11" s="206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89"/>
      <c r="B12" s="20" t="s">
        <v>30</v>
      </c>
      <c r="C12" s="53"/>
      <c r="D12" s="52">
        <f t="shared" si="1"/>
        <v>0</v>
      </c>
      <c r="E12" s="9"/>
      <c r="F12" s="210" t="s">
        <v>33</v>
      </c>
      <c r="G12" s="211"/>
      <c r="H12" s="211"/>
      <c r="I12" s="211"/>
      <c r="J12" s="212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89"/>
      <c r="B13" s="20" t="s">
        <v>32</v>
      </c>
      <c r="C13" s="53">
        <v>7</v>
      </c>
      <c r="D13" s="52">
        <f t="shared" si="1"/>
        <v>2149</v>
      </c>
      <c r="E13" s="9"/>
      <c r="F13" s="213" t="s">
        <v>36</v>
      </c>
      <c r="G13" s="214"/>
      <c r="H13" s="215">
        <f>D29</f>
        <v>138183.5</v>
      </c>
      <c r="I13" s="216"/>
      <c r="J13" s="217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89"/>
      <c r="B14" s="17" t="s">
        <v>35</v>
      </c>
      <c r="C14" s="53">
        <v>8</v>
      </c>
      <c r="D14" s="34">
        <f t="shared" si="1"/>
        <v>88</v>
      </c>
      <c r="E14" s="9"/>
      <c r="F14" s="218" t="s">
        <v>39</v>
      </c>
      <c r="G14" s="219"/>
      <c r="H14" s="220">
        <f>D54</f>
        <v>19722.75</v>
      </c>
      <c r="I14" s="221"/>
      <c r="J14" s="222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89"/>
      <c r="B15" s="17" t="s">
        <v>38</v>
      </c>
      <c r="C15" s="53"/>
      <c r="D15" s="34">
        <f t="shared" si="1"/>
        <v>0</v>
      </c>
      <c r="E15" s="9"/>
      <c r="F15" s="223" t="s">
        <v>40</v>
      </c>
      <c r="G15" s="214"/>
      <c r="H15" s="224">
        <f>H13-H14</f>
        <v>118460.75</v>
      </c>
      <c r="I15" s="225"/>
      <c r="J15" s="226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89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227"/>
      <c r="I16" s="227"/>
      <c r="J16" s="22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89"/>
      <c r="B17" s="11" t="s">
        <v>137</v>
      </c>
      <c r="C17" s="53"/>
      <c r="D17" s="52">
        <f t="shared" si="1"/>
        <v>0</v>
      </c>
      <c r="E17" s="9"/>
      <c r="F17" s="62"/>
      <c r="G17" s="74" t="s">
        <v>45</v>
      </c>
      <c r="H17" s="200"/>
      <c r="I17" s="200"/>
      <c r="J17" s="200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89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200"/>
      <c r="I18" s="200"/>
      <c r="J18" s="200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89"/>
      <c r="B19" s="17" t="s">
        <v>140</v>
      </c>
      <c r="C19" s="53"/>
      <c r="D19" s="52">
        <f t="shared" si="1"/>
        <v>0</v>
      </c>
      <c r="E19" s="9"/>
      <c r="F19" s="62"/>
      <c r="G19" s="76" t="s">
        <v>50</v>
      </c>
      <c r="H19" s="200"/>
      <c r="I19" s="200"/>
      <c r="J19" s="200"/>
      <c r="L19" s="6">
        <v>1102</v>
      </c>
      <c r="Q19" s="4"/>
      <c r="R19" s="5">
        <f t="shared" si="0"/>
        <v>0</v>
      </c>
    </row>
    <row r="20" spans="1:18" ht="15.75" x14ac:dyDescent="0.25">
      <c r="A20" s="189"/>
      <c r="B20" s="97" t="s">
        <v>146</v>
      </c>
      <c r="C20" s="53">
        <v>2</v>
      </c>
      <c r="D20" s="16">
        <f t="shared" si="1"/>
        <v>2350</v>
      </c>
      <c r="E20" s="9"/>
      <c r="F20" s="63"/>
      <c r="G20" s="78" t="s">
        <v>124</v>
      </c>
      <c r="H20" s="227"/>
      <c r="I20" s="227"/>
      <c r="J20" s="227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89"/>
      <c r="B21" s="17" t="s">
        <v>145</v>
      </c>
      <c r="C21" s="53">
        <f>1+2</f>
        <v>3</v>
      </c>
      <c r="D21" s="52">
        <f t="shared" si="1"/>
        <v>1950</v>
      </c>
      <c r="E21" s="9"/>
      <c r="F21" s="77" t="s">
        <v>99</v>
      </c>
      <c r="G21" s="92" t="s">
        <v>98</v>
      </c>
      <c r="H21" s="246" t="s">
        <v>13</v>
      </c>
      <c r="I21" s="247"/>
      <c r="J21" s="248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89"/>
      <c r="B22" s="50" t="s">
        <v>110</v>
      </c>
      <c r="C22" s="53"/>
      <c r="D22" s="52">
        <f t="shared" si="1"/>
        <v>0</v>
      </c>
      <c r="E22" s="9"/>
      <c r="F22" s="85"/>
      <c r="G22" s="81"/>
      <c r="H22" s="249"/>
      <c r="I22" s="249"/>
      <c r="J22" s="249"/>
      <c r="L22" s="7">
        <v>1142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89"/>
      <c r="B23" s="17" t="s">
        <v>125</v>
      </c>
      <c r="C23" s="53">
        <v>12</v>
      </c>
      <c r="D23" s="52">
        <f t="shared" si="1"/>
        <v>520.5</v>
      </c>
      <c r="E23" s="9"/>
      <c r="F23" s="85"/>
      <c r="G23" s="87"/>
      <c r="H23" s="250"/>
      <c r="I23" s="251"/>
      <c r="J23" s="251"/>
      <c r="L23" s="51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89"/>
      <c r="B24" s="17" t="s">
        <v>126</v>
      </c>
      <c r="C24" s="53"/>
      <c r="D24" s="52">
        <f t="shared" si="1"/>
        <v>0</v>
      </c>
      <c r="E24" s="9"/>
      <c r="F24" s="85"/>
      <c r="G24" s="87"/>
      <c r="H24" s="250"/>
      <c r="I24" s="251"/>
      <c r="J24" s="251"/>
      <c r="L24" s="51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89"/>
      <c r="B25" s="17" t="s">
        <v>121</v>
      </c>
      <c r="C25" s="53">
        <v>12</v>
      </c>
      <c r="D25" s="52">
        <f t="shared" si="1"/>
        <v>444</v>
      </c>
      <c r="E25" s="9"/>
      <c r="F25" s="66" t="s">
        <v>100</v>
      </c>
      <c r="G25" s="61" t="s">
        <v>98</v>
      </c>
      <c r="H25" s="252" t="s">
        <v>13</v>
      </c>
      <c r="I25" s="253"/>
      <c r="J25" s="254"/>
      <c r="L25" s="51">
        <f>852/24+1.5</f>
        <v>37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89"/>
      <c r="B26" s="17" t="s">
        <v>112</v>
      </c>
      <c r="C26" s="53"/>
      <c r="D26" s="52">
        <f t="shared" si="1"/>
        <v>0</v>
      </c>
      <c r="E26" s="9"/>
      <c r="F26" s="83"/>
      <c r="G26" s="73"/>
      <c r="H26" s="255"/>
      <c r="I26" s="255"/>
      <c r="J26" s="255"/>
      <c r="L26" s="7">
        <f>500/24+1.5</f>
        <v>22.333333333333332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89"/>
      <c r="B27" s="17" t="s">
        <v>120</v>
      </c>
      <c r="C27" s="53"/>
      <c r="D27" s="48">
        <f t="shared" si="1"/>
        <v>0</v>
      </c>
      <c r="E27" s="9"/>
      <c r="F27" s="79"/>
      <c r="G27" s="102"/>
      <c r="H27" s="256"/>
      <c r="I27" s="257"/>
      <c r="J27" s="257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90"/>
      <c r="B28" s="50" t="s">
        <v>97</v>
      </c>
      <c r="C28" s="53">
        <v>3</v>
      </c>
      <c r="D28" s="52">
        <f t="shared" si="1"/>
        <v>2355</v>
      </c>
      <c r="E28" s="9"/>
      <c r="F28" s="60"/>
      <c r="G28" s="68"/>
      <c r="H28" s="258"/>
      <c r="I28" s="259"/>
      <c r="J28" s="260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28" t="s">
        <v>36</v>
      </c>
      <c r="B29" s="229"/>
      <c r="C29" s="230"/>
      <c r="D29" s="234">
        <f>SUM(D6:D28)</f>
        <v>138183.5</v>
      </c>
      <c r="E29" s="9"/>
      <c r="F29" s="236" t="s">
        <v>55</v>
      </c>
      <c r="G29" s="237"/>
      <c r="H29" s="240">
        <f>H15-H16-H17-H18-H19-H20-H22-H23-H24+H26+H27+H28</f>
        <v>118460.75</v>
      </c>
      <c r="I29" s="241"/>
      <c r="J29" s="242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231"/>
      <c r="B30" s="232"/>
      <c r="C30" s="233"/>
      <c r="D30" s="235"/>
      <c r="E30" s="9"/>
      <c r="F30" s="238"/>
      <c r="G30" s="239"/>
      <c r="H30" s="243"/>
      <c r="I30" s="244"/>
      <c r="J30" s="245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5" t="s">
        <v>58</v>
      </c>
      <c r="B32" s="176"/>
      <c r="C32" s="176"/>
      <c r="D32" s="177"/>
      <c r="E32" s="11"/>
      <c r="F32" s="261" t="s">
        <v>59</v>
      </c>
      <c r="G32" s="262"/>
      <c r="H32" s="262"/>
      <c r="I32" s="262"/>
      <c r="J32" s="263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05" t="s">
        <v>63</v>
      </c>
      <c r="H33" s="261" t="s">
        <v>13</v>
      </c>
      <c r="I33" s="262"/>
      <c r="J33" s="263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88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44">
        <v>108</v>
      </c>
      <c r="H34" s="264">
        <f t="shared" ref="H34:H39" si="2">F34*G34</f>
        <v>108000</v>
      </c>
      <c r="I34" s="265"/>
      <c r="J34" s="266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89"/>
      <c r="B35" s="30" t="s">
        <v>68</v>
      </c>
      <c r="C35" s="57">
        <v>1</v>
      </c>
      <c r="D35" s="33">
        <f>C35*84</f>
        <v>84</v>
      </c>
      <c r="E35" s="9"/>
      <c r="F35" s="64">
        <v>500</v>
      </c>
      <c r="G35" s="45">
        <v>15</v>
      </c>
      <c r="H35" s="264">
        <f t="shared" si="2"/>
        <v>7500</v>
      </c>
      <c r="I35" s="265"/>
      <c r="J35" s="266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90"/>
      <c r="B36" s="29" t="s">
        <v>70</v>
      </c>
      <c r="C36" s="53">
        <v>14</v>
      </c>
      <c r="D36" s="15">
        <f>C36*1.5</f>
        <v>21</v>
      </c>
      <c r="E36" s="9"/>
      <c r="F36" s="15">
        <v>200</v>
      </c>
      <c r="G36" s="41">
        <v>3</v>
      </c>
      <c r="H36" s="264">
        <f t="shared" si="2"/>
        <v>600</v>
      </c>
      <c r="I36" s="265"/>
      <c r="J36" s="266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88" t="s">
        <v>72</v>
      </c>
      <c r="B37" s="31" t="s">
        <v>66</v>
      </c>
      <c r="C37" s="58">
        <v>157</v>
      </c>
      <c r="D37" s="15">
        <f>C37*111</f>
        <v>17427</v>
      </c>
      <c r="E37" s="9"/>
      <c r="F37" s="15">
        <v>100</v>
      </c>
      <c r="G37" s="43">
        <v>16</v>
      </c>
      <c r="H37" s="264">
        <f t="shared" si="2"/>
        <v>1600</v>
      </c>
      <c r="I37" s="265"/>
      <c r="J37" s="266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89"/>
      <c r="B38" s="32" t="s">
        <v>68</v>
      </c>
      <c r="C38" s="59">
        <v>10</v>
      </c>
      <c r="D38" s="15">
        <f>C38*84</f>
        <v>840</v>
      </c>
      <c r="E38" s="9"/>
      <c r="F38" s="33">
        <v>50</v>
      </c>
      <c r="G38" s="43">
        <v>5</v>
      </c>
      <c r="H38" s="264">
        <f t="shared" si="2"/>
        <v>250</v>
      </c>
      <c r="I38" s="265"/>
      <c r="J38" s="266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90"/>
      <c r="B39" s="32" t="s">
        <v>70</v>
      </c>
      <c r="C39" s="57">
        <v>5</v>
      </c>
      <c r="D39" s="34">
        <f>C39*4.5</f>
        <v>22.5</v>
      </c>
      <c r="E39" s="9"/>
      <c r="F39" s="15">
        <v>20</v>
      </c>
      <c r="G39" s="41">
        <v>7</v>
      </c>
      <c r="H39" s="264">
        <f t="shared" si="2"/>
        <v>140</v>
      </c>
      <c r="I39" s="265"/>
      <c r="J39" s="266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88" t="s">
        <v>76</v>
      </c>
      <c r="B40" s="30" t="s">
        <v>66</v>
      </c>
      <c r="C40" s="70">
        <v>6</v>
      </c>
      <c r="D40" s="15">
        <f>C40*111</f>
        <v>666</v>
      </c>
      <c r="E40" s="9"/>
      <c r="F40" s="15">
        <v>10</v>
      </c>
      <c r="G40" s="46"/>
      <c r="H40" s="264"/>
      <c r="I40" s="265"/>
      <c r="J40" s="266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89"/>
      <c r="B41" s="30" t="s">
        <v>68</v>
      </c>
      <c r="C41" s="53">
        <v>1</v>
      </c>
      <c r="D41" s="15">
        <f>C41*84</f>
        <v>84</v>
      </c>
      <c r="E41" s="9"/>
      <c r="F41" s="15">
        <v>5</v>
      </c>
      <c r="G41" s="46"/>
      <c r="H41" s="264"/>
      <c r="I41" s="265"/>
      <c r="J41" s="266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90"/>
      <c r="B42" s="30" t="s">
        <v>70</v>
      </c>
      <c r="C42" s="71">
        <v>11</v>
      </c>
      <c r="D42" s="15">
        <f>C42*2.25</f>
        <v>24.75</v>
      </c>
      <c r="E42" s="9"/>
      <c r="F42" s="43" t="s">
        <v>79</v>
      </c>
      <c r="G42" s="264">
        <v>170</v>
      </c>
      <c r="H42" s="265"/>
      <c r="I42" s="265"/>
      <c r="J42" s="266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67" t="s">
        <v>81</v>
      </c>
      <c r="C43" s="71"/>
      <c r="D43" s="15"/>
      <c r="E43" s="9"/>
      <c r="F43" s="65" t="s">
        <v>82</v>
      </c>
      <c r="G43" s="102" t="s">
        <v>83</v>
      </c>
      <c r="H43" s="270" t="s">
        <v>13</v>
      </c>
      <c r="I43" s="271"/>
      <c r="J43" s="272"/>
      <c r="K43" s="24"/>
      <c r="O43" t="s">
        <v>103</v>
      </c>
      <c r="P43" s="4">
        <v>1667</v>
      </c>
      <c r="Q43" s="4"/>
      <c r="R43" s="5"/>
    </row>
    <row r="44" spans="1:18" ht="15.75" x14ac:dyDescent="0.25">
      <c r="A44" s="268"/>
      <c r="B44" s="30" t="s">
        <v>66</v>
      </c>
      <c r="C44" s="53"/>
      <c r="D44" s="15">
        <f>C44*120</f>
        <v>0</v>
      </c>
      <c r="E44" s="9"/>
      <c r="F44" s="41"/>
      <c r="G44" s="69"/>
      <c r="H44" s="255"/>
      <c r="I44" s="255"/>
      <c r="J44" s="255"/>
      <c r="K44" s="24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268"/>
      <c r="B45" s="30" t="s">
        <v>68</v>
      </c>
      <c r="C45" s="90"/>
      <c r="D45" s="15">
        <f>C45*84</f>
        <v>0</v>
      </c>
      <c r="E45" s="9"/>
      <c r="F45" s="41"/>
      <c r="G45" s="69"/>
      <c r="H45" s="255"/>
      <c r="I45" s="255"/>
      <c r="J45" s="255"/>
      <c r="K45" s="24"/>
      <c r="P45" s="4"/>
      <c r="Q45" s="4"/>
      <c r="R45" s="5"/>
    </row>
    <row r="46" spans="1:18" ht="15.75" x14ac:dyDescent="0.25">
      <c r="A46" s="268"/>
      <c r="B46" s="54" t="s">
        <v>70</v>
      </c>
      <c r="C46" s="91">
        <v>20</v>
      </c>
      <c r="D46" s="15">
        <f>C46*1.5</f>
        <v>30</v>
      </c>
      <c r="E46" s="9"/>
      <c r="F46" s="41"/>
      <c r="G46" s="69"/>
      <c r="H46" s="255"/>
      <c r="I46" s="255"/>
      <c r="J46" s="255"/>
      <c r="K46" s="24"/>
      <c r="P46" s="4"/>
      <c r="Q46" s="4"/>
      <c r="R46" s="5"/>
    </row>
    <row r="47" spans="1:18" ht="15.75" x14ac:dyDescent="0.25">
      <c r="A47" s="269"/>
      <c r="B47" s="30"/>
      <c r="C47" s="71"/>
      <c r="D47" s="15"/>
      <c r="E47" s="9"/>
      <c r="F47" s="65"/>
      <c r="G47" s="65"/>
      <c r="H47" s="273"/>
      <c r="I47" s="274"/>
      <c r="J47" s="275"/>
      <c r="K47" s="24"/>
      <c r="P47" s="4"/>
      <c r="Q47" s="4"/>
      <c r="R47" s="5"/>
    </row>
    <row r="48" spans="1:18" ht="15" customHeight="1" x14ac:dyDescent="0.25">
      <c r="A48" s="267" t="s">
        <v>32</v>
      </c>
      <c r="B48" s="30" t="s">
        <v>66</v>
      </c>
      <c r="C48" s="53">
        <v>6</v>
      </c>
      <c r="D48" s="15">
        <f>C48*78</f>
        <v>468</v>
      </c>
      <c r="E48" s="9"/>
      <c r="F48" s="65"/>
      <c r="G48" s="65"/>
      <c r="H48" s="273"/>
      <c r="I48" s="274"/>
      <c r="J48" s="275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68"/>
      <c r="B49" s="32" t="s">
        <v>68</v>
      </c>
      <c r="C49" s="90">
        <v>1</v>
      </c>
      <c r="D49" s="15">
        <f>C49*42</f>
        <v>42</v>
      </c>
      <c r="E49" s="9"/>
      <c r="F49" s="288" t="s">
        <v>86</v>
      </c>
      <c r="G49" s="240">
        <f>H34+H35+H36+H37+H38+H39+H40+H41+G42+H44+H45+H46</f>
        <v>118260</v>
      </c>
      <c r="H49" s="241"/>
      <c r="I49" s="241"/>
      <c r="J49" s="242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68"/>
      <c r="B50" s="35" t="s">
        <v>70</v>
      </c>
      <c r="C50" s="71">
        <v>9</v>
      </c>
      <c r="D50" s="15">
        <f>C50*1.5</f>
        <v>13.5</v>
      </c>
      <c r="E50" s="9"/>
      <c r="F50" s="289"/>
      <c r="G50" s="243"/>
      <c r="H50" s="244"/>
      <c r="I50" s="244"/>
      <c r="J50" s="245"/>
      <c r="K50" s="9"/>
      <c r="P50" s="4"/>
      <c r="Q50" s="4"/>
      <c r="R50" s="5"/>
    </row>
    <row r="51" spans="1:18" ht="15" customHeight="1" x14ac:dyDescent="0.25">
      <c r="A51" s="268"/>
      <c r="B51" s="30"/>
      <c r="C51" s="13"/>
      <c r="D51" s="34"/>
      <c r="E51" s="9"/>
      <c r="F51" s="290" t="s">
        <v>135</v>
      </c>
      <c r="G51" s="292">
        <f>G49-H29</f>
        <v>-200.75</v>
      </c>
      <c r="H51" s="293"/>
      <c r="I51" s="293"/>
      <c r="J51" s="294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68"/>
      <c r="B52" s="32"/>
      <c r="C52" s="36"/>
      <c r="D52" s="49"/>
      <c r="E52" s="9"/>
      <c r="F52" s="291"/>
      <c r="G52" s="295"/>
      <c r="H52" s="296"/>
      <c r="I52" s="296"/>
      <c r="J52" s="297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69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236" t="s">
        <v>90</v>
      </c>
      <c r="B54" s="276"/>
      <c r="C54" s="277"/>
      <c r="D54" s="280">
        <f>SUM(D34:D53)</f>
        <v>19722.75</v>
      </c>
      <c r="E54" s="9"/>
      <c r="F54" s="24"/>
      <c r="G54" s="9"/>
      <c r="H54" s="9"/>
      <c r="I54" s="9"/>
      <c r="J54" s="37"/>
      <c r="O54" t="s">
        <v>102</v>
      </c>
      <c r="P54" s="4">
        <v>1582</v>
      </c>
      <c r="R54" s="3">
        <v>1582</v>
      </c>
    </row>
    <row r="55" spans="1:18" x14ac:dyDescent="0.25">
      <c r="A55" s="238"/>
      <c r="B55" s="278"/>
      <c r="C55" s="279"/>
      <c r="D55" s="281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161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282" t="s">
        <v>91</v>
      </c>
      <c r="B58" s="283"/>
      <c r="C58" s="283"/>
      <c r="D58" s="284"/>
      <c r="E58" s="9"/>
      <c r="F58" s="282" t="s">
        <v>92</v>
      </c>
      <c r="G58" s="283"/>
      <c r="H58" s="283"/>
      <c r="I58" s="283"/>
      <c r="J58" s="284"/>
    </row>
    <row r="59" spans="1:18" x14ac:dyDescent="0.25">
      <c r="A59" s="285"/>
      <c r="B59" s="286"/>
      <c r="C59" s="286"/>
      <c r="D59" s="287"/>
      <c r="E59" s="9"/>
      <c r="F59" s="285"/>
      <c r="G59" s="286"/>
      <c r="H59" s="286"/>
      <c r="I59" s="286"/>
      <c r="J59" s="287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8E489-D960-4646-870F-6AF28355D328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174" t="s">
        <v>1</v>
      </c>
      <c r="O1" s="174"/>
      <c r="P1" s="104" t="s">
        <v>2</v>
      </c>
      <c r="Q1" s="104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75" t="s">
        <v>7</v>
      </c>
      <c r="B4" s="176"/>
      <c r="C4" s="176"/>
      <c r="D4" s="177"/>
      <c r="E4" s="9"/>
      <c r="F4" s="178" t="s">
        <v>8</v>
      </c>
      <c r="G4" s="180">
        <v>2</v>
      </c>
      <c r="H4" s="182" t="s">
        <v>9</v>
      </c>
      <c r="I4" s="184">
        <v>45782</v>
      </c>
      <c r="J4" s="185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88" t="s">
        <v>7</v>
      </c>
      <c r="B5" s="18" t="s">
        <v>11</v>
      </c>
      <c r="C5" s="12" t="s">
        <v>12</v>
      </c>
      <c r="D5" s="28" t="s">
        <v>13</v>
      </c>
      <c r="E5" s="9"/>
      <c r="F5" s="179"/>
      <c r="G5" s="181"/>
      <c r="H5" s="183"/>
      <c r="I5" s="186"/>
      <c r="J5" s="187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89"/>
      <c r="B6" s="19" t="s">
        <v>15</v>
      </c>
      <c r="C6" s="53">
        <v>320</v>
      </c>
      <c r="D6" s="16">
        <f t="shared" ref="D6:D28" si="1">C6*L6</f>
        <v>235840</v>
      </c>
      <c r="E6" s="9"/>
      <c r="F6" s="191" t="s">
        <v>16</v>
      </c>
      <c r="G6" s="193" t="s">
        <v>127</v>
      </c>
      <c r="H6" s="194"/>
      <c r="I6" s="194"/>
      <c r="J6" s="195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89"/>
      <c r="B7" s="19" t="s">
        <v>18</v>
      </c>
      <c r="C7" s="53">
        <v>6</v>
      </c>
      <c r="D7" s="16">
        <f t="shared" si="1"/>
        <v>4350</v>
      </c>
      <c r="E7" s="9"/>
      <c r="F7" s="192"/>
      <c r="G7" s="196"/>
      <c r="H7" s="197"/>
      <c r="I7" s="197"/>
      <c r="J7" s="198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189"/>
      <c r="B8" s="19" t="s">
        <v>20</v>
      </c>
      <c r="C8" s="53"/>
      <c r="D8" s="16">
        <f t="shared" si="1"/>
        <v>0</v>
      </c>
      <c r="E8" s="9"/>
      <c r="F8" s="199" t="s">
        <v>21</v>
      </c>
      <c r="G8" s="201" t="s">
        <v>115</v>
      </c>
      <c r="H8" s="202"/>
      <c r="I8" s="202"/>
      <c r="J8" s="203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189"/>
      <c r="B9" s="19" t="s">
        <v>23</v>
      </c>
      <c r="C9" s="53">
        <v>64</v>
      </c>
      <c r="D9" s="16">
        <f t="shared" si="1"/>
        <v>45248</v>
      </c>
      <c r="E9" s="9"/>
      <c r="F9" s="192"/>
      <c r="G9" s="204"/>
      <c r="H9" s="205"/>
      <c r="I9" s="205"/>
      <c r="J9" s="206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189"/>
      <c r="B10" s="11" t="s">
        <v>25</v>
      </c>
      <c r="C10" s="53"/>
      <c r="D10" s="16">
        <f t="shared" si="1"/>
        <v>0</v>
      </c>
      <c r="E10" s="9"/>
      <c r="F10" s="191" t="s">
        <v>26</v>
      </c>
      <c r="G10" s="207" t="s">
        <v>116</v>
      </c>
      <c r="H10" s="208"/>
      <c r="I10" s="208"/>
      <c r="J10" s="209"/>
      <c r="K10" s="10"/>
      <c r="L10" s="6">
        <f>R36</f>
        <v>972</v>
      </c>
      <c r="P10" s="4"/>
      <c r="Q10" s="4"/>
      <c r="R10" s="5"/>
    </row>
    <row r="11" spans="1:18" ht="15.75" x14ac:dyDescent="0.25">
      <c r="A11" s="189"/>
      <c r="B11" s="20" t="s">
        <v>28</v>
      </c>
      <c r="C11" s="53"/>
      <c r="D11" s="16">
        <f t="shared" si="1"/>
        <v>0</v>
      </c>
      <c r="E11" s="9"/>
      <c r="F11" s="192"/>
      <c r="G11" s="204"/>
      <c r="H11" s="205"/>
      <c r="I11" s="205"/>
      <c r="J11" s="206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89"/>
      <c r="B12" s="20" t="s">
        <v>30</v>
      </c>
      <c r="C12" s="53"/>
      <c r="D12" s="52">
        <f t="shared" si="1"/>
        <v>0</v>
      </c>
      <c r="E12" s="9"/>
      <c r="F12" s="210" t="s">
        <v>33</v>
      </c>
      <c r="G12" s="211"/>
      <c r="H12" s="211"/>
      <c r="I12" s="211"/>
      <c r="J12" s="212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89"/>
      <c r="B13" s="20" t="s">
        <v>32</v>
      </c>
      <c r="C13" s="53">
        <v>10</v>
      </c>
      <c r="D13" s="52">
        <f t="shared" si="1"/>
        <v>3070</v>
      </c>
      <c r="E13" s="9"/>
      <c r="F13" s="213" t="s">
        <v>36</v>
      </c>
      <c r="G13" s="214"/>
      <c r="H13" s="215">
        <f>D29</f>
        <v>290849</v>
      </c>
      <c r="I13" s="216"/>
      <c r="J13" s="217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89"/>
      <c r="B14" s="17" t="s">
        <v>35</v>
      </c>
      <c r="C14" s="53">
        <v>11</v>
      </c>
      <c r="D14" s="34">
        <f t="shared" si="1"/>
        <v>121</v>
      </c>
      <c r="E14" s="9"/>
      <c r="F14" s="218" t="s">
        <v>39</v>
      </c>
      <c r="G14" s="219"/>
      <c r="H14" s="220">
        <f>D54</f>
        <v>43983.75</v>
      </c>
      <c r="I14" s="221"/>
      <c r="J14" s="222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89"/>
      <c r="B15" s="17" t="s">
        <v>38</v>
      </c>
      <c r="C15" s="53"/>
      <c r="D15" s="34">
        <f t="shared" si="1"/>
        <v>0</v>
      </c>
      <c r="E15" s="9"/>
      <c r="F15" s="223" t="s">
        <v>40</v>
      </c>
      <c r="G15" s="214"/>
      <c r="H15" s="224">
        <f>H13-H14</f>
        <v>246865.25</v>
      </c>
      <c r="I15" s="225"/>
      <c r="J15" s="226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89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227">
        <v>1216</v>
      </c>
      <c r="I16" s="227"/>
      <c r="J16" s="22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89"/>
      <c r="B17" s="11" t="s">
        <v>93</v>
      </c>
      <c r="C17" s="53"/>
      <c r="D17" s="52">
        <f t="shared" si="1"/>
        <v>0</v>
      </c>
      <c r="E17" s="9"/>
      <c r="F17" s="62"/>
      <c r="G17" s="74" t="s">
        <v>45</v>
      </c>
      <c r="H17" s="200"/>
      <c r="I17" s="200"/>
      <c r="J17" s="200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89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200"/>
      <c r="I18" s="200"/>
      <c r="J18" s="200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89"/>
      <c r="B19" s="17" t="s">
        <v>96</v>
      </c>
      <c r="C19" s="53"/>
      <c r="D19" s="52">
        <f t="shared" si="1"/>
        <v>0</v>
      </c>
      <c r="E19" s="9"/>
      <c r="F19" s="62"/>
      <c r="G19" s="76" t="s">
        <v>50</v>
      </c>
      <c r="H19" s="298"/>
      <c r="I19" s="298"/>
      <c r="J19" s="298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89"/>
      <c r="B20" s="50" t="s">
        <v>131</v>
      </c>
      <c r="C20" s="53"/>
      <c r="D20" s="16">
        <f t="shared" si="1"/>
        <v>0</v>
      </c>
      <c r="E20" s="9"/>
      <c r="F20" s="63"/>
      <c r="G20" s="78" t="s">
        <v>124</v>
      </c>
      <c r="H20" s="200"/>
      <c r="I20" s="200"/>
      <c r="J20" s="200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89"/>
      <c r="B21" s="17" t="s">
        <v>158</v>
      </c>
      <c r="C21" s="53">
        <v>1</v>
      </c>
      <c r="D21" s="52">
        <f t="shared" si="1"/>
        <v>650</v>
      </c>
      <c r="E21" s="9"/>
      <c r="F21" s="77" t="s">
        <v>99</v>
      </c>
      <c r="G21" s="92" t="s">
        <v>98</v>
      </c>
      <c r="H21" s="246" t="s">
        <v>13</v>
      </c>
      <c r="I21" s="247"/>
      <c r="J21" s="248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89"/>
      <c r="B22" s="50" t="s">
        <v>104</v>
      </c>
      <c r="C22" s="53"/>
      <c r="D22" s="52">
        <f t="shared" si="1"/>
        <v>0</v>
      </c>
      <c r="E22" s="9"/>
      <c r="F22" s="80"/>
      <c r="G22" s="81"/>
      <c r="H22" s="249"/>
      <c r="I22" s="249"/>
      <c r="J22" s="249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89"/>
      <c r="B23" s="17" t="s">
        <v>107</v>
      </c>
      <c r="C23" s="53"/>
      <c r="D23" s="52">
        <f t="shared" si="1"/>
        <v>0</v>
      </c>
      <c r="E23" s="9"/>
      <c r="F23" s="28"/>
      <c r="G23" s="41"/>
      <c r="H23" s="299"/>
      <c r="I23" s="255"/>
      <c r="J23" s="255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89"/>
      <c r="B24" s="17" t="s">
        <v>133</v>
      </c>
      <c r="C24" s="53"/>
      <c r="D24" s="52">
        <f t="shared" si="1"/>
        <v>0</v>
      </c>
      <c r="E24" s="9"/>
      <c r="F24" s="42"/>
      <c r="G24" s="41"/>
      <c r="H24" s="299"/>
      <c r="I24" s="255"/>
      <c r="J24" s="255"/>
      <c r="L24" s="51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89"/>
      <c r="B25" s="17" t="s">
        <v>134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52" t="s">
        <v>13</v>
      </c>
      <c r="I25" s="253"/>
      <c r="J25" s="254"/>
      <c r="L25" s="51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89"/>
      <c r="B26" s="17" t="s">
        <v>105</v>
      </c>
      <c r="C26" s="53"/>
      <c r="D26" s="52">
        <f t="shared" si="1"/>
        <v>0</v>
      </c>
      <c r="E26" s="9"/>
      <c r="F26" s="72"/>
      <c r="G26" s="13"/>
      <c r="H26" s="300"/>
      <c r="I26" s="301"/>
      <c r="J26" s="302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89"/>
      <c r="B27" s="17" t="s">
        <v>109</v>
      </c>
      <c r="C27" s="53"/>
      <c r="D27" s="48">
        <f t="shared" si="1"/>
        <v>0</v>
      </c>
      <c r="E27" s="9"/>
      <c r="F27" s="67"/>
      <c r="G27" s="67"/>
      <c r="H27" s="303"/>
      <c r="I27" s="304"/>
      <c r="J27" s="305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90"/>
      <c r="B28" s="50" t="s">
        <v>97</v>
      </c>
      <c r="C28" s="53">
        <v>2</v>
      </c>
      <c r="D28" s="52">
        <f t="shared" si="1"/>
        <v>1570</v>
      </c>
      <c r="E28" s="9"/>
      <c r="F28" s="60"/>
      <c r="G28" s="68"/>
      <c r="H28" s="258"/>
      <c r="I28" s="259"/>
      <c r="J28" s="260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28" t="s">
        <v>36</v>
      </c>
      <c r="B29" s="229"/>
      <c r="C29" s="230"/>
      <c r="D29" s="234">
        <f>SUM(D6:D28)</f>
        <v>290849</v>
      </c>
      <c r="E29" s="9"/>
      <c r="F29" s="236" t="s">
        <v>55</v>
      </c>
      <c r="G29" s="237"/>
      <c r="H29" s="240">
        <f>H15-H16-H17-H18-H19-H20-H22-H23-H24+H26+H27</f>
        <v>245649.25</v>
      </c>
      <c r="I29" s="241"/>
      <c r="J29" s="242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231"/>
      <c r="B30" s="232"/>
      <c r="C30" s="233"/>
      <c r="D30" s="235"/>
      <c r="E30" s="9"/>
      <c r="F30" s="238"/>
      <c r="G30" s="239"/>
      <c r="H30" s="243"/>
      <c r="I30" s="244"/>
      <c r="J30" s="245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5" t="s">
        <v>58</v>
      </c>
      <c r="B32" s="176"/>
      <c r="C32" s="176"/>
      <c r="D32" s="177"/>
      <c r="E32" s="11"/>
      <c r="F32" s="261" t="s">
        <v>59</v>
      </c>
      <c r="G32" s="262"/>
      <c r="H32" s="262"/>
      <c r="I32" s="262"/>
      <c r="J32" s="263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05" t="s">
        <v>63</v>
      </c>
      <c r="H33" s="261" t="s">
        <v>13</v>
      </c>
      <c r="I33" s="262"/>
      <c r="J33" s="263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88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82">
        <v>231</v>
      </c>
      <c r="H34" s="264">
        <f>F34*G34</f>
        <v>231000</v>
      </c>
      <c r="I34" s="265"/>
      <c r="J34" s="266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89"/>
      <c r="B35" s="30" t="s">
        <v>68</v>
      </c>
      <c r="C35" s="57"/>
      <c r="D35" s="33">
        <f>C35*84</f>
        <v>0</v>
      </c>
      <c r="E35" s="9"/>
      <c r="F35" s="64">
        <v>500</v>
      </c>
      <c r="G35" s="45">
        <v>23</v>
      </c>
      <c r="H35" s="264">
        <f t="shared" ref="H35:H39" si="2">F35*G35</f>
        <v>11500</v>
      </c>
      <c r="I35" s="265"/>
      <c r="J35" s="266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90"/>
      <c r="B36" s="29" t="s">
        <v>70</v>
      </c>
      <c r="C36" s="53"/>
      <c r="D36" s="15">
        <f>C36*1.5</f>
        <v>0</v>
      </c>
      <c r="E36" s="9"/>
      <c r="F36" s="15">
        <v>200</v>
      </c>
      <c r="G36" s="41"/>
      <c r="H36" s="264">
        <f t="shared" si="2"/>
        <v>0</v>
      </c>
      <c r="I36" s="265"/>
      <c r="J36" s="266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88" t="s">
        <v>72</v>
      </c>
      <c r="B37" s="31" t="s">
        <v>66</v>
      </c>
      <c r="C37" s="58">
        <v>369</v>
      </c>
      <c r="D37" s="15">
        <f>C37*111</f>
        <v>40959</v>
      </c>
      <c r="E37" s="9"/>
      <c r="F37" s="15">
        <v>100</v>
      </c>
      <c r="G37" s="43">
        <v>26</v>
      </c>
      <c r="H37" s="264">
        <f t="shared" si="2"/>
        <v>2600</v>
      </c>
      <c r="I37" s="265"/>
      <c r="J37" s="266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89"/>
      <c r="B38" s="32" t="s">
        <v>68</v>
      </c>
      <c r="C38" s="59">
        <v>11</v>
      </c>
      <c r="D38" s="15">
        <f>C38*84</f>
        <v>924</v>
      </c>
      <c r="E38" s="9"/>
      <c r="F38" s="33">
        <v>50</v>
      </c>
      <c r="G38" s="43">
        <v>2</v>
      </c>
      <c r="H38" s="264">
        <f t="shared" si="2"/>
        <v>100</v>
      </c>
      <c r="I38" s="265"/>
      <c r="J38" s="266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90"/>
      <c r="B39" s="32" t="s">
        <v>70</v>
      </c>
      <c r="C39" s="57">
        <v>20</v>
      </c>
      <c r="D39" s="34">
        <f>C39*4.5</f>
        <v>90</v>
      </c>
      <c r="E39" s="9"/>
      <c r="F39" s="15">
        <v>20</v>
      </c>
      <c r="G39" s="41">
        <v>7</v>
      </c>
      <c r="H39" s="264">
        <f t="shared" si="2"/>
        <v>140</v>
      </c>
      <c r="I39" s="265"/>
      <c r="J39" s="266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88" t="s">
        <v>76</v>
      </c>
      <c r="B40" s="30" t="s">
        <v>66</v>
      </c>
      <c r="C40" s="70">
        <v>10</v>
      </c>
      <c r="D40" s="15">
        <f>C40*111</f>
        <v>1110</v>
      </c>
      <c r="E40" s="9"/>
      <c r="F40" s="15">
        <v>10</v>
      </c>
      <c r="G40" s="46"/>
      <c r="H40" s="264"/>
      <c r="I40" s="265"/>
      <c r="J40" s="266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89"/>
      <c r="B41" s="30" t="s">
        <v>68</v>
      </c>
      <c r="C41" s="53">
        <v>3</v>
      </c>
      <c r="D41" s="15">
        <f>C41*84</f>
        <v>252</v>
      </c>
      <c r="E41" s="9"/>
      <c r="F41" s="15">
        <v>5</v>
      </c>
      <c r="G41" s="46"/>
      <c r="H41" s="264"/>
      <c r="I41" s="265"/>
      <c r="J41" s="266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90"/>
      <c r="B42" s="30" t="s">
        <v>70</v>
      </c>
      <c r="C42" s="71">
        <v>11</v>
      </c>
      <c r="D42" s="15">
        <f>C42*2.25</f>
        <v>24.75</v>
      </c>
      <c r="E42" s="9"/>
      <c r="F42" s="43" t="s">
        <v>79</v>
      </c>
      <c r="G42" s="264">
        <v>428</v>
      </c>
      <c r="H42" s="265"/>
      <c r="I42" s="265"/>
      <c r="J42" s="266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67" t="s">
        <v>81</v>
      </c>
      <c r="C43" s="71"/>
      <c r="D43" s="15"/>
      <c r="E43" s="9"/>
      <c r="F43" s="65" t="s">
        <v>82</v>
      </c>
      <c r="G43" s="102" t="s">
        <v>83</v>
      </c>
      <c r="H43" s="270" t="s">
        <v>13</v>
      </c>
      <c r="I43" s="271"/>
      <c r="J43" s="272"/>
      <c r="K43" s="24"/>
      <c r="P43" s="4"/>
      <c r="Q43" s="4"/>
      <c r="R43" s="5"/>
    </row>
    <row r="44" spans="1:18" ht="15.75" x14ac:dyDescent="0.25">
      <c r="A44" s="268"/>
      <c r="B44" s="30" t="s">
        <v>66</v>
      </c>
      <c r="C44" s="53"/>
      <c r="D44" s="15">
        <f>C44*120</f>
        <v>0</v>
      </c>
      <c r="E44" s="9"/>
      <c r="F44" s="41"/>
      <c r="G44" s="69"/>
      <c r="H44" s="255"/>
      <c r="I44" s="255"/>
      <c r="J44" s="255"/>
      <c r="K44" s="24"/>
      <c r="P44" s="4"/>
      <c r="Q44" s="4"/>
      <c r="R44" s="5"/>
    </row>
    <row r="45" spans="1:18" ht="15.75" x14ac:dyDescent="0.25">
      <c r="A45" s="268"/>
      <c r="B45" s="30" t="s">
        <v>68</v>
      </c>
      <c r="C45" s="90"/>
      <c r="D45" s="15">
        <f>C45*84</f>
        <v>0</v>
      </c>
      <c r="E45" s="9"/>
      <c r="F45" s="41"/>
      <c r="G45" s="69"/>
      <c r="H45" s="255"/>
      <c r="I45" s="255"/>
      <c r="J45" s="255"/>
      <c r="K45" s="24"/>
      <c r="P45" s="4"/>
      <c r="Q45" s="4"/>
      <c r="R45" s="5"/>
    </row>
    <row r="46" spans="1:18" ht="15.75" x14ac:dyDescent="0.25">
      <c r="A46" s="268"/>
      <c r="B46" s="54" t="s">
        <v>70</v>
      </c>
      <c r="C46" s="91">
        <v>1</v>
      </c>
      <c r="D46" s="15">
        <f>C46*1.5</f>
        <v>1.5</v>
      </c>
      <c r="E46" s="9"/>
      <c r="F46" s="41"/>
      <c r="G46" s="103"/>
      <c r="H46" s="306"/>
      <c r="I46" s="306"/>
      <c r="J46" s="306"/>
      <c r="K46" s="24"/>
      <c r="P46" s="4"/>
      <c r="Q46" s="4"/>
      <c r="R46" s="5"/>
    </row>
    <row r="47" spans="1:18" ht="15.75" x14ac:dyDescent="0.25">
      <c r="A47" s="269"/>
      <c r="B47" s="30"/>
      <c r="C47" s="71"/>
      <c r="D47" s="15"/>
      <c r="E47" s="9"/>
      <c r="F47" s="65"/>
      <c r="G47" s="65"/>
      <c r="H47" s="273"/>
      <c r="I47" s="274"/>
      <c r="J47" s="275"/>
      <c r="K47" s="24"/>
      <c r="P47" s="4"/>
      <c r="Q47" s="4"/>
      <c r="R47" s="5"/>
    </row>
    <row r="48" spans="1:18" ht="15" customHeight="1" x14ac:dyDescent="0.25">
      <c r="A48" s="267" t="s">
        <v>32</v>
      </c>
      <c r="B48" s="30" t="s">
        <v>66</v>
      </c>
      <c r="C48" s="53">
        <v>4</v>
      </c>
      <c r="D48" s="15">
        <f>C48*78</f>
        <v>312</v>
      </c>
      <c r="E48" s="9"/>
      <c r="F48" s="65"/>
      <c r="G48" s="65"/>
      <c r="H48" s="273"/>
      <c r="I48" s="274"/>
      <c r="J48" s="275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68"/>
      <c r="B49" s="32" t="s">
        <v>68</v>
      </c>
      <c r="C49" s="90">
        <v>7</v>
      </c>
      <c r="D49" s="15">
        <f>C49*42</f>
        <v>294</v>
      </c>
      <c r="E49" s="9"/>
      <c r="F49" s="288" t="s">
        <v>86</v>
      </c>
      <c r="G49" s="240">
        <f>H34+H35+H36+H37+H38+H39+H40+H41+G42+H44+H45+H46</f>
        <v>245768</v>
      </c>
      <c r="H49" s="241"/>
      <c r="I49" s="241"/>
      <c r="J49" s="242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68"/>
      <c r="B50" s="35" t="s">
        <v>70</v>
      </c>
      <c r="C50" s="71">
        <v>11</v>
      </c>
      <c r="D50" s="15">
        <f>C50*1.5</f>
        <v>16.5</v>
      </c>
      <c r="E50" s="9"/>
      <c r="F50" s="289"/>
      <c r="G50" s="243"/>
      <c r="H50" s="244"/>
      <c r="I50" s="244"/>
      <c r="J50" s="245"/>
      <c r="K50" s="9"/>
      <c r="P50" s="4"/>
      <c r="Q50" s="4"/>
      <c r="R50" s="5"/>
    </row>
    <row r="51" spans="1:18" ht="15" customHeight="1" x14ac:dyDescent="0.25">
      <c r="A51" s="268"/>
      <c r="B51" s="30"/>
      <c r="C51" s="13"/>
      <c r="D51" s="34"/>
      <c r="E51" s="9"/>
      <c r="F51" s="290" t="s">
        <v>144</v>
      </c>
      <c r="G51" s="307">
        <f>G49-H29</f>
        <v>118.75</v>
      </c>
      <c r="H51" s="308"/>
      <c r="I51" s="308"/>
      <c r="J51" s="309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68"/>
      <c r="B52" s="32"/>
      <c r="C52" s="36"/>
      <c r="D52" s="49"/>
      <c r="E52" s="9"/>
      <c r="F52" s="291"/>
      <c r="G52" s="310"/>
      <c r="H52" s="311"/>
      <c r="I52" s="311"/>
      <c r="J52" s="312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69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236" t="s">
        <v>90</v>
      </c>
      <c r="B54" s="276"/>
      <c r="C54" s="277"/>
      <c r="D54" s="280">
        <f>SUM(D34:D53)</f>
        <v>43983.75</v>
      </c>
      <c r="E54" s="9"/>
      <c r="F54" s="24"/>
      <c r="G54" s="9"/>
      <c r="H54" s="9"/>
      <c r="I54" s="9"/>
      <c r="J54" s="37"/>
    </row>
    <row r="55" spans="1:18" x14ac:dyDescent="0.25">
      <c r="A55" s="238"/>
      <c r="B55" s="278"/>
      <c r="C55" s="279"/>
      <c r="D55" s="281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136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282" t="s">
        <v>91</v>
      </c>
      <c r="B58" s="283"/>
      <c r="C58" s="283"/>
      <c r="D58" s="284"/>
      <c r="E58" s="9"/>
      <c r="F58" s="282" t="s">
        <v>92</v>
      </c>
      <c r="G58" s="283"/>
      <c r="H58" s="283"/>
      <c r="I58" s="283"/>
      <c r="J58" s="284"/>
    </row>
    <row r="59" spans="1:18" x14ac:dyDescent="0.25">
      <c r="A59" s="285"/>
      <c r="B59" s="286"/>
      <c r="C59" s="286"/>
      <c r="D59" s="287"/>
      <c r="E59" s="9"/>
      <c r="F59" s="285"/>
      <c r="G59" s="286"/>
      <c r="H59" s="286"/>
      <c r="I59" s="286"/>
      <c r="J59" s="287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3E4B8-2169-4889-9CF9-2A6774500E7F}">
  <dimension ref="A1:S59"/>
  <sheetViews>
    <sheetView topLeftCell="A22"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s="8" t="s">
        <v>0</v>
      </c>
      <c r="B1" s="8"/>
      <c r="C1" s="8"/>
      <c r="D1" s="8"/>
      <c r="N1" s="174" t="s">
        <v>1</v>
      </c>
      <c r="O1" s="174"/>
      <c r="P1" s="104" t="s">
        <v>2</v>
      </c>
      <c r="Q1" s="104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75" t="s">
        <v>7</v>
      </c>
      <c r="B4" s="176"/>
      <c r="C4" s="176"/>
      <c r="D4" s="177"/>
      <c r="E4" s="9"/>
      <c r="F4" s="178" t="s">
        <v>8</v>
      </c>
      <c r="G4" s="180">
        <v>3</v>
      </c>
      <c r="H4" s="182" t="s">
        <v>9</v>
      </c>
      <c r="I4" s="184">
        <v>45782</v>
      </c>
      <c r="J4" s="185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88" t="s">
        <v>7</v>
      </c>
      <c r="B5" s="18" t="s">
        <v>11</v>
      </c>
      <c r="C5" s="12" t="s">
        <v>12</v>
      </c>
      <c r="D5" s="28" t="s">
        <v>13</v>
      </c>
      <c r="E5" s="9"/>
      <c r="F5" s="179"/>
      <c r="G5" s="181"/>
      <c r="H5" s="183"/>
      <c r="I5" s="186"/>
      <c r="J5" s="187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89"/>
      <c r="B6" s="19" t="s">
        <v>15</v>
      </c>
      <c r="C6" s="53">
        <v>406</v>
      </c>
      <c r="D6" s="16">
        <f t="shared" ref="D6:D28" si="1">C6*L6</f>
        <v>299222</v>
      </c>
      <c r="E6" s="9"/>
      <c r="F6" s="191" t="s">
        <v>16</v>
      </c>
      <c r="G6" s="193" t="s">
        <v>111</v>
      </c>
      <c r="H6" s="194"/>
      <c r="I6" s="194"/>
      <c r="J6" s="195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89"/>
      <c r="B7" s="19" t="s">
        <v>18</v>
      </c>
      <c r="C7" s="53">
        <v>20</v>
      </c>
      <c r="D7" s="16">
        <f t="shared" si="1"/>
        <v>14500</v>
      </c>
      <c r="E7" s="9"/>
      <c r="F7" s="192"/>
      <c r="G7" s="196"/>
      <c r="H7" s="197"/>
      <c r="I7" s="197"/>
      <c r="J7" s="198"/>
      <c r="K7" s="10"/>
      <c r="L7" s="6">
        <f>R41</f>
        <v>725</v>
      </c>
      <c r="P7" s="4"/>
      <c r="Q7" s="4"/>
      <c r="R7" s="5"/>
    </row>
    <row r="8" spans="1:19" ht="14.45" customHeight="1" x14ac:dyDescent="0.25">
      <c r="A8" s="189"/>
      <c r="B8" s="19" t="s">
        <v>20</v>
      </c>
      <c r="C8" s="53"/>
      <c r="D8" s="16">
        <f t="shared" si="1"/>
        <v>0</v>
      </c>
      <c r="E8" s="9"/>
      <c r="F8" s="199" t="s">
        <v>21</v>
      </c>
      <c r="G8" s="201" t="s">
        <v>122</v>
      </c>
      <c r="H8" s="202"/>
      <c r="I8" s="202"/>
      <c r="J8" s="203"/>
      <c r="K8" s="10"/>
      <c r="L8" s="6">
        <f>R40</f>
        <v>1033</v>
      </c>
      <c r="P8" s="4"/>
      <c r="Q8" s="4"/>
      <c r="R8" s="5"/>
    </row>
    <row r="9" spans="1:19" ht="14.45" customHeight="1" x14ac:dyDescent="0.25">
      <c r="A9" s="189"/>
      <c r="B9" s="19" t="s">
        <v>23</v>
      </c>
      <c r="C9" s="53">
        <v>89</v>
      </c>
      <c r="D9" s="16">
        <f t="shared" si="1"/>
        <v>62923</v>
      </c>
      <c r="E9" s="9"/>
      <c r="F9" s="192"/>
      <c r="G9" s="204"/>
      <c r="H9" s="205"/>
      <c r="I9" s="205"/>
      <c r="J9" s="206"/>
      <c r="K9" s="10"/>
      <c r="L9" s="6">
        <f>R38</f>
        <v>707</v>
      </c>
      <c r="P9" s="4"/>
      <c r="Q9" s="4"/>
      <c r="R9" s="5"/>
    </row>
    <row r="10" spans="1:19" ht="14.45" customHeight="1" x14ac:dyDescent="0.25">
      <c r="A10" s="189"/>
      <c r="B10" s="11" t="s">
        <v>25</v>
      </c>
      <c r="C10" s="53">
        <v>1</v>
      </c>
      <c r="D10" s="16">
        <f t="shared" si="1"/>
        <v>972</v>
      </c>
      <c r="E10" s="9"/>
      <c r="F10" s="191" t="s">
        <v>26</v>
      </c>
      <c r="G10" s="207" t="s">
        <v>123</v>
      </c>
      <c r="H10" s="208"/>
      <c r="I10" s="208"/>
      <c r="J10" s="209"/>
      <c r="K10" s="10"/>
      <c r="L10" s="6">
        <f>R36</f>
        <v>972</v>
      </c>
      <c r="P10" s="4"/>
      <c r="Q10" s="4"/>
      <c r="R10" s="5"/>
    </row>
    <row r="11" spans="1:19" ht="15.75" x14ac:dyDescent="0.25">
      <c r="A11" s="189"/>
      <c r="B11" s="20" t="s">
        <v>28</v>
      </c>
      <c r="C11" s="53"/>
      <c r="D11" s="16">
        <f t="shared" si="1"/>
        <v>0</v>
      </c>
      <c r="E11" s="9"/>
      <c r="F11" s="192"/>
      <c r="G11" s="204"/>
      <c r="H11" s="205"/>
      <c r="I11" s="205"/>
      <c r="J11" s="206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89"/>
      <c r="B12" s="20" t="s">
        <v>30</v>
      </c>
      <c r="C12" s="53"/>
      <c r="D12" s="52">
        <f t="shared" si="1"/>
        <v>0</v>
      </c>
      <c r="E12" s="9"/>
      <c r="F12" s="210" t="s">
        <v>33</v>
      </c>
      <c r="G12" s="211"/>
      <c r="H12" s="211"/>
      <c r="I12" s="211"/>
      <c r="J12" s="212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89"/>
      <c r="B13" s="20" t="s">
        <v>32</v>
      </c>
      <c r="C13" s="53">
        <v>20</v>
      </c>
      <c r="D13" s="52">
        <f t="shared" si="1"/>
        <v>6140</v>
      </c>
      <c r="E13" s="9"/>
      <c r="F13" s="213" t="s">
        <v>36</v>
      </c>
      <c r="G13" s="214"/>
      <c r="H13" s="215">
        <f>D29</f>
        <v>392392</v>
      </c>
      <c r="I13" s="216"/>
      <c r="J13" s="217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89"/>
      <c r="B14" s="17" t="s">
        <v>35</v>
      </c>
      <c r="C14" s="53"/>
      <c r="D14" s="34">
        <f t="shared" si="1"/>
        <v>0</v>
      </c>
      <c r="E14" s="9"/>
      <c r="F14" s="218" t="s">
        <v>39</v>
      </c>
      <c r="G14" s="219"/>
      <c r="H14" s="220">
        <f>D54</f>
        <v>61502.25</v>
      </c>
      <c r="I14" s="221"/>
      <c r="J14" s="222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89"/>
      <c r="B15" s="17" t="s">
        <v>38</v>
      </c>
      <c r="C15" s="53"/>
      <c r="D15" s="34">
        <f t="shared" si="1"/>
        <v>0</v>
      </c>
      <c r="E15" s="9"/>
      <c r="F15" s="223" t="s">
        <v>40</v>
      </c>
      <c r="G15" s="214"/>
      <c r="H15" s="224">
        <f>H13-H14</f>
        <v>330889.75</v>
      </c>
      <c r="I15" s="225"/>
      <c r="J15" s="226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89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227">
        <f>600+750</f>
        <v>1350</v>
      </c>
      <c r="I16" s="227"/>
      <c r="J16" s="22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89"/>
      <c r="B17" s="11" t="s">
        <v>114</v>
      </c>
      <c r="C17" s="53"/>
      <c r="D17" s="52">
        <f t="shared" si="1"/>
        <v>0</v>
      </c>
      <c r="E17" s="9"/>
      <c r="F17" s="62"/>
      <c r="G17" s="74" t="s">
        <v>45</v>
      </c>
      <c r="H17" s="200"/>
      <c r="I17" s="200"/>
      <c r="J17" s="200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89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200"/>
      <c r="I18" s="200"/>
      <c r="J18" s="200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89"/>
      <c r="B19" s="17" t="s">
        <v>118</v>
      </c>
      <c r="C19" s="53"/>
      <c r="D19" s="52">
        <f t="shared" si="1"/>
        <v>0</v>
      </c>
      <c r="E19" s="9"/>
      <c r="F19" s="62"/>
      <c r="G19" s="76" t="s">
        <v>50</v>
      </c>
      <c r="H19" s="326">
        <f>50+800</f>
        <v>850</v>
      </c>
      <c r="I19" s="326"/>
      <c r="J19" s="326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89"/>
      <c r="B20" s="50" t="s">
        <v>108</v>
      </c>
      <c r="C20" s="53"/>
      <c r="D20" s="16">
        <f t="shared" si="1"/>
        <v>0</v>
      </c>
      <c r="E20" s="9"/>
      <c r="F20" s="63"/>
      <c r="G20" s="78" t="s">
        <v>124</v>
      </c>
      <c r="H20" s="227">
        <f>674</f>
        <v>674</v>
      </c>
      <c r="I20" s="227"/>
      <c r="J20" s="227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89"/>
      <c r="B21" s="17" t="s">
        <v>130</v>
      </c>
      <c r="C21" s="53"/>
      <c r="D21" s="52">
        <f t="shared" si="1"/>
        <v>0</v>
      </c>
      <c r="E21" s="9"/>
      <c r="F21" s="77" t="s">
        <v>99</v>
      </c>
      <c r="G21" s="92" t="s">
        <v>98</v>
      </c>
      <c r="H21" s="246" t="s">
        <v>13</v>
      </c>
      <c r="I21" s="247"/>
      <c r="J21" s="248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89"/>
      <c r="B22" s="50" t="s">
        <v>104</v>
      </c>
      <c r="C22" s="53"/>
      <c r="D22" s="52">
        <f t="shared" si="1"/>
        <v>0</v>
      </c>
      <c r="E22" s="9"/>
      <c r="F22" s="114" t="s">
        <v>159</v>
      </c>
      <c r="G22" s="81"/>
      <c r="H22" s="249">
        <v>155906</v>
      </c>
      <c r="I22" s="249"/>
      <c r="J22" s="249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89"/>
      <c r="B23" s="17" t="s">
        <v>107</v>
      </c>
      <c r="C23" s="53"/>
      <c r="D23" s="52">
        <f t="shared" si="1"/>
        <v>0</v>
      </c>
      <c r="E23" s="9"/>
      <c r="F23" s="86"/>
      <c r="G23" s="87"/>
      <c r="H23" s="299"/>
      <c r="I23" s="255"/>
      <c r="J23" s="255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89"/>
      <c r="B24" s="17" t="s">
        <v>101</v>
      </c>
      <c r="C24" s="53"/>
      <c r="D24" s="52">
        <f t="shared" si="1"/>
        <v>0</v>
      </c>
      <c r="E24" s="9"/>
      <c r="F24" s="42"/>
      <c r="G24" s="41"/>
      <c r="H24" s="299"/>
      <c r="I24" s="255"/>
      <c r="J24" s="255"/>
      <c r="L24" s="51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89"/>
      <c r="B25" s="17" t="s">
        <v>117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52" t="s">
        <v>13</v>
      </c>
      <c r="I25" s="253"/>
      <c r="J25" s="254"/>
      <c r="L25" s="51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89"/>
      <c r="B26" s="17" t="s">
        <v>105</v>
      </c>
      <c r="C26" s="53"/>
      <c r="D26" s="52">
        <f t="shared" si="1"/>
        <v>0</v>
      </c>
      <c r="E26" s="9"/>
      <c r="F26" s="72" t="s">
        <v>160</v>
      </c>
      <c r="G26" s="65"/>
      <c r="H26" s="300">
        <v>148956</v>
      </c>
      <c r="I26" s="301"/>
      <c r="J26" s="302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89"/>
      <c r="B27" s="17" t="s">
        <v>109</v>
      </c>
      <c r="C27" s="53"/>
      <c r="D27" s="48">
        <f t="shared" si="1"/>
        <v>0</v>
      </c>
      <c r="E27" s="9"/>
      <c r="F27" s="88"/>
      <c r="G27" s="89"/>
      <c r="H27" s="303"/>
      <c r="I27" s="304"/>
      <c r="J27" s="305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90"/>
      <c r="B28" s="50" t="s">
        <v>97</v>
      </c>
      <c r="C28" s="53">
        <v>11</v>
      </c>
      <c r="D28" s="52">
        <f t="shared" si="1"/>
        <v>8635</v>
      </c>
      <c r="E28" s="9"/>
      <c r="F28" s="60"/>
      <c r="G28" s="68"/>
      <c r="H28" s="258"/>
      <c r="I28" s="259"/>
      <c r="J28" s="260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28" t="s">
        <v>36</v>
      </c>
      <c r="B29" s="229"/>
      <c r="C29" s="230"/>
      <c r="D29" s="234">
        <f>SUM(D6:D28)</f>
        <v>392392</v>
      </c>
      <c r="E29" s="9"/>
      <c r="F29" s="236" t="s">
        <v>55</v>
      </c>
      <c r="G29" s="237"/>
      <c r="H29" s="240">
        <f>H15-H16-H17-H18-H19-H20-H22-H23-H24+H26+H27</f>
        <v>321065.75</v>
      </c>
      <c r="I29" s="241"/>
      <c r="J29" s="242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231"/>
      <c r="B30" s="232"/>
      <c r="C30" s="233"/>
      <c r="D30" s="235"/>
      <c r="E30" s="9"/>
      <c r="F30" s="238"/>
      <c r="G30" s="239"/>
      <c r="H30" s="243"/>
      <c r="I30" s="244"/>
      <c r="J30" s="245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5" t="s">
        <v>58</v>
      </c>
      <c r="B32" s="176"/>
      <c r="C32" s="176"/>
      <c r="D32" s="177"/>
      <c r="E32" s="11"/>
      <c r="F32" s="261" t="s">
        <v>59</v>
      </c>
      <c r="G32" s="262"/>
      <c r="H32" s="262"/>
      <c r="I32" s="262"/>
      <c r="J32" s="263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05" t="s">
        <v>63</v>
      </c>
      <c r="H33" s="261" t="s">
        <v>13</v>
      </c>
      <c r="I33" s="262"/>
      <c r="J33" s="263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88" t="s">
        <v>65</v>
      </c>
      <c r="B34" s="29" t="s">
        <v>66</v>
      </c>
      <c r="C34" s="56">
        <v>2</v>
      </c>
      <c r="D34" s="33">
        <f>C34*120</f>
        <v>240</v>
      </c>
      <c r="E34" s="9"/>
      <c r="F34" s="15">
        <v>1000</v>
      </c>
      <c r="G34" s="82">
        <v>281</v>
      </c>
      <c r="H34" s="264">
        <f>F34*G34</f>
        <v>281000</v>
      </c>
      <c r="I34" s="265"/>
      <c r="J34" s="266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89"/>
      <c r="B35" s="30" t="s">
        <v>68</v>
      </c>
      <c r="C35" s="57">
        <v>1</v>
      </c>
      <c r="D35" s="33">
        <f>C35*84</f>
        <v>84</v>
      </c>
      <c r="E35" s="9"/>
      <c r="F35" s="64">
        <v>500</v>
      </c>
      <c r="G35" s="45">
        <v>76</v>
      </c>
      <c r="H35" s="264">
        <f>F35*G35</f>
        <v>38000</v>
      </c>
      <c r="I35" s="265"/>
      <c r="J35" s="266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90"/>
      <c r="B36" s="29" t="s">
        <v>70</v>
      </c>
      <c r="C36" s="53">
        <v>19</v>
      </c>
      <c r="D36" s="15">
        <f>C36*1.5</f>
        <v>28.5</v>
      </c>
      <c r="E36" s="9"/>
      <c r="F36" s="15">
        <v>200</v>
      </c>
      <c r="G36" s="41">
        <v>5</v>
      </c>
      <c r="H36" s="264">
        <f t="shared" ref="H36:H39" si="2">F36*G36</f>
        <v>1000</v>
      </c>
      <c r="I36" s="265"/>
      <c r="J36" s="266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88" t="s">
        <v>72</v>
      </c>
      <c r="B37" s="31" t="s">
        <v>66</v>
      </c>
      <c r="C37" s="58">
        <v>507</v>
      </c>
      <c r="D37" s="15">
        <f>C37*111</f>
        <v>56277</v>
      </c>
      <c r="E37" s="9"/>
      <c r="F37" s="15">
        <v>100</v>
      </c>
      <c r="G37" s="43">
        <v>8</v>
      </c>
      <c r="H37" s="264">
        <f t="shared" si="2"/>
        <v>800</v>
      </c>
      <c r="I37" s="265"/>
      <c r="J37" s="266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89"/>
      <c r="B38" s="32" t="s">
        <v>68</v>
      </c>
      <c r="C38" s="59">
        <v>22</v>
      </c>
      <c r="D38" s="15">
        <f>C38*84</f>
        <v>1848</v>
      </c>
      <c r="E38" s="9"/>
      <c r="F38" s="33">
        <v>50</v>
      </c>
      <c r="G38" s="43"/>
      <c r="H38" s="264">
        <f t="shared" si="2"/>
        <v>0</v>
      </c>
      <c r="I38" s="265"/>
      <c r="J38" s="266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90"/>
      <c r="B39" s="32" t="s">
        <v>70</v>
      </c>
      <c r="C39" s="57">
        <v>2</v>
      </c>
      <c r="D39" s="34">
        <f>C39*4.5</f>
        <v>9</v>
      </c>
      <c r="E39" s="9"/>
      <c r="F39" s="15">
        <v>20</v>
      </c>
      <c r="G39" s="41"/>
      <c r="H39" s="264">
        <f t="shared" si="2"/>
        <v>0</v>
      </c>
      <c r="I39" s="265"/>
      <c r="J39" s="266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88" t="s">
        <v>76</v>
      </c>
      <c r="B40" s="30" t="s">
        <v>66</v>
      </c>
      <c r="C40" s="70">
        <v>10</v>
      </c>
      <c r="D40" s="15">
        <f>C40*111</f>
        <v>1110</v>
      </c>
      <c r="E40" s="9"/>
      <c r="F40" s="15">
        <v>10</v>
      </c>
      <c r="G40" s="46"/>
      <c r="H40" s="264"/>
      <c r="I40" s="265"/>
      <c r="J40" s="266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89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264"/>
      <c r="I41" s="265"/>
      <c r="J41" s="266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90"/>
      <c r="B42" s="30" t="s">
        <v>70</v>
      </c>
      <c r="C42" s="71">
        <v>3</v>
      </c>
      <c r="D42" s="15">
        <f>C42*2.25</f>
        <v>6.75</v>
      </c>
      <c r="E42" s="9"/>
      <c r="F42" s="43" t="s">
        <v>79</v>
      </c>
      <c r="G42" s="264">
        <v>85</v>
      </c>
      <c r="H42" s="265"/>
      <c r="I42" s="265"/>
      <c r="J42" s="266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67" t="s">
        <v>81</v>
      </c>
      <c r="C43" s="71"/>
      <c r="D43" s="15"/>
      <c r="E43" s="9"/>
      <c r="F43" s="65" t="s">
        <v>82</v>
      </c>
      <c r="G43" s="102" t="s">
        <v>83</v>
      </c>
      <c r="H43" s="270" t="s">
        <v>13</v>
      </c>
      <c r="I43" s="271"/>
      <c r="J43" s="272"/>
      <c r="K43" s="24"/>
      <c r="P43" s="4"/>
      <c r="Q43" s="4"/>
      <c r="R43" s="5"/>
    </row>
    <row r="44" spans="1:18" ht="15.75" x14ac:dyDescent="0.25">
      <c r="A44" s="268"/>
      <c r="B44" s="30" t="s">
        <v>66</v>
      </c>
      <c r="C44" s="53">
        <v>6</v>
      </c>
      <c r="D44" s="15">
        <f>C44*120</f>
        <v>720</v>
      </c>
      <c r="E44" s="9"/>
      <c r="F44" s="41"/>
      <c r="G44" s="84"/>
      <c r="H44" s="255"/>
      <c r="I44" s="255"/>
      <c r="J44" s="255"/>
      <c r="K44" s="24"/>
      <c r="P44" s="4"/>
      <c r="Q44" s="4"/>
      <c r="R44" s="5"/>
    </row>
    <row r="45" spans="1:18" ht="15.75" x14ac:dyDescent="0.25">
      <c r="A45" s="268"/>
      <c r="B45" s="30" t="s">
        <v>68</v>
      </c>
      <c r="C45" s="90">
        <v>1</v>
      </c>
      <c r="D45" s="15">
        <f>C45*84</f>
        <v>84</v>
      </c>
      <c r="E45" s="9"/>
      <c r="F45" s="41"/>
      <c r="G45" s="84"/>
      <c r="H45" s="255"/>
      <c r="I45" s="255"/>
      <c r="J45" s="255"/>
      <c r="K45" s="24"/>
      <c r="P45" s="4"/>
      <c r="Q45" s="4"/>
      <c r="R45" s="5"/>
    </row>
    <row r="46" spans="1:18" ht="15.75" x14ac:dyDescent="0.25">
      <c r="A46" s="268"/>
      <c r="B46" s="54" t="s">
        <v>70</v>
      </c>
      <c r="C46" s="91">
        <v>19</v>
      </c>
      <c r="D46" s="15">
        <f>C46*1.5</f>
        <v>28.5</v>
      </c>
      <c r="E46" s="9"/>
      <c r="F46" s="41"/>
      <c r="G46" s="69"/>
      <c r="H46" s="306"/>
      <c r="I46" s="306"/>
      <c r="J46" s="306"/>
      <c r="K46" s="24"/>
      <c r="P46" s="4"/>
      <c r="Q46" s="4"/>
      <c r="R46" s="5"/>
    </row>
    <row r="47" spans="1:18" ht="15.75" x14ac:dyDescent="0.25">
      <c r="A47" s="269"/>
      <c r="B47" s="30"/>
      <c r="C47" s="71"/>
      <c r="D47" s="15"/>
      <c r="E47" s="9"/>
      <c r="F47" s="65"/>
      <c r="G47" s="65"/>
      <c r="H47" s="273"/>
      <c r="I47" s="274"/>
      <c r="J47" s="275"/>
      <c r="K47" s="24"/>
      <c r="P47" s="4"/>
      <c r="Q47" s="4"/>
      <c r="R47" s="5"/>
    </row>
    <row r="48" spans="1:18" ht="15" customHeight="1" x14ac:dyDescent="0.25">
      <c r="A48" s="267" t="s">
        <v>32</v>
      </c>
      <c r="B48" s="30" t="s">
        <v>66</v>
      </c>
      <c r="C48" s="53">
        <v>8</v>
      </c>
      <c r="D48" s="15">
        <f>C48*78</f>
        <v>624</v>
      </c>
      <c r="E48" s="9"/>
      <c r="F48" s="65"/>
      <c r="G48" s="65"/>
      <c r="H48" s="273"/>
      <c r="I48" s="274"/>
      <c r="J48" s="275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68"/>
      <c r="B49" s="32" t="s">
        <v>68</v>
      </c>
      <c r="C49" s="90">
        <v>10</v>
      </c>
      <c r="D49" s="15">
        <f>C49*42</f>
        <v>420</v>
      </c>
      <c r="E49" s="9"/>
      <c r="F49" s="288" t="s">
        <v>86</v>
      </c>
      <c r="G49" s="240">
        <f>H34+H35+H36+H37+H38+H39+H40+H41+G42+H44+H45+H46</f>
        <v>320885</v>
      </c>
      <c r="H49" s="241"/>
      <c r="I49" s="241"/>
      <c r="J49" s="242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68"/>
      <c r="B50" s="35" t="s">
        <v>70</v>
      </c>
      <c r="C50" s="71">
        <v>15</v>
      </c>
      <c r="D50" s="15">
        <f>C50*1.5</f>
        <v>22.5</v>
      </c>
      <c r="E50" s="9"/>
      <c r="F50" s="289"/>
      <c r="G50" s="243"/>
      <c r="H50" s="244"/>
      <c r="I50" s="244"/>
      <c r="J50" s="245"/>
      <c r="K50" s="9"/>
      <c r="P50" s="4"/>
      <c r="Q50" s="4"/>
      <c r="R50" s="5"/>
    </row>
    <row r="51" spans="1:18" ht="15" customHeight="1" x14ac:dyDescent="0.25">
      <c r="A51" s="268"/>
      <c r="B51" s="30"/>
      <c r="C51" s="53"/>
      <c r="D51" s="34"/>
      <c r="E51" s="9"/>
      <c r="F51" s="290" t="s">
        <v>135</v>
      </c>
      <c r="G51" s="314">
        <f>G49-H29</f>
        <v>-180.75</v>
      </c>
      <c r="H51" s="315"/>
      <c r="I51" s="315"/>
      <c r="J51" s="316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68"/>
      <c r="B52" s="32"/>
      <c r="C52" s="36"/>
      <c r="D52" s="49"/>
      <c r="E52" s="9"/>
      <c r="F52" s="291"/>
      <c r="G52" s="317"/>
      <c r="H52" s="318"/>
      <c r="I52" s="318"/>
      <c r="J52" s="319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69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236" t="s">
        <v>90</v>
      </c>
      <c r="B54" s="276"/>
      <c r="C54" s="277"/>
      <c r="D54" s="280">
        <f>SUM(D34:D53)</f>
        <v>61502.25</v>
      </c>
      <c r="E54" s="9"/>
      <c r="F54" s="24"/>
      <c r="G54" s="9"/>
      <c r="H54" s="9"/>
      <c r="I54" s="9"/>
      <c r="J54" s="37"/>
    </row>
    <row r="55" spans="1:18" x14ac:dyDescent="0.25">
      <c r="A55" s="238"/>
      <c r="B55" s="278"/>
      <c r="C55" s="279"/>
      <c r="D55" s="281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119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282" t="s">
        <v>91</v>
      </c>
      <c r="B58" s="283"/>
      <c r="C58" s="283"/>
      <c r="D58" s="284"/>
      <c r="E58" s="9"/>
      <c r="F58" s="282" t="s">
        <v>92</v>
      </c>
      <c r="G58" s="283"/>
      <c r="H58" s="283"/>
      <c r="I58" s="283"/>
      <c r="J58" s="284"/>
    </row>
    <row r="59" spans="1:18" x14ac:dyDescent="0.25">
      <c r="A59" s="285"/>
      <c r="B59" s="286"/>
      <c r="C59" s="286"/>
      <c r="D59" s="287"/>
      <c r="E59" s="9"/>
      <c r="F59" s="285"/>
      <c r="G59" s="286"/>
      <c r="H59" s="286"/>
      <c r="I59" s="286"/>
      <c r="J59" s="287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279C3-0104-4137-B6CE-E3D90422BA00}">
  <dimension ref="A1"/>
  <sheetViews>
    <sheetView workbookViewId="0">
      <selection activeCell="I4" sqref="I4:J5"/>
    </sheetView>
  </sheetViews>
  <sheetFormatPr defaultRowHeight="15" x14ac:dyDescent="0.25"/>
  <sheetData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9B872-40C4-45A6-9072-91B5BCBB648C}">
  <dimension ref="A1:R59"/>
  <sheetViews>
    <sheetView zoomScaleNormal="100" zoomScaleSheetLayoutView="85" workbookViewId="0">
      <selection activeCell="H16" sqref="H16:J16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174" t="s">
        <v>1</v>
      </c>
      <c r="O1" s="174"/>
      <c r="P1" s="106" t="s">
        <v>2</v>
      </c>
      <c r="Q1" s="106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75" t="s">
        <v>7</v>
      </c>
      <c r="B4" s="176"/>
      <c r="C4" s="176"/>
      <c r="D4" s="177"/>
      <c r="E4" s="9"/>
      <c r="F4" s="178" t="s">
        <v>8</v>
      </c>
      <c r="G4" s="180">
        <v>1</v>
      </c>
      <c r="H4" s="182" t="s">
        <v>9</v>
      </c>
      <c r="I4" s="184">
        <v>45783</v>
      </c>
      <c r="J4" s="185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88" t="s">
        <v>7</v>
      </c>
      <c r="B5" s="18" t="s">
        <v>11</v>
      </c>
      <c r="C5" s="12" t="s">
        <v>12</v>
      </c>
      <c r="D5" s="28" t="s">
        <v>13</v>
      </c>
      <c r="E5" s="9"/>
      <c r="F5" s="179"/>
      <c r="G5" s="181"/>
      <c r="H5" s="183"/>
      <c r="I5" s="186"/>
      <c r="J5" s="187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89"/>
      <c r="B6" s="19" t="s">
        <v>15</v>
      </c>
      <c r="C6" s="53">
        <v>256</v>
      </c>
      <c r="D6" s="16">
        <f t="shared" ref="D6:D28" si="1">C6*L6</f>
        <v>188672</v>
      </c>
      <c r="E6" s="9"/>
      <c r="F6" s="191" t="s">
        <v>16</v>
      </c>
      <c r="G6" s="193" t="s">
        <v>128</v>
      </c>
      <c r="H6" s="194"/>
      <c r="I6" s="194"/>
      <c r="J6" s="195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89"/>
      <c r="B7" s="19" t="s">
        <v>18</v>
      </c>
      <c r="C7" s="53">
        <v>6</v>
      </c>
      <c r="D7" s="16">
        <f t="shared" si="1"/>
        <v>4350</v>
      </c>
      <c r="E7" s="9"/>
      <c r="F7" s="192"/>
      <c r="G7" s="196"/>
      <c r="H7" s="197"/>
      <c r="I7" s="197"/>
      <c r="J7" s="198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189"/>
      <c r="B8" s="19" t="s">
        <v>20</v>
      </c>
      <c r="C8" s="53"/>
      <c r="D8" s="16">
        <f t="shared" si="1"/>
        <v>0</v>
      </c>
      <c r="E8" s="9"/>
      <c r="F8" s="199" t="s">
        <v>21</v>
      </c>
      <c r="G8" s="201" t="s">
        <v>113</v>
      </c>
      <c r="H8" s="202"/>
      <c r="I8" s="202"/>
      <c r="J8" s="203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189"/>
      <c r="B9" s="19" t="s">
        <v>23</v>
      </c>
      <c r="C9" s="53">
        <v>40</v>
      </c>
      <c r="D9" s="16">
        <f t="shared" si="1"/>
        <v>28280</v>
      </c>
      <c r="E9" s="9"/>
      <c r="F9" s="192"/>
      <c r="G9" s="204"/>
      <c r="H9" s="205"/>
      <c r="I9" s="205"/>
      <c r="J9" s="206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189"/>
      <c r="B10" s="11" t="s">
        <v>25</v>
      </c>
      <c r="C10" s="53">
        <v>1</v>
      </c>
      <c r="D10" s="16">
        <f t="shared" si="1"/>
        <v>972</v>
      </c>
      <c r="E10" s="9"/>
      <c r="F10" s="191" t="s">
        <v>26</v>
      </c>
      <c r="G10" s="207" t="s">
        <v>132</v>
      </c>
      <c r="H10" s="208"/>
      <c r="I10" s="208"/>
      <c r="J10" s="209"/>
      <c r="K10" s="10"/>
      <c r="L10" s="6">
        <f>R36</f>
        <v>972</v>
      </c>
      <c r="P10" s="4"/>
      <c r="Q10" s="4"/>
      <c r="R10" s="5"/>
    </row>
    <row r="11" spans="1:18" ht="15.75" x14ac:dyDescent="0.25">
      <c r="A11" s="189"/>
      <c r="B11" s="20" t="s">
        <v>28</v>
      </c>
      <c r="C11" s="53"/>
      <c r="D11" s="16">
        <f t="shared" si="1"/>
        <v>0</v>
      </c>
      <c r="E11" s="9"/>
      <c r="F11" s="192"/>
      <c r="G11" s="204"/>
      <c r="H11" s="205"/>
      <c r="I11" s="205"/>
      <c r="J11" s="206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89"/>
      <c r="B12" s="20" t="s">
        <v>30</v>
      </c>
      <c r="C12" s="53"/>
      <c r="D12" s="52">
        <f t="shared" si="1"/>
        <v>0</v>
      </c>
      <c r="E12" s="9"/>
      <c r="F12" s="210" t="s">
        <v>33</v>
      </c>
      <c r="G12" s="211"/>
      <c r="H12" s="211"/>
      <c r="I12" s="211"/>
      <c r="J12" s="212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89"/>
      <c r="B13" s="20" t="s">
        <v>32</v>
      </c>
      <c r="C13" s="53">
        <v>8</v>
      </c>
      <c r="D13" s="52">
        <f t="shared" si="1"/>
        <v>2456</v>
      </c>
      <c r="E13" s="9"/>
      <c r="F13" s="213" t="s">
        <v>36</v>
      </c>
      <c r="G13" s="214"/>
      <c r="H13" s="215">
        <f>D29</f>
        <v>225659</v>
      </c>
      <c r="I13" s="216"/>
      <c r="J13" s="217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89"/>
      <c r="B14" s="17" t="s">
        <v>35</v>
      </c>
      <c r="C14" s="53">
        <v>1</v>
      </c>
      <c r="D14" s="34">
        <f t="shared" si="1"/>
        <v>11</v>
      </c>
      <c r="E14" s="9"/>
      <c r="F14" s="218" t="s">
        <v>39</v>
      </c>
      <c r="G14" s="219"/>
      <c r="H14" s="220">
        <f>D54</f>
        <v>34013.25</v>
      </c>
      <c r="I14" s="221"/>
      <c r="J14" s="222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89"/>
      <c r="B15" s="17" t="s">
        <v>38</v>
      </c>
      <c r="C15" s="53"/>
      <c r="D15" s="34">
        <f t="shared" si="1"/>
        <v>0</v>
      </c>
      <c r="E15" s="9"/>
      <c r="F15" s="223" t="s">
        <v>40</v>
      </c>
      <c r="G15" s="214"/>
      <c r="H15" s="224">
        <f>H13-H14</f>
        <v>191645.75</v>
      </c>
      <c r="I15" s="225"/>
      <c r="J15" s="226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89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227"/>
      <c r="I16" s="227"/>
      <c r="J16" s="22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89"/>
      <c r="B17" s="11" t="s">
        <v>137</v>
      </c>
      <c r="C17" s="53"/>
      <c r="D17" s="52">
        <f t="shared" si="1"/>
        <v>0</v>
      </c>
      <c r="E17" s="9"/>
      <c r="F17" s="62"/>
      <c r="G17" s="74" t="s">
        <v>45</v>
      </c>
      <c r="H17" s="200"/>
      <c r="I17" s="200"/>
      <c r="J17" s="200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89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200"/>
      <c r="I18" s="200"/>
      <c r="J18" s="200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89"/>
      <c r="B19" s="17" t="s">
        <v>140</v>
      </c>
      <c r="C19" s="53"/>
      <c r="D19" s="52">
        <f t="shared" si="1"/>
        <v>0</v>
      </c>
      <c r="E19" s="9"/>
      <c r="F19" s="62"/>
      <c r="G19" s="76" t="s">
        <v>50</v>
      </c>
      <c r="H19" s="200"/>
      <c r="I19" s="200"/>
      <c r="J19" s="200"/>
      <c r="L19" s="6">
        <v>1102</v>
      </c>
      <c r="Q19" s="4"/>
      <c r="R19" s="5">
        <f t="shared" si="0"/>
        <v>0</v>
      </c>
    </row>
    <row r="20" spans="1:18" ht="15.75" x14ac:dyDescent="0.25">
      <c r="A20" s="189"/>
      <c r="B20" s="97" t="s">
        <v>139</v>
      </c>
      <c r="C20" s="53"/>
      <c r="D20" s="16">
        <f t="shared" si="1"/>
        <v>0</v>
      </c>
      <c r="E20" s="9"/>
      <c r="F20" s="63"/>
      <c r="G20" s="78" t="s">
        <v>124</v>
      </c>
      <c r="H20" s="227"/>
      <c r="I20" s="227"/>
      <c r="J20" s="227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89"/>
      <c r="B21" s="17" t="s">
        <v>130</v>
      </c>
      <c r="C21" s="53">
        <v>1</v>
      </c>
      <c r="D21" s="52">
        <f t="shared" si="1"/>
        <v>650</v>
      </c>
      <c r="E21" s="9"/>
      <c r="F21" s="77" t="s">
        <v>99</v>
      </c>
      <c r="G21" s="92" t="s">
        <v>98</v>
      </c>
      <c r="H21" s="246" t="s">
        <v>13</v>
      </c>
      <c r="I21" s="247"/>
      <c r="J21" s="248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89"/>
      <c r="B22" s="50" t="s">
        <v>110</v>
      </c>
      <c r="C22" s="53"/>
      <c r="D22" s="52">
        <f t="shared" si="1"/>
        <v>0</v>
      </c>
      <c r="E22" s="9"/>
      <c r="F22" s="85"/>
      <c r="G22" s="81"/>
      <c r="H22" s="249"/>
      <c r="I22" s="249"/>
      <c r="J22" s="249"/>
      <c r="L22" s="7">
        <v>1142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89"/>
      <c r="B23" s="17" t="s">
        <v>125</v>
      </c>
      <c r="C23" s="53"/>
      <c r="D23" s="52">
        <f t="shared" si="1"/>
        <v>0</v>
      </c>
      <c r="E23" s="9"/>
      <c r="F23" s="85"/>
      <c r="G23" s="87"/>
      <c r="H23" s="250"/>
      <c r="I23" s="251"/>
      <c r="J23" s="251"/>
      <c r="L23" s="51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89"/>
      <c r="B24" s="17" t="s">
        <v>126</v>
      </c>
      <c r="C24" s="53"/>
      <c r="D24" s="52">
        <f t="shared" si="1"/>
        <v>0</v>
      </c>
      <c r="E24" s="9"/>
      <c r="F24" s="85"/>
      <c r="G24" s="87"/>
      <c r="H24" s="250"/>
      <c r="I24" s="251"/>
      <c r="J24" s="251"/>
      <c r="L24" s="51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89"/>
      <c r="B25" s="17" t="s">
        <v>121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52" t="s">
        <v>13</v>
      </c>
      <c r="I25" s="253"/>
      <c r="J25" s="254"/>
      <c r="L25" s="51">
        <f>852/24+1.5</f>
        <v>37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89"/>
      <c r="B26" s="17" t="s">
        <v>112</v>
      </c>
      <c r="C26" s="53">
        <v>12</v>
      </c>
      <c r="D26" s="52">
        <f t="shared" si="1"/>
        <v>268</v>
      </c>
      <c r="E26" s="9"/>
      <c r="F26" s="83"/>
      <c r="G26" s="73"/>
      <c r="H26" s="255"/>
      <c r="I26" s="255"/>
      <c r="J26" s="255"/>
      <c r="L26" s="7">
        <f>500/24+1.5</f>
        <v>22.333333333333332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89"/>
      <c r="B27" s="17" t="s">
        <v>120</v>
      </c>
      <c r="C27" s="53"/>
      <c r="D27" s="48">
        <f t="shared" si="1"/>
        <v>0</v>
      </c>
      <c r="E27" s="9"/>
      <c r="F27" s="79"/>
      <c r="G27" s="109"/>
      <c r="H27" s="256"/>
      <c r="I27" s="257"/>
      <c r="J27" s="257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90"/>
      <c r="B28" s="50" t="s">
        <v>97</v>
      </c>
      <c r="C28" s="53"/>
      <c r="D28" s="52">
        <f t="shared" si="1"/>
        <v>0</v>
      </c>
      <c r="E28" s="9"/>
      <c r="F28" s="60"/>
      <c r="G28" s="68"/>
      <c r="H28" s="258"/>
      <c r="I28" s="259"/>
      <c r="J28" s="260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28" t="s">
        <v>36</v>
      </c>
      <c r="B29" s="229"/>
      <c r="C29" s="230"/>
      <c r="D29" s="234">
        <f>SUM(D6:D28)</f>
        <v>225659</v>
      </c>
      <c r="E29" s="9"/>
      <c r="F29" s="236" t="s">
        <v>55</v>
      </c>
      <c r="G29" s="237"/>
      <c r="H29" s="240">
        <f>H15-H16-H17-H18-H19-H20-H22-H23-H24+H26+H27+H28</f>
        <v>191645.75</v>
      </c>
      <c r="I29" s="241"/>
      <c r="J29" s="242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231"/>
      <c r="B30" s="232"/>
      <c r="C30" s="233"/>
      <c r="D30" s="235"/>
      <c r="E30" s="9"/>
      <c r="F30" s="238"/>
      <c r="G30" s="239"/>
      <c r="H30" s="243"/>
      <c r="I30" s="244"/>
      <c r="J30" s="245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5" t="s">
        <v>58</v>
      </c>
      <c r="B32" s="176"/>
      <c r="C32" s="176"/>
      <c r="D32" s="177"/>
      <c r="E32" s="11"/>
      <c r="F32" s="261" t="s">
        <v>59</v>
      </c>
      <c r="G32" s="262"/>
      <c r="H32" s="262"/>
      <c r="I32" s="262"/>
      <c r="J32" s="263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07" t="s">
        <v>63</v>
      </c>
      <c r="H33" s="261" t="s">
        <v>13</v>
      </c>
      <c r="I33" s="262"/>
      <c r="J33" s="263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88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44">
        <v>140</v>
      </c>
      <c r="H34" s="264">
        <f t="shared" ref="H34:H39" si="2">F34*G34</f>
        <v>140000</v>
      </c>
      <c r="I34" s="265"/>
      <c r="J34" s="266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89"/>
      <c r="B35" s="30" t="s">
        <v>68</v>
      </c>
      <c r="C35" s="57"/>
      <c r="D35" s="33">
        <f>C35*84</f>
        <v>0</v>
      </c>
      <c r="E35" s="9"/>
      <c r="F35" s="64">
        <v>500</v>
      </c>
      <c r="G35" s="45">
        <v>96</v>
      </c>
      <c r="H35" s="264">
        <f t="shared" si="2"/>
        <v>48000</v>
      </c>
      <c r="I35" s="265"/>
      <c r="J35" s="266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90"/>
      <c r="B36" s="29" t="s">
        <v>70</v>
      </c>
      <c r="C36" s="53">
        <v>9</v>
      </c>
      <c r="D36" s="15">
        <f>C36*1.5</f>
        <v>13.5</v>
      </c>
      <c r="E36" s="9"/>
      <c r="F36" s="15">
        <v>200</v>
      </c>
      <c r="G36" s="41">
        <v>1</v>
      </c>
      <c r="H36" s="264">
        <f t="shared" si="2"/>
        <v>200</v>
      </c>
      <c r="I36" s="265"/>
      <c r="J36" s="266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88" t="s">
        <v>72</v>
      </c>
      <c r="B37" s="31" t="s">
        <v>66</v>
      </c>
      <c r="C37" s="58">
        <v>279</v>
      </c>
      <c r="D37" s="15">
        <f>C37*111</f>
        <v>30969</v>
      </c>
      <c r="E37" s="9"/>
      <c r="F37" s="15">
        <v>100</v>
      </c>
      <c r="G37" s="43">
        <v>23</v>
      </c>
      <c r="H37" s="264">
        <f t="shared" si="2"/>
        <v>2300</v>
      </c>
      <c r="I37" s="265"/>
      <c r="J37" s="266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89"/>
      <c r="B38" s="32" t="s">
        <v>68</v>
      </c>
      <c r="C38" s="59">
        <v>16</v>
      </c>
      <c r="D38" s="15">
        <f>C38*84</f>
        <v>1344</v>
      </c>
      <c r="E38" s="9"/>
      <c r="F38" s="33">
        <v>50</v>
      </c>
      <c r="G38" s="43">
        <v>4</v>
      </c>
      <c r="H38" s="264">
        <f t="shared" si="2"/>
        <v>200</v>
      </c>
      <c r="I38" s="265"/>
      <c r="J38" s="266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90"/>
      <c r="B39" s="32" t="s">
        <v>70</v>
      </c>
      <c r="C39" s="57">
        <v>3</v>
      </c>
      <c r="D39" s="34">
        <f>C39*4.5</f>
        <v>13.5</v>
      </c>
      <c r="E39" s="9"/>
      <c r="F39" s="15">
        <v>20</v>
      </c>
      <c r="G39" s="41">
        <v>3</v>
      </c>
      <c r="H39" s="264">
        <f t="shared" si="2"/>
        <v>60</v>
      </c>
      <c r="I39" s="265"/>
      <c r="J39" s="266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88" t="s">
        <v>76</v>
      </c>
      <c r="B40" s="30" t="s">
        <v>66</v>
      </c>
      <c r="C40" s="70">
        <v>8</v>
      </c>
      <c r="D40" s="15">
        <f>C40*111</f>
        <v>888</v>
      </c>
      <c r="E40" s="9"/>
      <c r="F40" s="15">
        <v>10</v>
      </c>
      <c r="G40" s="46"/>
      <c r="H40" s="264"/>
      <c r="I40" s="265"/>
      <c r="J40" s="266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89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264"/>
      <c r="I41" s="265"/>
      <c r="J41" s="266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90"/>
      <c r="B42" s="30" t="s">
        <v>70</v>
      </c>
      <c r="C42" s="71">
        <v>7</v>
      </c>
      <c r="D42" s="15">
        <f>C42*2.25</f>
        <v>15.75</v>
      </c>
      <c r="E42" s="9"/>
      <c r="F42" s="43" t="s">
        <v>79</v>
      </c>
      <c r="G42" s="264">
        <v>74</v>
      </c>
      <c r="H42" s="265"/>
      <c r="I42" s="265"/>
      <c r="J42" s="266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67" t="s">
        <v>81</v>
      </c>
      <c r="C43" s="71"/>
      <c r="D43" s="15"/>
      <c r="E43" s="9"/>
      <c r="F43" s="65" t="s">
        <v>82</v>
      </c>
      <c r="G43" s="109" t="s">
        <v>83</v>
      </c>
      <c r="H43" s="270" t="s">
        <v>13</v>
      </c>
      <c r="I43" s="271"/>
      <c r="J43" s="272"/>
      <c r="K43" s="24"/>
      <c r="O43" t="s">
        <v>103</v>
      </c>
      <c r="P43" s="4">
        <v>1667</v>
      </c>
      <c r="Q43" s="4"/>
      <c r="R43" s="5"/>
    </row>
    <row r="44" spans="1:18" ht="15.75" x14ac:dyDescent="0.25">
      <c r="A44" s="268"/>
      <c r="B44" s="30" t="s">
        <v>66</v>
      </c>
      <c r="C44" s="53">
        <v>1</v>
      </c>
      <c r="D44" s="15">
        <f>C44*120</f>
        <v>120</v>
      </c>
      <c r="E44" s="9"/>
      <c r="F44" s="41"/>
      <c r="G44" s="69"/>
      <c r="H44" s="255"/>
      <c r="I44" s="255"/>
      <c r="J44" s="255"/>
      <c r="K44" s="24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268"/>
      <c r="B45" s="30" t="s">
        <v>68</v>
      </c>
      <c r="C45" s="90">
        <v>2</v>
      </c>
      <c r="D45" s="15">
        <f>C45*84</f>
        <v>168</v>
      </c>
      <c r="E45" s="9"/>
      <c r="F45" s="41"/>
      <c r="G45" s="69"/>
      <c r="H45" s="255"/>
      <c r="I45" s="255"/>
      <c r="J45" s="255"/>
      <c r="K45" s="24"/>
      <c r="P45" s="4"/>
      <c r="Q45" s="4"/>
      <c r="R45" s="5"/>
    </row>
    <row r="46" spans="1:18" ht="15.75" x14ac:dyDescent="0.25">
      <c r="A46" s="268"/>
      <c r="B46" s="54" t="s">
        <v>70</v>
      </c>
      <c r="C46" s="91">
        <v>22</v>
      </c>
      <c r="D46" s="15">
        <f>C46*1.5</f>
        <v>33</v>
      </c>
      <c r="E46" s="9"/>
      <c r="F46" s="41"/>
      <c r="G46" s="69"/>
      <c r="H46" s="255"/>
      <c r="I46" s="255"/>
      <c r="J46" s="255"/>
      <c r="K46" s="24"/>
      <c r="P46" s="4"/>
      <c r="Q46" s="4"/>
      <c r="R46" s="5"/>
    </row>
    <row r="47" spans="1:18" ht="15.75" x14ac:dyDescent="0.25">
      <c r="A47" s="269"/>
      <c r="B47" s="30"/>
      <c r="C47" s="71"/>
      <c r="D47" s="15"/>
      <c r="E47" s="9"/>
      <c r="F47" s="65"/>
      <c r="G47" s="65"/>
      <c r="H47" s="273"/>
      <c r="I47" s="274"/>
      <c r="J47" s="275"/>
      <c r="K47" s="24"/>
      <c r="P47" s="4"/>
      <c r="Q47" s="4"/>
      <c r="R47" s="5"/>
    </row>
    <row r="48" spans="1:18" ht="15" customHeight="1" x14ac:dyDescent="0.25">
      <c r="A48" s="267" t="s">
        <v>32</v>
      </c>
      <c r="B48" s="30" t="s">
        <v>66</v>
      </c>
      <c r="C48" s="53">
        <v>5</v>
      </c>
      <c r="D48" s="15">
        <f>C48*78</f>
        <v>390</v>
      </c>
      <c r="E48" s="9"/>
      <c r="F48" s="65"/>
      <c r="G48" s="65"/>
      <c r="H48" s="273"/>
      <c r="I48" s="274"/>
      <c r="J48" s="275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68"/>
      <c r="B49" s="32" t="s">
        <v>68</v>
      </c>
      <c r="C49" s="90">
        <v>1</v>
      </c>
      <c r="D49" s="15">
        <f>C49*42</f>
        <v>42</v>
      </c>
      <c r="E49" s="9"/>
      <c r="F49" s="288" t="s">
        <v>86</v>
      </c>
      <c r="G49" s="240">
        <f>H34+H35+H36+H37+H38+H39+H40+H41+G42+H44+H45+H46</f>
        <v>190834</v>
      </c>
      <c r="H49" s="241"/>
      <c r="I49" s="241"/>
      <c r="J49" s="242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68"/>
      <c r="B50" s="35" t="s">
        <v>70</v>
      </c>
      <c r="C50" s="71">
        <v>11</v>
      </c>
      <c r="D50" s="15">
        <f>C50*1.5</f>
        <v>16.5</v>
      </c>
      <c r="E50" s="9"/>
      <c r="F50" s="289"/>
      <c r="G50" s="243"/>
      <c r="H50" s="244"/>
      <c r="I50" s="244"/>
      <c r="J50" s="245"/>
      <c r="K50" s="9"/>
      <c r="P50" s="4"/>
      <c r="Q50" s="4"/>
      <c r="R50" s="5"/>
    </row>
    <row r="51" spans="1:18" ht="15" customHeight="1" x14ac:dyDescent="0.25">
      <c r="A51" s="268"/>
      <c r="B51" s="30"/>
      <c r="C51" s="13"/>
      <c r="D51" s="34"/>
      <c r="E51" s="9"/>
      <c r="F51" s="290" t="s">
        <v>135</v>
      </c>
      <c r="G51" s="292">
        <f>G49-H29</f>
        <v>-811.75</v>
      </c>
      <c r="H51" s="293"/>
      <c r="I51" s="293"/>
      <c r="J51" s="294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68"/>
      <c r="B52" s="32"/>
      <c r="C52" s="36"/>
      <c r="D52" s="49"/>
      <c r="E52" s="9"/>
      <c r="F52" s="291"/>
      <c r="G52" s="295"/>
      <c r="H52" s="296"/>
      <c r="I52" s="296"/>
      <c r="J52" s="297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69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236" t="s">
        <v>90</v>
      </c>
      <c r="B54" s="276"/>
      <c r="C54" s="277"/>
      <c r="D54" s="280">
        <f>SUM(D34:D53)</f>
        <v>34013.25</v>
      </c>
      <c r="E54" s="9"/>
      <c r="F54" s="24"/>
      <c r="G54" s="9"/>
      <c r="H54" s="9"/>
      <c r="I54" s="9"/>
      <c r="J54" s="37"/>
      <c r="O54" t="s">
        <v>102</v>
      </c>
      <c r="P54" s="4">
        <v>1582</v>
      </c>
      <c r="R54" s="3">
        <v>1582</v>
      </c>
    </row>
    <row r="55" spans="1:18" x14ac:dyDescent="0.25">
      <c r="A55" s="238"/>
      <c r="B55" s="278"/>
      <c r="C55" s="279"/>
      <c r="D55" s="281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129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282" t="s">
        <v>91</v>
      </c>
      <c r="B58" s="283"/>
      <c r="C58" s="283"/>
      <c r="D58" s="284"/>
      <c r="E58" s="9"/>
      <c r="F58" s="282" t="s">
        <v>92</v>
      </c>
      <c r="G58" s="283"/>
      <c r="H58" s="283"/>
      <c r="I58" s="283"/>
      <c r="J58" s="284"/>
    </row>
    <row r="59" spans="1:18" x14ac:dyDescent="0.25">
      <c r="A59" s="285"/>
      <c r="B59" s="286"/>
      <c r="C59" s="286"/>
      <c r="D59" s="287"/>
      <c r="E59" s="9"/>
      <c r="F59" s="285"/>
      <c r="G59" s="286"/>
      <c r="H59" s="286"/>
      <c r="I59" s="286"/>
      <c r="J59" s="287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F4896-4DA0-4117-9874-DA26A2F7BEA1}">
  <dimension ref="A1"/>
  <sheetViews>
    <sheetView workbookViewId="0">
      <selection activeCell="I4" sqref="I4:J5"/>
    </sheetView>
  </sheetViews>
  <sheetFormatPr defaultRowHeight="15" x14ac:dyDescent="0.25"/>
  <sheetData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1169F-9FEA-417C-93BB-B8A76231210E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174" t="s">
        <v>1</v>
      </c>
      <c r="O1" s="174"/>
      <c r="P1" s="106" t="s">
        <v>2</v>
      </c>
      <c r="Q1" s="106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75" t="s">
        <v>7</v>
      </c>
      <c r="B4" s="176"/>
      <c r="C4" s="176"/>
      <c r="D4" s="177"/>
      <c r="E4" s="9"/>
      <c r="F4" s="178" t="s">
        <v>8</v>
      </c>
      <c r="G4" s="180">
        <v>2</v>
      </c>
      <c r="H4" s="182" t="s">
        <v>9</v>
      </c>
      <c r="I4" s="184">
        <v>45783</v>
      </c>
      <c r="J4" s="185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88" t="s">
        <v>7</v>
      </c>
      <c r="B5" s="18" t="s">
        <v>11</v>
      </c>
      <c r="C5" s="12" t="s">
        <v>12</v>
      </c>
      <c r="D5" s="28" t="s">
        <v>13</v>
      </c>
      <c r="E5" s="9"/>
      <c r="F5" s="179"/>
      <c r="G5" s="181"/>
      <c r="H5" s="183"/>
      <c r="I5" s="186"/>
      <c r="J5" s="187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89"/>
      <c r="B6" s="19" t="s">
        <v>15</v>
      </c>
      <c r="C6" s="53">
        <v>476</v>
      </c>
      <c r="D6" s="16">
        <f t="shared" ref="D6:D28" si="1">C6*L6</f>
        <v>350812</v>
      </c>
      <c r="E6" s="9"/>
      <c r="F6" s="191" t="s">
        <v>16</v>
      </c>
      <c r="G6" s="193" t="s">
        <v>127</v>
      </c>
      <c r="H6" s="194"/>
      <c r="I6" s="194"/>
      <c r="J6" s="195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89"/>
      <c r="B7" s="19" t="s">
        <v>18</v>
      </c>
      <c r="C7" s="53">
        <v>7</v>
      </c>
      <c r="D7" s="16">
        <f t="shared" si="1"/>
        <v>5075</v>
      </c>
      <c r="E7" s="9"/>
      <c r="F7" s="192"/>
      <c r="G7" s="196"/>
      <c r="H7" s="197"/>
      <c r="I7" s="197"/>
      <c r="J7" s="198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189"/>
      <c r="B8" s="19" t="s">
        <v>20</v>
      </c>
      <c r="C8" s="53">
        <v>1</v>
      </c>
      <c r="D8" s="16">
        <f t="shared" si="1"/>
        <v>1033</v>
      </c>
      <c r="E8" s="9"/>
      <c r="F8" s="199" t="s">
        <v>21</v>
      </c>
      <c r="G8" s="201" t="s">
        <v>115</v>
      </c>
      <c r="H8" s="202"/>
      <c r="I8" s="202"/>
      <c r="J8" s="203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189"/>
      <c r="B9" s="19" t="s">
        <v>23</v>
      </c>
      <c r="C9" s="53">
        <v>65</v>
      </c>
      <c r="D9" s="16">
        <f t="shared" si="1"/>
        <v>45955</v>
      </c>
      <c r="E9" s="9"/>
      <c r="F9" s="192"/>
      <c r="G9" s="204"/>
      <c r="H9" s="205"/>
      <c r="I9" s="205"/>
      <c r="J9" s="206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189"/>
      <c r="B10" s="11" t="s">
        <v>25</v>
      </c>
      <c r="C10" s="53">
        <v>1</v>
      </c>
      <c r="D10" s="16">
        <f t="shared" si="1"/>
        <v>972</v>
      </c>
      <c r="E10" s="9"/>
      <c r="F10" s="191" t="s">
        <v>26</v>
      </c>
      <c r="G10" s="207" t="s">
        <v>116</v>
      </c>
      <c r="H10" s="208"/>
      <c r="I10" s="208"/>
      <c r="J10" s="209"/>
      <c r="K10" s="10"/>
      <c r="L10" s="6">
        <f>R36</f>
        <v>972</v>
      </c>
      <c r="P10" s="4"/>
      <c r="Q10" s="4"/>
      <c r="R10" s="5"/>
    </row>
    <row r="11" spans="1:18" ht="15.75" x14ac:dyDescent="0.25">
      <c r="A11" s="189"/>
      <c r="B11" s="20" t="s">
        <v>28</v>
      </c>
      <c r="C11" s="53"/>
      <c r="D11" s="16">
        <f t="shared" si="1"/>
        <v>0</v>
      </c>
      <c r="E11" s="9"/>
      <c r="F11" s="192"/>
      <c r="G11" s="204"/>
      <c r="H11" s="205"/>
      <c r="I11" s="205"/>
      <c r="J11" s="206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89"/>
      <c r="B12" s="20" t="s">
        <v>30</v>
      </c>
      <c r="C12" s="53"/>
      <c r="D12" s="52">
        <f t="shared" si="1"/>
        <v>0</v>
      </c>
      <c r="E12" s="9"/>
      <c r="F12" s="210" t="s">
        <v>33</v>
      </c>
      <c r="G12" s="211"/>
      <c r="H12" s="211"/>
      <c r="I12" s="211"/>
      <c r="J12" s="212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89"/>
      <c r="B13" s="20" t="s">
        <v>32</v>
      </c>
      <c r="C13" s="53">
        <v>27</v>
      </c>
      <c r="D13" s="52">
        <f t="shared" si="1"/>
        <v>8289</v>
      </c>
      <c r="E13" s="9"/>
      <c r="F13" s="213" t="s">
        <v>36</v>
      </c>
      <c r="G13" s="214"/>
      <c r="H13" s="215">
        <f>D29</f>
        <v>419091</v>
      </c>
      <c r="I13" s="216"/>
      <c r="J13" s="217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89"/>
      <c r="B14" s="17" t="s">
        <v>35</v>
      </c>
      <c r="C14" s="53">
        <v>20</v>
      </c>
      <c r="D14" s="34">
        <f t="shared" si="1"/>
        <v>220</v>
      </c>
      <c r="E14" s="9"/>
      <c r="F14" s="218" t="s">
        <v>39</v>
      </c>
      <c r="G14" s="219"/>
      <c r="H14" s="220">
        <f>D54</f>
        <v>58022.25</v>
      </c>
      <c r="I14" s="221"/>
      <c r="J14" s="222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89"/>
      <c r="B15" s="17" t="s">
        <v>38</v>
      </c>
      <c r="C15" s="53">
        <v>2</v>
      </c>
      <c r="D15" s="34">
        <f t="shared" si="1"/>
        <v>1240</v>
      </c>
      <c r="E15" s="9"/>
      <c r="F15" s="223" t="s">
        <v>40</v>
      </c>
      <c r="G15" s="214"/>
      <c r="H15" s="224">
        <f>H13-H14</f>
        <v>361068.75</v>
      </c>
      <c r="I15" s="225"/>
      <c r="J15" s="226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89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227">
        <f>417*9</f>
        <v>3753</v>
      </c>
      <c r="I16" s="227"/>
      <c r="J16" s="22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89"/>
      <c r="B17" s="11" t="s">
        <v>93</v>
      </c>
      <c r="C17" s="53"/>
      <c r="D17" s="52">
        <f t="shared" si="1"/>
        <v>0</v>
      </c>
      <c r="E17" s="9"/>
      <c r="F17" s="62"/>
      <c r="G17" s="74" t="s">
        <v>45</v>
      </c>
      <c r="H17" s="200"/>
      <c r="I17" s="200"/>
      <c r="J17" s="200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89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200"/>
      <c r="I18" s="200"/>
      <c r="J18" s="200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89"/>
      <c r="B19" s="17" t="s">
        <v>96</v>
      </c>
      <c r="C19" s="53"/>
      <c r="D19" s="52">
        <f t="shared" si="1"/>
        <v>0</v>
      </c>
      <c r="E19" s="9"/>
      <c r="F19" s="62"/>
      <c r="G19" s="76" t="s">
        <v>50</v>
      </c>
      <c r="H19" s="298"/>
      <c r="I19" s="298"/>
      <c r="J19" s="298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89"/>
      <c r="B20" s="50" t="s">
        <v>131</v>
      </c>
      <c r="C20" s="53"/>
      <c r="D20" s="16">
        <f t="shared" si="1"/>
        <v>0</v>
      </c>
      <c r="E20" s="9"/>
      <c r="F20" s="63"/>
      <c r="G20" s="78" t="s">
        <v>124</v>
      </c>
      <c r="H20" s="200"/>
      <c r="I20" s="200"/>
      <c r="J20" s="200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89"/>
      <c r="B21" s="17" t="s">
        <v>130</v>
      </c>
      <c r="C21" s="53"/>
      <c r="D21" s="52">
        <f t="shared" si="1"/>
        <v>0</v>
      </c>
      <c r="E21" s="9"/>
      <c r="F21" s="77" t="s">
        <v>99</v>
      </c>
      <c r="G21" s="92" t="s">
        <v>98</v>
      </c>
      <c r="H21" s="246" t="s">
        <v>13</v>
      </c>
      <c r="I21" s="247"/>
      <c r="J21" s="248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89"/>
      <c r="B22" s="50" t="s">
        <v>104</v>
      </c>
      <c r="C22" s="53"/>
      <c r="D22" s="52">
        <f t="shared" si="1"/>
        <v>0</v>
      </c>
      <c r="E22" s="9"/>
      <c r="F22" s="80"/>
      <c r="G22" s="81"/>
      <c r="H22" s="249"/>
      <c r="I22" s="249"/>
      <c r="J22" s="249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89"/>
      <c r="B23" s="17" t="s">
        <v>107</v>
      </c>
      <c r="C23" s="53"/>
      <c r="D23" s="52">
        <f t="shared" si="1"/>
        <v>0</v>
      </c>
      <c r="E23" s="9"/>
      <c r="F23" s="28"/>
      <c r="G23" s="41"/>
      <c r="H23" s="299"/>
      <c r="I23" s="255"/>
      <c r="J23" s="255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89"/>
      <c r="B24" s="17" t="s">
        <v>133</v>
      </c>
      <c r="C24" s="53"/>
      <c r="D24" s="52">
        <f t="shared" si="1"/>
        <v>0</v>
      </c>
      <c r="E24" s="9"/>
      <c r="F24" s="42"/>
      <c r="G24" s="41"/>
      <c r="H24" s="299"/>
      <c r="I24" s="255"/>
      <c r="J24" s="255"/>
      <c r="L24" s="51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89"/>
      <c r="B25" s="17" t="s">
        <v>134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52" t="s">
        <v>13</v>
      </c>
      <c r="I25" s="253"/>
      <c r="J25" s="254"/>
      <c r="L25" s="51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89"/>
      <c r="B26" s="17" t="s">
        <v>105</v>
      </c>
      <c r="C26" s="53"/>
      <c r="D26" s="52">
        <f t="shared" si="1"/>
        <v>0</v>
      </c>
      <c r="E26" s="9"/>
      <c r="F26" s="72"/>
      <c r="G26" s="13"/>
      <c r="H26" s="300"/>
      <c r="I26" s="301"/>
      <c r="J26" s="302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89"/>
      <c r="B27" s="17" t="s">
        <v>109</v>
      </c>
      <c r="C27" s="53"/>
      <c r="D27" s="48">
        <f t="shared" si="1"/>
        <v>0</v>
      </c>
      <c r="E27" s="9"/>
      <c r="F27" s="67"/>
      <c r="G27" s="67"/>
      <c r="H27" s="303"/>
      <c r="I27" s="304"/>
      <c r="J27" s="305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90"/>
      <c r="B28" s="50" t="s">
        <v>97</v>
      </c>
      <c r="C28" s="53">
        <v>7</v>
      </c>
      <c r="D28" s="52">
        <f t="shared" si="1"/>
        <v>5495</v>
      </c>
      <c r="E28" s="9"/>
      <c r="F28" s="60"/>
      <c r="G28" s="68"/>
      <c r="H28" s="258"/>
      <c r="I28" s="259"/>
      <c r="J28" s="260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28" t="s">
        <v>36</v>
      </c>
      <c r="B29" s="229"/>
      <c r="C29" s="230"/>
      <c r="D29" s="234">
        <f>SUM(D6:D28)</f>
        <v>419091</v>
      </c>
      <c r="E29" s="9"/>
      <c r="F29" s="236" t="s">
        <v>55</v>
      </c>
      <c r="G29" s="237"/>
      <c r="H29" s="240">
        <f>H15-H16-H17-H18-H19-H20-H22-H23-H24+H26+H27</f>
        <v>357315.75</v>
      </c>
      <c r="I29" s="241"/>
      <c r="J29" s="242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231"/>
      <c r="B30" s="232"/>
      <c r="C30" s="233"/>
      <c r="D30" s="235"/>
      <c r="E30" s="9"/>
      <c r="F30" s="238"/>
      <c r="G30" s="239"/>
      <c r="H30" s="243"/>
      <c r="I30" s="244"/>
      <c r="J30" s="245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5" t="s">
        <v>58</v>
      </c>
      <c r="B32" s="176"/>
      <c r="C32" s="176"/>
      <c r="D32" s="177"/>
      <c r="E32" s="11"/>
      <c r="F32" s="261" t="s">
        <v>59</v>
      </c>
      <c r="G32" s="262"/>
      <c r="H32" s="262"/>
      <c r="I32" s="262"/>
      <c r="J32" s="263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07" t="s">
        <v>63</v>
      </c>
      <c r="H33" s="261" t="s">
        <v>13</v>
      </c>
      <c r="I33" s="262"/>
      <c r="J33" s="263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88" t="s">
        <v>65</v>
      </c>
      <c r="B34" s="29" t="s">
        <v>66</v>
      </c>
      <c r="C34" s="56">
        <v>1</v>
      </c>
      <c r="D34" s="33">
        <f>C34*120</f>
        <v>120</v>
      </c>
      <c r="E34" s="9"/>
      <c r="F34" s="15">
        <v>1000</v>
      </c>
      <c r="G34" s="82">
        <v>329</v>
      </c>
      <c r="H34" s="264">
        <f>F34*G34</f>
        <v>329000</v>
      </c>
      <c r="I34" s="265"/>
      <c r="J34" s="266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89"/>
      <c r="B35" s="30" t="s">
        <v>68</v>
      </c>
      <c r="C35" s="57"/>
      <c r="D35" s="33">
        <f>C35*84</f>
        <v>0</v>
      </c>
      <c r="E35" s="9"/>
      <c r="F35" s="64">
        <v>500</v>
      </c>
      <c r="G35" s="45">
        <v>40</v>
      </c>
      <c r="H35" s="264">
        <f t="shared" ref="H35:H39" si="2">F35*G35</f>
        <v>20000</v>
      </c>
      <c r="I35" s="265"/>
      <c r="J35" s="266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90"/>
      <c r="B36" s="29" t="s">
        <v>70</v>
      </c>
      <c r="C36" s="53"/>
      <c r="D36" s="15">
        <f>C36*1.5</f>
        <v>0</v>
      </c>
      <c r="E36" s="9"/>
      <c r="F36" s="15">
        <v>200</v>
      </c>
      <c r="G36" s="41">
        <v>3</v>
      </c>
      <c r="H36" s="264">
        <f t="shared" si="2"/>
        <v>600</v>
      </c>
      <c r="I36" s="265"/>
      <c r="J36" s="266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88" t="s">
        <v>72</v>
      </c>
      <c r="B37" s="31" t="s">
        <v>66</v>
      </c>
      <c r="C37" s="58">
        <v>485</v>
      </c>
      <c r="D37" s="15">
        <f>C37*111</f>
        <v>53835</v>
      </c>
      <c r="E37" s="9"/>
      <c r="F37" s="15">
        <v>100</v>
      </c>
      <c r="G37" s="43">
        <v>44</v>
      </c>
      <c r="H37" s="264">
        <f t="shared" si="2"/>
        <v>4400</v>
      </c>
      <c r="I37" s="265"/>
      <c r="J37" s="266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89"/>
      <c r="B38" s="32" t="s">
        <v>68</v>
      </c>
      <c r="C38" s="59">
        <v>23</v>
      </c>
      <c r="D38" s="15">
        <f>C38*84</f>
        <v>1932</v>
      </c>
      <c r="E38" s="9"/>
      <c r="F38" s="33">
        <v>50</v>
      </c>
      <c r="G38" s="43">
        <v>29</v>
      </c>
      <c r="H38" s="264">
        <f t="shared" si="2"/>
        <v>1450</v>
      </c>
      <c r="I38" s="265"/>
      <c r="J38" s="266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90"/>
      <c r="B39" s="32" t="s">
        <v>70</v>
      </c>
      <c r="C39" s="57">
        <v>5</v>
      </c>
      <c r="D39" s="34">
        <f>C39*4.5</f>
        <v>22.5</v>
      </c>
      <c r="E39" s="9"/>
      <c r="F39" s="15">
        <v>20</v>
      </c>
      <c r="G39" s="41">
        <v>4</v>
      </c>
      <c r="H39" s="264">
        <f t="shared" si="2"/>
        <v>80</v>
      </c>
      <c r="I39" s="265"/>
      <c r="J39" s="266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88" t="s">
        <v>76</v>
      </c>
      <c r="B40" s="30" t="s">
        <v>66</v>
      </c>
      <c r="C40" s="70">
        <v>3</v>
      </c>
      <c r="D40" s="15">
        <f>C40*111</f>
        <v>333</v>
      </c>
      <c r="E40" s="9"/>
      <c r="F40" s="15">
        <v>10</v>
      </c>
      <c r="G40" s="46"/>
      <c r="H40" s="264"/>
      <c r="I40" s="265"/>
      <c r="J40" s="266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89"/>
      <c r="B41" s="30" t="s">
        <v>68</v>
      </c>
      <c r="C41" s="53">
        <v>1</v>
      </c>
      <c r="D41" s="15">
        <f>C41*84</f>
        <v>84</v>
      </c>
      <c r="E41" s="9"/>
      <c r="F41" s="15">
        <v>5</v>
      </c>
      <c r="G41" s="46"/>
      <c r="H41" s="264"/>
      <c r="I41" s="265"/>
      <c r="J41" s="266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90"/>
      <c r="B42" s="30" t="s">
        <v>70</v>
      </c>
      <c r="C42" s="71">
        <v>9</v>
      </c>
      <c r="D42" s="15">
        <f>C42*2.25</f>
        <v>20.25</v>
      </c>
      <c r="E42" s="9"/>
      <c r="F42" s="43" t="s">
        <v>79</v>
      </c>
      <c r="G42" s="264">
        <v>266</v>
      </c>
      <c r="H42" s="265"/>
      <c r="I42" s="265"/>
      <c r="J42" s="266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67" t="s">
        <v>81</v>
      </c>
      <c r="C43" s="71"/>
      <c r="D43" s="15"/>
      <c r="E43" s="9"/>
      <c r="F43" s="65" t="s">
        <v>82</v>
      </c>
      <c r="G43" s="109" t="s">
        <v>83</v>
      </c>
      <c r="H43" s="270" t="s">
        <v>13</v>
      </c>
      <c r="I43" s="271"/>
      <c r="J43" s="272"/>
      <c r="K43" s="24"/>
      <c r="P43" s="4"/>
      <c r="Q43" s="4"/>
      <c r="R43" s="5"/>
    </row>
    <row r="44" spans="1:18" ht="15.75" x14ac:dyDescent="0.25">
      <c r="A44" s="268"/>
      <c r="B44" s="30" t="s">
        <v>66</v>
      </c>
      <c r="C44" s="53">
        <v>1</v>
      </c>
      <c r="D44" s="15">
        <f>C44*120</f>
        <v>120</v>
      </c>
      <c r="E44" s="9"/>
      <c r="F44" s="41"/>
      <c r="G44" s="69"/>
      <c r="H44" s="255"/>
      <c r="I44" s="255"/>
      <c r="J44" s="255"/>
      <c r="K44" s="24"/>
      <c r="P44" s="4"/>
      <c r="Q44" s="4"/>
      <c r="R44" s="5"/>
    </row>
    <row r="45" spans="1:18" ht="15.75" x14ac:dyDescent="0.25">
      <c r="A45" s="268"/>
      <c r="B45" s="30" t="s">
        <v>68</v>
      </c>
      <c r="C45" s="90"/>
      <c r="D45" s="15">
        <f>C45*84</f>
        <v>0</v>
      </c>
      <c r="E45" s="9"/>
      <c r="F45" s="41"/>
      <c r="G45" s="69"/>
      <c r="H45" s="255"/>
      <c r="I45" s="255"/>
      <c r="J45" s="255"/>
      <c r="K45" s="24"/>
      <c r="P45" s="4"/>
      <c r="Q45" s="4"/>
      <c r="R45" s="5"/>
    </row>
    <row r="46" spans="1:18" ht="15.75" x14ac:dyDescent="0.25">
      <c r="A46" s="268"/>
      <c r="B46" s="54" t="s">
        <v>70</v>
      </c>
      <c r="C46" s="91"/>
      <c r="D46" s="15">
        <f>C46*1.5</f>
        <v>0</v>
      </c>
      <c r="E46" s="9"/>
      <c r="F46" s="41"/>
      <c r="G46" s="108"/>
      <c r="H46" s="306"/>
      <c r="I46" s="306"/>
      <c r="J46" s="306"/>
      <c r="K46" s="24"/>
      <c r="P46" s="4"/>
      <c r="Q46" s="4"/>
      <c r="R46" s="5"/>
    </row>
    <row r="47" spans="1:18" ht="15.75" x14ac:dyDescent="0.25">
      <c r="A47" s="269"/>
      <c r="B47" s="30"/>
      <c r="C47" s="71"/>
      <c r="D47" s="15"/>
      <c r="E47" s="9"/>
      <c r="F47" s="65"/>
      <c r="G47" s="65"/>
      <c r="H47" s="273"/>
      <c r="I47" s="274"/>
      <c r="J47" s="275"/>
      <c r="K47" s="24"/>
      <c r="P47" s="4"/>
      <c r="Q47" s="4"/>
      <c r="R47" s="5"/>
    </row>
    <row r="48" spans="1:18" ht="15" customHeight="1" x14ac:dyDescent="0.25">
      <c r="A48" s="267" t="s">
        <v>32</v>
      </c>
      <c r="B48" s="30" t="s">
        <v>66</v>
      </c>
      <c r="C48" s="53">
        <v>19</v>
      </c>
      <c r="D48" s="15">
        <f>C48*78</f>
        <v>1482</v>
      </c>
      <c r="E48" s="9"/>
      <c r="F48" s="65"/>
      <c r="G48" s="65"/>
      <c r="H48" s="273"/>
      <c r="I48" s="274"/>
      <c r="J48" s="275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68"/>
      <c r="B49" s="32" t="s">
        <v>68</v>
      </c>
      <c r="C49" s="90">
        <v>1</v>
      </c>
      <c r="D49" s="15">
        <f>C49*42</f>
        <v>42</v>
      </c>
      <c r="E49" s="9"/>
      <c r="F49" s="288" t="s">
        <v>86</v>
      </c>
      <c r="G49" s="240">
        <f>H34+H35+H36+H37+H38+H39+H40+H41+G42+H44+H45+H46</f>
        <v>355796</v>
      </c>
      <c r="H49" s="241"/>
      <c r="I49" s="241"/>
      <c r="J49" s="242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68"/>
      <c r="B50" s="35" t="s">
        <v>70</v>
      </c>
      <c r="C50" s="71">
        <v>21</v>
      </c>
      <c r="D50" s="15">
        <f>C50*1.5</f>
        <v>31.5</v>
      </c>
      <c r="E50" s="9"/>
      <c r="F50" s="289"/>
      <c r="G50" s="243"/>
      <c r="H50" s="244"/>
      <c r="I50" s="244"/>
      <c r="J50" s="245"/>
      <c r="K50" s="9"/>
      <c r="P50" s="4"/>
      <c r="Q50" s="4"/>
      <c r="R50" s="5"/>
    </row>
    <row r="51" spans="1:18" ht="15" customHeight="1" x14ac:dyDescent="0.25">
      <c r="A51" s="268"/>
      <c r="B51" s="30"/>
      <c r="C51" s="13"/>
      <c r="D51" s="34"/>
      <c r="E51" s="9"/>
      <c r="F51" s="290" t="s">
        <v>157</v>
      </c>
      <c r="G51" s="314">
        <f>G49-H29</f>
        <v>-1519.75</v>
      </c>
      <c r="H51" s="315"/>
      <c r="I51" s="315"/>
      <c r="J51" s="316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68"/>
      <c r="B52" s="32"/>
      <c r="C52" s="36"/>
      <c r="D52" s="49"/>
      <c r="E52" s="9"/>
      <c r="F52" s="291"/>
      <c r="G52" s="317"/>
      <c r="H52" s="318"/>
      <c r="I52" s="318"/>
      <c r="J52" s="319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69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236" t="s">
        <v>90</v>
      </c>
      <c r="B54" s="276"/>
      <c r="C54" s="277"/>
      <c r="D54" s="280">
        <f>SUM(D34:D53)</f>
        <v>58022.25</v>
      </c>
      <c r="E54" s="9"/>
      <c r="F54" s="24"/>
      <c r="G54" s="9"/>
      <c r="H54" s="9"/>
      <c r="I54" s="9"/>
      <c r="J54" s="37"/>
    </row>
    <row r="55" spans="1:18" x14ac:dyDescent="0.25">
      <c r="A55" s="238"/>
      <c r="B55" s="278"/>
      <c r="C55" s="279"/>
      <c r="D55" s="281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136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282" t="s">
        <v>91</v>
      </c>
      <c r="B58" s="283"/>
      <c r="C58" s="283"/>
      <c r="D58" s="284"/>
      <c r="E58" s="9"/>
      <c r="F58" s="282" t="s">
        <v>92</v>
      </c>
      <c r="G58" s="283"/>
      <c r="H58" s="283"/>
      <c r="I58" s="283"/>
      <c r="J58" s="284"/>
    </row>
    <row r="59" spans="1:18" x14ac:dyDescent="0.25">
      <c r="A59" s="285"/>
      <c r="B59" s="286"/>
      <c r="C59" s="286"/>
      <c r="D59" s="287"/>
      <c r="E59" s="9"/>
      <c r="F59" s="285"/>
      <c r="G59" s="286"/>
      <c r="H59" s="286"/>
      <c r="I59" s="286"/>
      <c r="J59" s="287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79CE3-9241-498F-AB65-4E927981E863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s="8" t="s">
        <v>0</v>
      </c>
      <c r="B1" s="8"/>
      <c r="C1" s="8"/>
      <c r="D1" s="8"/>
      <c r="N1" s="174" t="s">
        <v>1</v>
      </c>
      <c r="O1" s="174"/>
      <c r="P1" s="106" t="s">
        <v>2</v>
      </c>
      <c r="Q1" s="106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75" t="s">
        <v>7</v>
      </c>
      <c r="B4" s="176"/>
      <c r="C4" s="176"/>
      <c r="D4" s="177"/>
      <c r="E4" s="9"/>
      <c r="F4" s="178" t="s">
        <v>8</v>
      </c>
      <c r="G4" s="180">
        <v>3</v>
      </c>
      <c r="H4" s="182" t="s">
        <v>9</v>
      </c>
      <c r="I4" s="184">
        <v>45783</v>
      </c>
      <c r="J4" s="185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88" t="s">
        <v>7</v>
      </c>
      <c r="B5" s="18" t="s">
        <v>11</v>
      </c>
      <c r="C5" s="12" t="s">
        <v>12</v>
      </c>
      <c r="D5" s="28" t="s">
        <v>13</v>
      </c>
      <c r="E5" s="9"/>
      <c r="F5" s="179"/>
      <c r="G5" s="181"/>
      <c r="H5" s="183"/>
      <c r="I5" s="186"/>
      <c r="J5" s="187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89"/>
      <c r="B6" s="19" t="s">
        <v>15</v>
      </c>
      <c r="C6" s="53">
        <v>531</v>
      </c>
      <c r="D6" s="16">
        <f t="shared" ref="D6:D28" si="1">C6*L6</f>
        <v>391347</v>
      </c>
      <c r="E6" s="9"/>
      <c r="F6" s="191" t="s">
        <v>16</v>
      </c>
      <c r="G6" s="193" t="s">
        <v>111</v>
      </c>
      <c r="H6" s="194"/>
      <c r="I6" s="194"/>
      <c r="J6" s="195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89"/>
      <c r="B7" s="19" t="s">
        <v>18</v>
      </c>
      <c r="C7" s="53">
        <v>20</v>
      </c>
      <c r="D7" s="16">
        <f t="shared" si="1"/>
        <v>14500</v>
      </c>
      <c r="E7" s="9"/>
      <c r="F7" s="192"/>
      <c r="G7" s="196"/>
      <c r="H7" s="197"/>
      <c r="I7" s="197"/>
      <c r="J7" s="198"/>
      <c r="K7" s="10"/>
      <c r="L7" s="6">
        <f>R41</f>
        <v>725</v>
      </c>
      <c r="P7" s="4"/>
      <c r="Q7" s="4"/>
      <c r="R7" s="5"/>
    </row>
    <row r="8" spans="1:19" ht="14.45" customHeight="1" x14ac:dyDescent="0.25">
      <c r="A8" s="189"/>
      <c r="B8" s="19" t="s">
        <v>20</v>
      </c>
      <c r="C8" s="53"/>
      <c r="D8" s="16">
        <f t="shared" si="1"/>
        <v>0</v>
      </c>
      <c r="E8" s="9"/>
      <c r="F8" s="199" t="s">
        <v>21</v>
      </c>
      <c r="G8" s="201" t="s">
        <v>122</v>
      </c>
      <c r="H8" s="202"/>
      <c r="I8" s="202"/>
      <c r="J8" s="203"/>
      <c r="K8" s="10"/>
      <c r="L8" s="6">
        <f>R40</f>
        <v>1033</v>
      </c>
      <c r="P8" s="4"/>
      <c r="Q8" s="4"/>
      <c r="R8" s="5"/>
    </row>
    <row r="9" spans="1:19" ht="14.45" customHeight="1" x14ac:dyDescent="0.25">
      <c r="A9" s="189"/>
      <c r="B9" s="19" t="s">
        <v>23</v>
      </c>
      <c r="C9" s="53">
        <v>188</v>
      </c>
      <c r="D9" s="16">
        <f t="shared" si="1"/>
        <v>132916</v>
      </c>
      <c r="E9" s="9"/>
      <c r="F9" s="192"/>
      <c r="G9" s="204"/>
      <c r="H9" s="205"/>
      <c r="I9" s="205"/>
      <c r="J9" s="206"/>
      <c r="K9" s="10"/>
      <c r="L9" s="6">
        <f>R38</f>
        <v>707</v>
      </c>
      <c r="P9" s="4"/>
      <c r="Q9" s="4"/>
      <c r="R9" s="5"/>
    </row>
    <row r="10" spans="1:19" ht="14.45" customHeight="1" x14ac:dyDescent="0.25">
      <c r="A10" s="189"/>
      <c r="B10" s="11" t="s">
        <v>25</v>
      </c>
      <c r="C10" s="53">
        <v>7</v>
      </c>
      <c r="D10" s="16">
        <f t="shared" si="1"/>
        <v>6804</v>
      </c>
      <c r="E10" s="9"/>
      <c r="F10" s="191" t="s">
        <v>26</v>
      </c>
      <c r="G10" s="207" t="s">
        <v>123</v>
      </c>
      <c r="H10" s="208"/>
      <c r="I10" s="208"/>
      <c r="J10" s="209"/>
      <c r="K10" s="10"/>
      <c r="L10" s="6">
        <f>R36</f>
        <v>972</v>
      </c>
      <c r="P10" s="4"/>
      <c r="Q10" s="4"/>
      <c r="R10" s="5"/>
    </row>
    <row r="11" spans="1:19" ht="15.75" x14ac:dyDescent="0.25">
      <c r="A11" s="189"/>
      <c r="B11" s="20" t="s">
        <v>28</v>
      </c>
      <c r="C11" s="53">
        <v>7</v>
      </c>
      <c r="D11" s="16">
        <f t="shared" si="1"/>
        <v>7875</v>
      </c>
      <c r="E11" s="9"/>
      <c r="F11" s="192"/>
      <c r="G11" s="204"/>
      <c r="H11" s="205"/>
      <c r="I11" s="205"/>
      <c r="J11" s="206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89"/>
      <c r="B12" s="20" t="s">
        <v>30</v>
      </c>
      <c r="C12" s="53">
        <f>2+2+2</f>
        <v>6</v>
      </c>
      <c r="D12" s="52">
        <f t="shared" si="1"/>
        <v>5712</v>
      </c>
      <c r="E12" s="9"/>
      <c r="F12" s="210" t="s">
        <v>33</v>
      </c>
      <c r="G12" s="211"/>
      <c r="H12" s="211"/>
      <c r="I12" s="211"/>
      <c r="J12" s="212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89"/>
      <c r="B13" s="20" t="s">
        <v>32</v>
      </c>
      <c r="C13" s="53">
        <v>24</v>
      </c>
      <c r="D13" s="52">
        <f t="shared" si="1"/>
        <v>7368</v>
      </c>
      <c r="E13" s="9"/>
      <c r="F13" s="213" t="s">
        <v>36</v>
      </c>
      <c r="G13" s="214"/>
      <c r="H13" s="215">
        <f>D29</f>
        <v>578013</v>
      </c>
      <c r="I13" s="216"/>
      <c r="J13" s="217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89"/>
      <c r="B14" s="17" t="s">
        <v>35</v>
      </c>
      <c r="C14" s="53">
        <v>11</v>
      </c>
      <c r="D14" s="34">
        <f t="shared" si="1"/>
        <v>121</v>
      </c>
      <c r="E14" s="9"/>
      <c r="F14" s="218" t="s">
        <v>39</v>
      </c>
      <c r="G14" s="219"/>
      <c r="H14" s="220">
        <f>D54</f>
        <v>51301.5</v>
      </c>
      <c r="I14" s="221"/>
      <c r="J14" s="222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89"/>
      <c r="B15" s="17" t="s">
        <v>38</v>
      </c>
      <c r="C15" s="53"/>
      <c r="D15" s="34">
        <f t="shared" si="1"/>
        <v>0</v>
      </c>
      <c r="E15" s="9"/>
      <c r="F15" s="223" t="s">
        <v>40</v>
      </c>
      <c r="G15" s="214"/>
      <c r="H15" s="224">
        <f>H13-H14</f>
        <v>526711.5</v>
      </c>
      <c r="I15" s="225"/>
      <c r="J15" s="226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89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227"/>
      <c r="I16" s="227"/>
      <c r="J16" s="22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89"/>
      <c r="B17" s="11" t="s">
        <v>114</v>
      </c>
      <c r="C17" s="53"/>
      <c r="D17" s="52">
        <f t="shared" si="1"/>
        <v>0</v>
      </c>
      <c r="E17" s="9"/>
      <c r="F17" s="62"/>
      <c r="G17" s="74" t="s">
        <v>45</v>
      </c>
      <c r="H17" s="200"/>
      <c r="I17" s="200"/>
      <c r="J17" s="200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89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200"/>
      <c r="I18" s="200"/>
      <c r="J18" s="200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89"/>
      <c r="B19" s="17" t="s">
        <v>118</v>
      </c>
      <c r="C19" s="53"/>
      <c r="D19" s="52">
        <f t="shared" si="1"/>
        <v>0</v>
      </c>
      <c r="E19" s="9"/>
      <c r="F19" s="62"/>
      <c r="G19" s="76" t="s">
        <v>50</v>
      </c>
      <c r="H19" s="313"/>
      <c r="I19" s="313"/>
      <c r="J19" s="313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89"/>
      <c r="B20" s="50" t="s">
        <v>108</v>
      </c>
      <c r="C20" s="53"/>
      <c r="D20" s="16">
        <f t="shared" si="1"/>
        <v>0</v>
      </c>
      <c r="E20" s="9"/>
      <c r="F20" s="63"/>
      <c r="G20" s="78" t="s">
        <v>124</v>
      </c>
      <c r="H20" s="227"/>
      <c r="I20" s="227"/>
      <c r="J20" s="227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89"/>
      <c r="B21" s="17" t="s">
        <v>138</v>
      </c>
      <c r="C21" s="53">
        <f>1+1+1</f>
        <v>3</v>
      </c>
      <c r="D21" s="52">
        <f t="shared" si="1"/>
        <v>1950</v>
      </c>
      <c r="E21" s="9"/>
      <c r="F21" s="77" t="s">
        <v>99</v>
      </c>
      <c r="G21" s="92" t="s">
        <v>98</v>
      </c>
      <c r="H21" s="246" t="s">
        <v>13</v>
      </c>
      <c r="I21" s="247"/>
      <c r="J21" s="248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89"/>
      <c r="B22" s="50" t="s">
        <v>104</v>
      </c>
      <c r="C22" s="53"/>
      <c r="D22" s="52">
        <f t="shared" si="1"/>
        <v>0</v>
      </c>
      <c r="E22" s="9"/>
      <c r="F22" s="119" t="s">
        <v>163</v>
      </c>
      <c r="G22" s="81">
        <v>1766</v>
      </c>
      <c r="H22" s="249">
        <v>249804</v>
      </c>
      <c r="I22" s="249"/>
      <c r="J22" s="249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89"/>
      <c r="B23" s="17" t="s">
        <v>107</v>
      </c>
      <c r="C23" s="53"/>
      <c r="D23" s="52">
        <f t="shared" si="1"/>
        <v>0</v>
      </c>
      <c r="E23" s="9"/>
      <c r="F23" s="86"/>
      <c r="G23" s="87"/>
      <c r="H23" s="299"/>
      <c r="I23" s="255"/>
      <c r="J23" s="255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89"/>
      <c r="B24" s="17" t="s">
        <v>101</v>
      </c>
      <c r="C24" s="53"/>
      <c r="D24" s="52">
        <f t="shared" si="1"/>
        <v>0</v>
      </c>
      <c r="E24" s="9"/>
      <c r="F24" s="42"/>
      <c r="G24" s="41"/>
      <c r="H24" s="299"/>
      <c r="I24" s="255"/>
      <c r="J24" s="255"/>
      <c r="L24" s="51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89"/>
      <c r="B25" s="17" t="s">
        <v>117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52" t="s">
        <v>13</v>
      </c>
      <c r="I25" s="253"/>
      <c r="J25" s="254"/>
      <c r="L25" s="51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89"/>
      <c r="B26" s="17" t="s">
        <v>105</v>
      </c>
      <c r="C26" s="53"/>
      <c r="D26" s="52">
        <f t="shared" si="1"/>
        <v>0</v>
      </c>
      <c r="E26" s="9"/>
      <c r="F26" s="72"/>
      <c r="G26" s="65"/>
      <c r="H26" s="300"/>
      <c r="I26" s="301"/>
      <c r="J26" s="302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89"/>
      <c r="B27" s="17" t="s">
        <v>109</v>
      </c>
      <c r="C27" s="53"/>
      <c r="D27" s="48">
        <f t="shared" si="1"/>
        <v>0</v>
      </c>
      <c r="E27" s="9"/>
      <c r="F27" s="88"/>
      <c r="G27" s="89"/>
      <c r="H27" s="303"/>
      <c r="I27" s="304"/>
      <c r="J27" s="305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90"/>
      <c r="B28" s="50" t="s">
        <v>97</v>
      </c>
      <c r="C28" s="53">
        <v>12</v>
      </c>
      <c r="D28" s="52">
        <f t="shared" si="1"/>
        <v>9420</v>
      </c>
      <c r="E28" s="9"/>
      <c r="F28" s="60"/>
      <c r="G28" s="68"/>
      <c r="H28" s="258"/>
      <c r="I28" s="259"/>
      <c r="J28" s="260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28" t="s">
        <v>36</v>
      </c>
      <c r="B29" s="229"/>
      <c r="C29" s="230"/>
      <c r="D29" s="234">
        <f>SUM(D6:D28)</f>
        <v>578013</v>
      </c>
      <c r="E29" s="9"/>
      <c r="F29" s="236" t="s">
        <v>55</v>
      </c>
      <c r="G29" s="237"/>
      <c r="H29" s="240">
        <f>H15-H16-H17-H18-H19-H20-H22-H23-H24+H26+H27</f>
        <v>276907.5</v>
      </c>
      <c r="I29" s="241"/>
      <c r="J29" s="242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231"/>
      <c r="B30" s="232"/>
      <c r="C30" s="233"/>
      <c r="D30" s="235"/>
      <c r="E30" s="9"/>
      <c r="F30" s="238"/>
      <c r="G30" s="239"/>
      <c r="H30" s="243"/>
      <c r="I30" s="244"/>
      <c r="J30" s="245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5" t="s">
        <v>58</v>
      </c>
      <c r="B32" s="176"/>
      <c r="C32" s="176"/>
      <c r="D32" s="177"/>
      <c r="E32" s="11"/>
      <c r="F32" s="261" t="s">
        <v>59</v>
      </c>
      <c r="G32" s="262"/>
      <c r="H32" s="262"/>
      <c r="I32" s="262"/>
      <c r="J32" s="263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07" t="s">
        <v>63</v>
      </c>
      <c r="H33" s="261" t="s">
        <v>13</v>
      </c>
      <c r="I33" s="262"/>
      <c r="J33" s="263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88" t="s">
        <v>65</v>
      </c>
      <c r="B34" s="29" t="s">
        <v>66</v>
      </c>
      <c r="C34" s="56">
        <v>1</v>
      </c>
      <c r="D34" s="33">
        <f>C34*120</f>
        <v>120</v>
      </c>
      <c r="E34" s="9"/>
      <c r="F34" s="15">
        <v>1000</v>
      </c>
      <c r="G34" s="82">
        <v>61</v>
      </c>
      <c r="H34" s="264">
        <f>F34*G34</f>
        <v>61000</v>
      </c>
      <c r="I34" s="265"/>
      <c r="J34" s="266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89"/>
      <c r="B35" s="30" t="s">
        <v>68</v>
      </c>
      <c r="C35" s="57"/>
      <c r="D35" s="33">
        <f>C35*84</f>
        <v>0</v>
      </c>
      <c r="E35" s="9"/>
      <c r="F35" s="64">
        <v>500</v>
      </c>
      <c r="G35" s="45">
        <v>69</v>
      </c>
      <c r="H35" s="264">
        <f>F35*G35</f>
        <v>34500</v>
      </c>
      <c r="I35" s="265"/>
      <c r="J35" s="266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90"/>
      <c r="B36" s="29" t="s">
        <v>70</v>
      </c>
      <c r="C36" s="53"/>
      <c r="D36" s="15">
        <f>C36*1.5</f>
        <v>0</v>
      </c>
      <c r="E36" s="9"/>
      <c r="F36" s="15">
        <v>200</v>
      </c>
      <c r="G36" s="41">
        <v>1</v>
      </c>
      <c r="H36" s="264">
        <f t="shared" ref="H36:H39" si="2">F36*G36</f>
        <v>200</v>
      </c>
      <c r="I36" s="265"/>
      <c r="J36" s="266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88" t="s">
        <v>72</v>
      </c>
      <c r="B37" s="31" t="s">
        <v>66</v>
      </c>
      <c r="C37" s="58">
        <v>429</v>
      </c>
      <c r="D37" s="15">
        <f>C37*111</f>
        <v>47619</v>
      </c>
      <c r="E37" s="9"/>
      <c r="F37" s="15">
        <v>100</v>
      </c>
      <c r="G37" s="43">
        <v>6</v>
      </c>
      <c r="H37" s="264">
        <f t="shared" si="2"/>
        <v>600</v>
      </c>
      <c r="I37" s="265"/>
      <c r="J37" s="266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89"/>
      <c r="B38" s="32" t="s">
        <v>68</v>
      </c>
      <c r="C38" s="59">
        <v>10</v>
      </c>
      <c r="D38" s="15">
        <f>C38*84</f>
        <v>840</v>
      </c>
      <c r="E38" s="9"/>
      <c r="F38" s="33">
        <v>50</v>
      </c>
      <c r="G38" s="43">
        <v>2</v>
      </c>
      <c r="H38" s="264">
        <f t="shared" si="2"/>
        <v>100</v>
      </c>
      <c r="I38" s="265"/>
      <c r="J38" s="266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90"/>
      <c r="B39" s="32" t="s">
        <v>70</v>
      </c>
      <c r="C39" s="57">
        <v>5</v>
      </c>
      <c r="D39" s="34">
        <f>C39*4.5</f>
        <v>22.5</v>
      </c>
      <c r="E39" s="9"/>
      <c r="F39" s="15">
        <v>20</v>
      </c>
      <c r="G39" s="41">
        <v>3</v>
      </c>
      <c r="H39" s="264">
        <f t="shared" si="2"/>
        <v>60</v>
      </c>
      <c r="I39" s="265"/>
      <c r="J39" s="266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88" t="s">
        <v>76</v>
      </c>
      <c r="B40" s="30" t="s">
        <v>66</v>
      </c>
      <c r="C40" s="70">
        <v>11</v>
      </c>
      <c r="D40" s="15">
        <f>C40*111</f>
        <v>1221</v>
      </c>
      <c r="E40" s="9"/>
      <c r="F40" s="15">
        <v>10</v>
      </c>
      <c r="G40" s="46"/>
      <c r="H40" s="264"/>
      <c r="I40" s="265"/>
      <c r="J40" s="266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89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264"/>
      <c r="I41" s="265"/>
      <c r="J41" s="266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90"/>
      <c r="B42" s="30" t="s">
        <v>70</v>
      </c>
      <c r="C42" s="71">
        <v>6</v>
      </c>
      <c r="D42" s="15">
        <f>C42*2.25</f>
        <v>13.5</v>
      </c>
      <c r="E42" s="9"/>
      <c r="F42" s="43" t="s">
        <v>79</v>
      </c>
      <c r="G42" s="264">
        <v>100</v>
      </c>
      <c r="H42" s="265"/>
      <c r="I42" s="265"/>
      <c r="J42" s="266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67" t="s">
        <v>81</v>
      </c>
      <c r="C43" s="71"/>
      <c r="D43" s="15"/>
      <c r="E43" s="9"/>
      <c r="F43" s="65" t="s">
        <v>82</v>
      </c>
      <c r="G43" s="109" t="s">
        <v>83</v>
      </c>
      <c r="H43" s="270" t="s">
        <v>13</v>
      </c>
      <c r="I43" s="271"/>
      <c r="J43" s="272"/>
      <c r="K43" s="24"/>
      <c r="P43" s="4"/>
      <c r="Q43" s="4"/>
      <c r="R43" s="5"/>
    </row>
    <row r="44" spans="1:18" ht="15.75" x14ac:dyDescent="0.25">
      <c r="A44" s="268"/>
      <c r="B44" s="30" t="s">
        <v>66</v>
      </c>
      <c r="C44" s="53">
        <v>3</v>
      </c>
      <c r="D44" s="15">
        <f>C44*120</f>
        <v>360</v>
      </c>
      <c r="E44" s="9"/>
      <c r="F44" s="41" t="s">
        <v>154</v>
      </c>
      <c r="G44" s="84" t="s">
        <v>162</v>
      </c>
      <c r="H44" s="255">
        <v>181657</v>
      </c>
      <c r="I44" s="255"/>
      <c r="J44" s="255"/>
      <c r="K44" s="24"/>
      <c r="P44" s="4"/>
      <c r="Q44" s="4"/>
      <c r="R44" s="5"/>
    </row>
    <row r="45" spans="1:18" ht="15.75" x14ac:dyDescent="0.25">
      <c r="A45" s="268"/>
      <c r="B45" s="30" t="s">
        <v>68</v>
      </c>
      <c r="C45" s="90">
        <v>2</v>
      </c>
      <c r="D45" s="15">
        <f>C45*84</f>
        <v>168</v>
      </c>
      <c r="E45" s="9"/>
      <c r="F45" s="41"/>
      <c r="G45" s="84"/>
      <c r="H45" s="255"/>
      <c r="I45" s="255"/>
      <c r="J45" s="255"/>
      <c r="K45" s="24"/>
      <c r="P45" s="4"/>
      <c r="Q45" s="4"/>
      <c r="R45" s="5"/>
    </row>
    <row r="46" spans="1:18" ht="15.75" x14ac:dyDescent="0.25">
      <c r="A46" s="268"/>
      <c r="B46" s="54" t="s">
        <v>70</v>
      </c>
      <c r="C46" s="91">
        <v>3</v>
      </c>
      <c r="D46" s="15">
        <f>C46*1.5</f>
        <v>4.5</v>
      </c>
      <c r="E46" s="9"/>
      <c r="F46" s="41"/>
      <c r="G46" s="69"/>
      <c r="H46" s="306"/>
      <c r="I46" s="306"/>
      <c r="J46" s="306"/>
      <c r="K46" s="24"/>
      <c r="P46" s="4"/>
      <c r="Q46" s="4"/>
      <c r="R46" s="5"/>
    </row>
    <row r="47" spans="1:18" ht="15.75" x14ac:dyDescent="0.25">
      <c r="A47" s="269"/>
      <c r="B47" s="30"/>
      <c r="C47" s="71"/>
      <c r="D47" s="15"/>
      <c r="E47" s="9"/>
      <c r="F47" s="65"/>
      <c r="G47" s="65"/>
      <c r="H47" s="273"/>
      <c r="I47" s="274"/>
      <c r="J47" s="275"/>
      <c r="K47" s="24"/>
      <c r="P47" s="4"/>
      <c r="Q47" s="4"/>
      <c r="R47" s="5"/>
    </row>
    <row r="48" spans="1:18" ht="15" customHeight="1" x14ac:dyDescent="0.25">
      <c r="A48" s="267" t="s">
        <v>32</v>
      </c>
      <c r="B48" s="30" t="s">
        <v>66</v>
      </c>
      <c r="C48" s="53">
        <v>10</v>
      </c>
      <c r="D48" s="15">
        <f>C48*78</f>
        <v>780</v>
      </c>
      <c r="E48" s="9"/>
      <c r="F48" s="65"/>
      <c r="G48" s="65"/>
      <c r="H48" s="273"/>
      <c r="I48" s="274"/>
      <c r="J48" s="275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68"/>
      <c r="B49" s="32" t="s">
        <v>68</v>
      </c>
      <c r="C49" s="90">
        <v>3</v>
      </c>
      <c r="D49" s="15">
        <f>C49*42</f>
        <v>126</v>
      </c>
      <c r="E49" s="9"/>
      <c r="F49" s="288" t="s">
        <v>86</v>
      </c>
      <c r="G49" s="240">
        <f>H34+H35+H36+H37+H38+H39+H40+H41+G42+H44+H45+H46</f>
        <v>278217</v>
      </c>
      <c r="H49" s="241"/>
      <c r="I49" s="241"/>
      <c r="J49" s="242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68"/>
      <c r="B50" s="35" t="s">
        <v>70</v>
      </c>
      <c r="C50" s="71">
        <v>18</v>
      </c>
      <c r="D50" s="15">
        <f>C50*1.5</f>
        <v>27</v>
      </c>
      <c r="E50" s="9"/>
      <c r="F50" s="289"/>
      <c r="G50" s="243"/>
      <c r="H50" s="244"/>
      <c r="I50" s="244"/>
      <c r="J50" s="245"/>
      <c r="K50" s="9"/>
      <c r="P50" s="4"/>
      <c r="Q50" s="4"/>
      <c r="R50" s="5"/>
    </row>
    <row r="51" spans="1:18" ht="15" customHeight="1" x14ac:dyDescent="0.25">
      <c r="A51" s="268"/>
      <c r="B51" s="30"/>
      <c r="C51" s="53"/>
      <c r="D51" s="34"/>
      <c r="E51" s="9"/>
      <c r="F51" s="290" t="s">
        <v>147</v>
      </c>
      <c r="G51" s="307">
        <f>G49-H29</f>
        <v>1309.5</v>
      </c>
      <c r="H51" s="308"/>
      <c r="I51" s="308"/>
      <c r="J51" s="309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68"/>
      <c r="B52" s="32"/>
      <c r="C52" s="36"/>
      <c r="D52" s="49"/>
      <c r="E52" s="9"/>
      <c r="F52" s="291"/>
      <c r="G52" s="310"/>
      <c r="H52" s="311"/>
      <c r="I52" s="311"/>
      <c r="J52" s="312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69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236" t="s">
        <v>90</v>
      </c>
      <c r="B54" s="276"/>
      <c r="C54" s="277"/>
      <c r="D54" s="280">
        <f>SUM(D34:D53)</f>
        <v>51301.5</v>
      </c>
      <c r="E54" s="9"/>
      <c r="F54" s="24"/>
      <c r="G54" s="9"/>
      <c r="H54" s="9"/>
      <c r="I54" s="9"/>
      <c r="J54" s="37"/>
    </row>
    <row r="55" spans="1:18" x14ac:dyDescent="0.25">
      <c r="A55" s="238"/>
      <c r="B55" s="278"/>
      <c r="C55" s="279"/>
      <c r="D55" s="281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119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282" t="s">
        <v>91</v>
      </c>
      <c r="B58" s="283"/>
      <c r="C58" s="283"/>
      <c r="D58" s="284"/>
      <c r="E58" s="9"/>
      <c r="F58" s="282" t="s">
        <v>92</v>
      </c>
      <c r="G58" s="283"/>
      <c r="H58" s="283"/>
      <c r="I58" s="283"/>
      <c r="J58" s="284"/>
    </row>
    <row r="59" spans="1:18" x14ac:dyDescent="0.25">
      <c r="A59" s="285"/>
      <c r="B59" s="286"/>
      <c r="C59" s="286"/>
      <c r="D59" s="287"/>
      <c r="E59" s="9"/>
      <c r="F59" s="285"/>
      <c r="G59" s="286"/>
      <c r="H59" s="286"/>
      <c r="I59" s="286"/>
      <c r="J59" s="287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1DD89-2462-4BCE-9DE6-1850B5783BAE}">
  <dimension ref="A1"/>
  <sheetViews>
    <sheetView workbookViewId="0">
      <selection activeCell="I4" sqref="I4:J5"/>
    </sheetView>
  </sheetViews>
  <sheetFormatPr defaultRowHeight="15" x14ac:dyDescent="0.2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6BB93A-D35D-4DDD-A038-B845C7FD7BE9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174" t="s">
        <v>1</v>
      </c>
      <c r="O1" s="174"/>
      <c r="P1" s="112" t="s">
        <v>2</v>
      </c>
      <c r="Q1" s="112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75" t="s">
        <v>7</v>
      </c>
      <c r="B4" s="176"/>
      <c r="C4" s="176"/>
      <c r="D4" s="177"/>
      <c r="E4" s="9"/>
      <c r="F4" s="178" t="s">
        <v>8</v>
      </c>
      <c r="G4" s="180">
        <v>1</v>
      </c>
      <c r="H4" s="182" t="s">
        <v>9</v>
      </c>
      <c r="I4" s="184">
        <v>45784</v>
      </c>
      <c r="J4" s="185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88" t="s">
        <v>7</v>
      </c>
      <c r="B5" s="18" t="s">
        <v>11</v>
      </c>
      <c r="C5" s="12" t="s">
        <v>12</v>
      </c>
      <c r="D5" s="28" t="s">
        <v>13</v>
      </c>
      <c r="E5" s="9"/>
      <c r="F5" s="179"/>
      <c r="G5" s="181"/>
      <c r="H5" s="183"/>
      <c r="I5" s="186"/>
      <c r="J5" s="187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89"/>
      <c r="B6" s="19" t="s">
        <v>15</v>
      </c>
      <c r="C6" s="53">
        <v>324</v>
      </c>
      <c r="D6" s="16">
        <f t="shared" ref="D6:D28" si="1">C6*L6</f>
        <v>238788</v>
      </c>
      <c r="E6" s="9"/>
      <c r="F6" s="191" t="s">
        <v>16</v>
      </c>
      <c r="G6" s="193" t="s">
        <v>128</v>
      </c>
      <c r="H6" s="194"/>
      <c r="I6" s="194"/>
      <c r="J6" s="195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89"/>
      <c r="B7" s="19" t="s">
        <v>18</v>
      </c>
      <c r="C7" s="53">
        <v>9</v>
      </c>
      <c r="D7" s="16">
        <f t="shared" si="1"/>
        <v>6525</v>
      </c>
      <c r="E7" s="9"/>
      <c r="F7" s="192"/>
      <c r="G7" s="196"/>
      <c r="H7" s="197"/>
      <c r="I7" s="197"/>
      <c r="J7" s="198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189"/>
      <c r="B8" s="19" t="s">
        <v>20</v>
      </c>
      <c r="C8" s="53"/>
      <c r="D8" s="16">
        <f t="shared" si="1"/>
        <v>0</v>
      </c>
      <c r="E8" s="9"/>
      <c r="F8" s="199" t="s">
        <v>21</v>
      </c>
      <c r="G8" s="201" t="s">
        <v>113</v>
      </c>
      <c r="H8" s="202"/>
      <c r="I8" s="202"/>
      <c r="J8" s="203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189"/>
      <c r="B9" s="19" t="s">
        <v>23</v>
      </c>
      <c r="C9" s="53">
        <v>63</v>
      </c>
      <c r="D9" s="16">
        <f t="shared" si="1"/>
        <v>44541</v>
      </c>
      <c r="E9" s="9"/>
      <c r="F9" s="192"/>
      <c r="G9" s="204"/>
      <c r="H9" s="205"/>
      <c r="I9" s="205"/>
      <c r="J9" s="206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189"/>
      <c r="B10" s="11" t="s">
        <v>25</v>
      </c>
      <c r="C10" s="53">
        <v>1</v>
      </c>
      <c r="D10" s="16">
        <f t="shared" si="1"/>
        <v>972</v>
      </c>
      <c r="E10" s="9"/>
      <c r="F10" s="191" t="s">
        <v>26</v>
      </c>
      <c r="G10" s="207" t="s">
        <v>132</v>
      </c>
      <c r="H10" s="208"/>
      <c r="I10" s="208"/>
      <c r="J10" s="209"/>
      <c r="K10" s="10"/>
      <c r="L10" s="6">
        <f>R36</f>
        <v>972</v>
      </c>
      <c r="P10" s="4"/>
      <c r="Q10" s="4"/>
      <c r="R10" s="5"/>
    </row>
    <row r="11" spans="1:18" ht="15.75" x14ac:dyDescent="0.25">
      <c r="A11" s="189"/>
      <c r="B11" s="20" t="s">
        <v>28</v>
      </c>
      <c r="C11" s="53"/>
      <c r="D11" s="16">
        <f t="shared" si="1"/>
        <v>0</v>
      </c>
      <c r="E11" s="9"/>
      <c r="F11" s="192"/>
      <c r="G11" s="204"/>
      <c r="H11" s="205"/>
      <c r="I11" s="205"/>
      <c r="J11" s="206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89"/>
      <c r="B12" s="20" t="s">
        <v>30</v>
      </c>
      <c r="C12" s="53">
        <v>1</v>
      </c>
      <c r="D12" s="52">
        <f t="shared" si="1"/>
        <v>952</v>
      </c>
      <c r="E12" s="9"/>
      <c r="F12" s="210" t="s">
        <v>33</v>
      </c>
      <c r="G12" s="211"/>
      <c r="H12" s="211"/>
      <c r="I12" s="211"/>
      <c r="J12" s="212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89"/>
      <c r="B13" s="20" t="s">
        <v>32</v>
      </c>
      <c r="C13" s="53">
        <v>17</v>
      </c>
      <c r="D13" s="52">
        <f t="shared" si="1"/>
        <v>5219</v>
      </c>
      <c r="E13" s="9"/>
      <c r="F13" s="213" t="s">
        <v>36</v>
      </c>
      <c r="G13" s="214"/>
      <c r="H13" s="215">
        <f>D29</f>
        <v>302442</v>
      </c>
      <c r="I13" s="216"/>
      <c r="J13" s="217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89"/>
      <c r="B14" s="17" t="s">
        <v>35</v>
      </c>
      <c r="C14" s="53">
        <v>20</v>
      </c>
      <c r="D14" s="34">
        <f t="shared" si="1"/>
        <v>220</v>
      </c>
      <c r="E14" s="9"/>
      <c r="F14" s="218" t="s">
        <v>39</v>
      </c>
      <c r="G14" s="219"/>
      <c r="H14" s="220">
        <f>D54</f>
        <v>86040</v>
      </c>
      <c r="I14" s="221"/>
      <c r="J14" s="222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89"/>
      <c r="B15" s="17" t="s">
        <v>38</v>
      </c>
      <c r="C15" s="53"/>
      <c r="D15" s="34">
        <f t="shared" si="1"/>
        <v>0</v>
      </c>
      <c r="E15" s="9"/>
      <c r="F15" s="223" t="s">
        <v>40</v>
      </c>
      <c r="G15" s="214"/>
      <c r="H15" s="224">
        <f>H13-H14</f>
        <v>216402</v>
      </c>
      <c r="I15" s="225"/>
      <c r="J15" s="226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89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227">
        <f>1908</f>
        <v>1908</v>
      </c>
      <c r="I16" s="227"/>
      <c r="J16" s="22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89"/>
      <c r="B17" s="11" t="s">
        <v>137</v>
      </c>
      <c r="C17" s="53"/>
      <c r="D17" s="52">
        <f t="shared" si="1"/>
        <v>0</v>
      </c>
      <c r="E17" s="9"/>
      <c r="F17" s="62"/>
      <c r="G17" s="74" t="s">
        <v>45</v>
      </c>
      <c r="H17" s="200"/>
      <c r="I17" s="200"/>
      <c r="J17" s="200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89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200"/>
      <c r="I18" s="200"/>
      <c r="J18" s="200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89"/>
      <c r="B19" s="17" t="s">
        <v>140</v>
      </c>
      <c r="C19" s="53"/>
      <c r="D19" s="52">
        <f t="shared" si="1"/>
        <v>0</v>
      </c>
      <c r="E19" s="9"/>
      <c r="F19" s="62"/>
      <c r="G19" s="76" t="s">
        <v>50</v>
      </c>
      <c r="H19" s="200"/>
      <c r="I19" s="200"/>
      <c r="J19" s="200"/>
      <c r="L19" s="6">
        <v>1102</v>
      </c>
      <c r="Q19" s="4"/>
      <c r="R19" s="5">
        <f t="shared" si="0"/>
        <v>0</v>
      </c>
    </row>
    <row r="20" spans="1:18" ht="15.75" x14ac:dyDescent="0.25">
      <c r="A20" s="189"/>
      <c r="B20" s="97" t="s">
        <v>139</v>
      </c>
      <c r="C20" s="53"/>
      <c r="D20" s="16">
        <f t="shared" si="1"/>
        <v>0</v>
      </c>
      <c r="E20" s="9"/>
      <c r="F20" s="63"/>
      <c r="G20" s="78" t="s">
        <v>124</v>
      </c>
      <c r="H20" s="227"/>
      <c r="I20" s="227"/>
      <c r="J20" s="227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89"/>
      <c r="B21" s="17" t="s">
        <v>130</v>
      </c>
      <c r="C21" s="53">
        <v>2</v>
      </c>
      <c r="D21" s="52">
        <f t="shared" si="1"/>
        <v>1300</v>
      </c>
      <c r="E21" s="9"/>
      <c r="F21" s="77" t="s">
        <v>99</v>
      </c>
      <c r="G21" s="92" t="s">
        <v>98</v>
      </c>
      <c r="H21" s="246" t="s">
        <v>13</v>
      </c>
      <c r="I21" s="247"/>
      <c r="J21" s="248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89"/>
      <c r="B22" s="50" t="s">
        <v>110</v>
      </c>
      <c r="C22" s="53"/>
      <c r="D22" s="52">
        <f t="shared" si="1"/>
        <v>0</v>
      </c>
      <c r="E22" s="9"/>
      <c r="F22" s="85"/>
      <c r="G22" s="81"/>
      <c r="H22" s="249"/>
      <c r="I22" s="249"/>
      <c r="J22" s="249"/>
      <c r="L22" s="7">
        <v>1142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89"/>
      <c r="B23" s="17" t="s">
        <v>125</v>
      </c>
      <c r="C23" s="53"/>
      <c r="D23" s="52">
        <f t="shared" si="1"/>
        <v>0</v>
      </c>
      <c r="E23" s="9"/>
      <c r="F23" s="85"/>
      <c r="G23" s="87"/>
      <c r="H23" s="250"/>
      <c r="I23" s="251"/>
      <c r="J23" s="251"/>
      <c r="L23" s="51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89"/>
      <c r="B24" s="17" t="s">
        <v>126</v>
      </c>
      <c r="C24" s="53"/>
      <c r="D24" s="52">
        <f t="shared" si="1"/>
        <v>0</v>
      </c>
      <c r="E24" s="9"/>
      <c r="F24" s="85"/>
      <c r="G24" s="87"/>
      <c r="H24" s="250"/>
      <c r="I24" s="251"/>
      <c r="J24" s="251"/>
      <c r="L24" s="51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89"/>
      <c r="B25" s="17" t="s">
        <v>121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52" t="s">
        <v>13</v>
      </c>
      <c r="I25" s="253"/>
      <c r="J25" s="254"/>
      <c r="L25" s="51">
        <f>852/24+1.5</f>
        <v>37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89"/>
      <c r="B26" s="17" t="s">
        <v>112</v>
      </c>
      <c r="C26" s="53"/>
      <c r="D26" s="52">
        <f t="shared" si="1"/>
        <v>0</v>
      </c>
      <c r="E26" s="9"/>
      <c r="F26" s="83" t="s">
        <v>141</v>
      </c>
      <c r="G26" s="73">
        <v>1247</v>
      </c>
      <c r="H26" s="255">
        <v>22183</v>
      </c>
      <c r="I26" s="255"/>
      <c r="J26" s="255"/>
      <c r="L26" s="7">
        <f>500/24+1.5</f>
        <v>22.333333333333332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89"/>
      <c r="B27" s="17" t="s">
        <v>120</v>
      </c>
      <c r="C27" s="53"/>
      <c r="D27" s="48">
        <f t="shared" si="1"/>
        <v>0</v>
      </c>
      <c r="E27" s="9"/>
      <c r="F27" s="79"/>
      <c r="G27" s="110"/>
      <c r="H27" s="256"/>
      <c r="I27" s="257"/>
      <c r="J27" s="257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90"/>
      <c r="B28" s="50" t="s">
        <v>97</v>
      </c>
      <c r="C28" s="53">
        <v>5</v>
      </c>
      <c r="D28" s="52">
        <f t="shared" si="1"/>
        <v>3925</v>
      </c>
      <c r="E28" s="9"/>
      <c r="F28" s="60"/>
      <c r="G28" s="68"/>
      <c r="H28" s="258"/>
      <c r="I28" s="259"/>
      <c r="J28" s="260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28" t="s">
        <v>36</v>
      </c>
      <c r="B29" s="229"/>
      <c r="C29" s="230"/>
      <c r="D29" s="234">
        <f>SUM(D6:D28)</f>
        <v>302442</v>
      </c>
      <c r="E29" s="9"/>
      <c r="F29" s="236" t="s">
        <v>55</v>
      </c>
      <c r="G29" s="237"/>
      <c r="H29" s="240">
        <f>H15-H16-H17-H18-H19-H20-H22-H23-H24+H26+H27+H28</f>
        <v>236677</v>
      </c>
      <c r="I29" s="241"/>
      <c r="J29" s="242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231"/>
      <c r="B30" s="232"/>
      <c r="C30" s="233"/>
      <c r="D30" s="235"/>
      <c r="E30" s="9"/>
      <c r="F30" s="238"/>
      <c r="G30" s="239"/>
      <c r="H30" s="243"/>
      <c r="I30" s="244"/>
      <c r="J30" s="245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5" t="s">
        <v>58</v>
      </c>
      <c r="B32" s="176"/>
      <c r="C32" s="176"/>
      <c r="D32" s="177"/>
      <c r="E32" s="11"/>
      <c r="F32" s="261" t="s">
        <v>59</v>
      </c>
      <c r="G32" s="262"/>
      <c r="H32" s="262"/>
      <c r="I32" s="262"/>
      <c r="J32" s="263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13" t="s">
        <v>63</v>
      </c>
      <c r="H33" s="261" t="s">
        <v>13</v>
      </c>
      <c r="I33" s="262"/>
      <c r="J33" s="263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88" t="s">
        <v>65</v>
      </c>
      <c r="B34" s="29" t="s">
        <v>66</v>
      </c>
      <c r="C34" s="56">
        <v>2</v>
      </c>
      <c r="D34" s="33">
        <f>C34*120</f>
        <v>240</v>
      </c>
      <c r="E34" s="9"/>
      <c r="F34" s="15">
        <v>1000</v>
      </c>
      <c r="G34" s="44">
        <v>86</v>
      </c>
      <c r="H34" s="264">
        <f t="shared" ref="H34:H39" si="2">F34*G34</f>
        <v>86000</v>
      </c>
      <c r="I34" s="265"/>
      <c r="J34" s="266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89"/>
      <c r="B35" s="30" t="s">
        <v>68</v>
      </c>
      <c r="C35" s="57">
        <v>1</v>
      </c>
      <c r="D35" s="33">
        <f>C35*84</f>
        <v>84</v>
      </c>
      <c r="E35" s="9"/>
      <c r="F35" s="64">
        <v>500</v>
      </c>
      <c r="G35" s="45">
        <v>56</v>
      </c>
      <c r="H35" s="264">
        <f t="shared" si="2"/>
        <v>28000</v>
      </c>
      <c r="I35" s="265"/>
      <c r="J35" s="266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90"/>
      <c r="B36" s="29" t="s">
        <v>70</v>
      </c>
      <c r="C36" s="53">
        <v>1</v>
      </c>
      <c r="D36" s="15">
        <f>C36*1.5</f>
        <v>1.5</v>
      </c>
      <c r="E36" s="9"/>
      <c r="F36" s="15">
        <v>200</v>
      </c>
      <c r="G36" s="41">
        <v>19</v>
      </c>
      <c r="H36" s="264">
        <f t="shared" si="2"/>
        <v>3800</v>
      </c>
      <c r="I36" s="265"/>
      <c r="J36" s="266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88" t="s">
        <v>72</v>
      </c>
      <c r="B37" s="31" t="s">
        <v>66</v>
      </c>
      <c r="C37" s="58">
        <v>729</v>
      </c>
      <c r="D37" s="15">
        <f>C37*111</f>
        <v>80919</v>
      </c>
      <c r="E37" s="9"/>
      <c r="F37" s="15">
        <v>100</v>
      </c>
      <c r="G37" s="43">
        <v>199</v>
      </c>
      <c r="H37" s="264">
        <f t="shared" si="2"/>
        <v>19900</v>
      </c>
      <c r="I37" s="265"/>
      <c r="J37" s="266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89"/>
      <c r="B38" s="32" t="s">
        <v>68</v>
      </c>
      <c r="C38" s="59">
        <v>16</v>
      </c>
      <c r="D38" s="15">
        <f>C38*84</f>
        <v>1344</v>
      </c>
      <c r="E38" s="9"/>
      <c r="F38" s="33">
        <v>50</v>
      </c>
      <c r="G38" s="43">
        <v>46</v>
      </c>
      <c r="H38" s="264">
        <f t="shared" si="2"/>
        <v>2300</v>
      </c>
      <c r="I38" s="265"/>
      <c r="J38" s="266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90"/>
      <c r="B39" s="32" t="s">
        <v>70</v>
      </c>
      <c r="C39" s="57"/>
      <c r="D39" s="34">
        <f>C39*4.5</f>
        <v>0</v>
      </c>
      <c r="E39" s="9"/>
      <c r="F39" s="15">
        <v>20</v>
      </c>
      <c r="G39" s="41">
        <v>7</v>
      </c>
      <c r="H39" s="264">
        <f t="shared" si="2"/>
        <v>140</v>
      </c>
      <c r="I39" s="265"/>
      <c r="J39" s="266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88" t="s">
        <v>76</v>
      </c>
      <c r="B40" s="30" t="s">
        <v>66</v>
      </c>
      <c r="C40" s="70">
        <v>12</v>
      </c>
      <c r="D40" s="15">
        <f>C40*111</f>
        <v>1332</v>
      </c>
      <c r="E40" s="9"/>
      <c r="F40" s="15">
        <v>10</v>
      </c>
      <c r="G40" s="46"/>
      <c r="H40" s="264"/>
      <c r="I40" s="265"/>
      <c r="J40" s="266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89"/>
      <c r="B41" s="30" t="s">
        <v>68</v>
      </c>
      <c r="C41" s="53">
        <v>1</v>
      </c>
      <c r="D41" s="15">
        <f>C41*84</f>
        <v>84</v>
      </c>
      <c r="E41" s="9"/>
      <c r="F41" s="15">
        <v>5</v>
      </c>
      <c r="G41" s="46"/>
      <c r="H41" s="264"/>
      <c r="I41" s="265"/>
      <c r="J41" s="266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90"/>
      <c r="B42" s="30" t="s">
        <v>70</v>
      </c>
      <c r="C42" s="71">
        <v>10</v>
      </c>
      <c r="D42" s="15">
        <f>C42*2.25</f>
        <v>22.5</v>
      </c>
      <c r="E42" s="9"/>
      <c r="F42" s="43" t="s">
        <v>79</v>
      </c>
      <c r="G42" s="264">
        <v>874</v>
      </c>
      <c r="H42" s="265"/>
      <c r="I42" s="265"/>
      <c r="J42" s="266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67" t="s">
        <v>81</v>
      </c>
      <c r="C43" s="71"/>
      <c r="D43" s="15"/>
      <c r="E43" s="9"/>
      <c r="F43" s="65" t="s">
        <v>82</v>
      </c>
      <c r="G43" s="110" t="s">
        <v>83</v>
      </c>
      <c r="H43" s="270" t="s">
        <v>13</v>
      </c>
      <c r="I43" s="271"/>
      <c r="J43" s="272"/>
      <c r="K43" s="24"/>
      <c r="O43" t="s">
        <v>103</v>
      </c>
      <c r="P43" s="4">
        <v>1667</v>
      </c>
      <c r="Q43" s="4"/>
      <c r="R43" s="5"/>
    </row>
    <row r="44" spans="1:18" ht="15.75" x14ac:dyDescent="0.25">
      <c r="A44" s="268"/>
      <c r="B44" s="30" t="s">
        <v>66</v>
      </c>
      <c r="C44" s="53">
        <v>2</v>
      </c>
      <c r="D44" s="15">
        <f>C44*120</f>
        <v>240</v>
      </c>
      <c r="E44" s="9"/>
      <c r="F44" s="41" t="s">
        <v>148</v>
      </c>
      <c r="G44" s="69" t="s">
        <v>165</v>
      </c>
      <c r="H44" s="255">
        <v>96279</v>
      </c>
      <c r="I44" s="255"/>
      <c r="J44" s="255"/>
      <c r="K44" s="24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268"/>
      <c r="B45" s="30" t="s">
        <v>68</v>
      </c>
      <c r="C45" s="90">
        <v>2</v>
      </c>
      <c r="D45" s="15">
        <f>C45*84</f>
        <v>168</v>
      </c>
      <c r="E45" s="9"/>
      <c r="F45" s="41"/>
      <c r="G45" s="69"/>
      <c r="H45" s="255"/>
      <c r="I45" s="255"/>
      <c r="J45" s="255"/>
      <c r="K45" s="24"/>
      <c r="P45" s="4"/>
      <c r="Q45" s="4"/>
      <c r="R45" s="5"/>
    </row>
    <row r="46" spans="1:18" ht="15.75" x14ac:dyDescent="0.25">
      <c r="A46" s="268"/>
      <c r="B46" s="54" t="s">
        <v>70</v>
      </c>
      <c r="C46" s="91">
        <v>19</v>
      </c>
      <c r="D46" s="15">
        <f>C46*1.5</f>
        <v>28.5</v>
      </c>
      <c r="E46" s="9"/>
      <c r="F46" s="41"/>
      <c r="G46" s="69"/>
      <c r="H46" s="255"/>
      <c r="I46" s="255"/>
      <c r="J46" s="255"/>
      <c r="K46" s="24"/>
      <c r="P46" s="4"/>
      <c r="Q46" s="4"/>
      <c r="R46" s="5"/>
    </row>
    <row r="47" spans="1:18" ht="15.75" x14ac:dyDescent="0.25">
      <c r="A47" s="269"/>
      <c r="B47" s="30"/>
      <c r="C47" s="71"/>
      <c r="D47" s="15"/>
      <c r="E47" s="9"/>
      <c r="F47" s="65"/>
      <c r="G47" s="65"/>
      <c r="H47" s="273"/>
      <c r="I47" s="274"/>
      <c r="J47" s="275"/>
      <c r="K47" s="24"/>
      <c r="P47" s="4"/>
      <c r="Q47" s="4"/>
      <c r="R47" s="5"/>
    </row>
    <row r="48" spans="1:18" ht="15" customHeight="1" x14ac:dyDescent="0.25">
      <c r="A48" s="267" t="s">
        <v>32</v>
      </c>
      <c r="B48" s="30" t="s">
        <v>66</v>
      </c>
      <c r="C48" s="53">
        <v>9</v>
      </c>
      <c r="D48" s="15">
        <f>C48*78</f>
        <v>702</v>
      </c>
      <c r="E48" s="9"/>
      <c r="F48" s="65"/>
      <c r="G48" s="65"/>
      <c r="H48" s="273"/>
      <c r="I48" s="274"/>
      <c r="J48" s="275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68"/>
      <c r="B49" s="32" t="s">
        <v>68</v>
      </c>
      <c r="C49" s="90">
        <v>20</v>
      </c>
      <c r="D49" s="15">
        <f>C49*42</f>
        <v>840</v>
      </c>
      <c r="E49" s="9"/>
      <c r="F49" s="288" t="s">
        <v>86</v>
      </c>
      <c r="G49" s="240">
        <f>H34+H35+H36+H37+H38+H39+H40+H41+G42+H44+H45+H46</f>
        <v>237293</v>
      </c>
      <c r="H49" s="241"/>
      <c r="I49" s="241"/>
      <c r="J49" s="242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68"/>
      <c r="B50" s="35" t="s">
        <v>70</v>
      </c>
      <c r="C50" s="71">
        <v>23</v>
      </c>
      <c r="D50" s="15">
        <f>C50*1.5</f>
        <v>34.5</v>
      </c>
      <c r="E50" s="9"/>
      <c r="F50" s="289"/>
      <c r="G50" s="243"/>
      <c r="H50" s="244"/>
      <c r="I50" s="244"/>
      <c r="J50" s="245"/>
      <c r="K50" s="9"/>
      <c r="P50" s="4"/>
      <c r="Q50" s="4"/>
      <c r="R50" s="5"/>
    </row>
    <row r="51" spans="1:18" ht="15" customHeight="1" x14ac:dyDescent="0.25">
      <c r="A51" s="268"/>
      <c r="B51" s="30"/>
      <c r="C51" s="13"/>
      <c r="D51" s="34"/>
      <c r="E51" s="9"/>
      <c r="F51" s="290" t="s">
        <v>147</v>
      </c>
      <c r="G51" s="320">
        <f>G49-H29</f>
        <v>616</v>
      </c>
      <c r="H51" s="321"/>
      <c r="I51" s="321"/>
      <c r="J51" s="322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68"/>
      <c r="B52" s="32"/>
      <c r="C52" s="36"/>
      <c r="D52" s="49"/>
      <c r="E52" s="9"/>
      <c r="F52" s="291"/>
      <c r="G52" s="323"/>
      <c r="H52" s="324"/>
      <c r="I52" s="324"/>
      <c r="J52" s="325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69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236" t="s">
        <v>90</v>
      </c>
      <c r="B54" s="276"/>
      <c r="C54" s="277"/>
      <c r="D54" s="280">
        <f>SUM(D34:D53)</f>
        <v>86040</v>
      </c>
      <c r="E54" s="9"/>
      <c r="F54" s="24"/>
      <c r="G54" s="9"/>
      <c r="H54" s="9"/>
      <c r="I54" s="9"/>
      <c r="J54" s="37"/>
      <c r="O54" t="s">
        <v>102</v>
      </c>
      <c r="P54" s="4">
        <v>1582</v>
      </c>
      <c r="R54" s="3">
        <v>1582</v>
      </c>
    </row>
    <row r="55" spans="1:18" x14ac:dyDescent="0.25">
      <c r="A55" s="238"/>
      <c r="B55" s="278"/>
      <c r="C55" s="279"/>
      <c r="D55" s="281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129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282" t="s">
        <v>91</v>
      </c>
      <c r="B58" s="283"/>
      <c r="C58" s="283"/>
      <c r="D58" s="284"/>
      <c r="E58" s="9"/>
      <c r="F58" s="282" t="s">
        <v>92</v>
      </c>
      <c r="G58" s="283"/>
      <c r="H58" s="283"/>
      <c r="I58" s="283"/>
      <c r="J58" s="284"/>
    </row>
    <row r="59" spans="1:18" x14ac:dyDescent="0.25">
      <c r="A59" s="285"/>
      <c r="B59" s="286"/>
      <c r="C59" s="286"/>
      <c r="D59" s="287"/>
      <c r="E59" s="9"/>
      <c r="F59" s="285"/>
      <c r="G59" s="286"/>
      <c r="H59" s="286"/>
      <c r="I59" s="286"/>
      <c r="J59" s="287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3D734-98F0-41F1-9784-C6100D939353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174" t="s">
        <v>1</v>
      </c>
      <c r="O1" s="174"/>
      <c r="P1" s="112" t="s">
        <v>2</v>
      </c>
      <c r="Q1" s="112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75" t="s">
        <v>7</v>
      </c>
      <c r="B4" s="176"/>
      <c r="C4" s="176"/>
      <c r="D4" s="177"/>
      <c r="E4" s="9"/>
      <c r="F4" s="178" t="s">
        <v>8</v>
      </c>
      <c r="G4" s="180">
        <v>2</v>
      </c>
      <c r="H4" s="182" t="s">
        <v>9</v>
      </c>
      <c r="I4" s="184">
        <v>45784</v>
      </c>
      <c r="J4" s="185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88" t="s">
        <v>7</v>
      </c>
      <c r="B5" s="18" t="s">
        <v>11</v>
      </c>
      <c r="C5" s="12" t="s">
        <v>12</v>
      </c>
      <c r="D5" s="28" t="s">
        <v>13</v>
      </c>
      <c r="E5" s="9"/>
      <c r="F5" s="179"/>
      <c r="G5" s="181"/>
      <c r="H5" s="183"/>
      <c r="I5" s="186"/>
      <c r="J5" s="187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89"/>
      <c r="B6" s="19" t="s">
        <v>15</v>
      </c>
      <c r="C6" s="53">
        <v>374</v>
      </c>
      <c r="D6" s="16">
        <f t="shared" ref="D6:D28" si="1">C6*L6</f>
        <v>275638</v>
      </c>
      <c r="E6" s="9"/>
      <c r="F6" s="191" t="s">
        <v>16</v>
      </c>
      <c r="G6" s="193" t="s">
        <v>127</v>
      </c>
      <c r="H6" s="194"/>
      <c r="I6" s="194"/>
      <c r="J6" s="195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89"/>
      <c r="B7" s="19" t="s">
        <v>18</v>
      </c>
      <c r="C7" s="53">
        <v>11</v>
      </c>
      <c r="D7" s="16">
        <f t="shared" si="1"/>
        <v>7975</v>
      </c>
      <c r="E7" s="9"/>
      <c r="F7" s="192"/>
      <c r="G7" s="196"/>
      <c r="H7" s="197"/>
      <c r="I7" s="197"/>
      <c r="J7" s="198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189"/>
      <c r="B8" s="19" t="s">
        <v>20</v>
      </c>
      <c r="C8" s="53"/>
      <c r="D8" s="16">
        <f t="shared" si="1"/>
        <v>0</v>
      </c>
      <c r="E8" s="9"/>
      <c r="F8" s="199" t="s">
        <v>21</v>
      </c>
      <c r="G8" s="201" t="s">
        <v>115</v>
      </c>
      <c r="H8" s="202"/>
      <c r="I8" s="202"/>
      <c r="J8" s="203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189"/>
      <c r="B9" s="19" t="s">
        <v>23</v>
      </c>
      <c r="C9" s="53">
        <v>13</v>
      </c>
      <c r="D9" s="16">
        <f t="shared" si="1"/>
        <v>9191</v>
      </c>
      <c r="E9" s="9"/>
      <c r="F9" s="192"/>
      <c r="G9" s="204"/>
      <c r="H9" s="205"/>
      <c r="I9" s="205"/>
      <c r="J9" s="206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189"/>
      <c r="B10" s="11" t="s">
        <v>25</v>
      </c>
      <c r="C10" s="53"/>
      <c r="D10" s="16">
        <f t="shared" si="1"/>
        <v>0</v>
      </c>
      <c r="E10" s="9"/>
      <c r="F10" s="191" t="s">
        <v>26</v>
      </c>
      <c r="G10" s="207" t="s">
        <v>116</v>
      </c>
      <c r="H10" s="208"/>
      <c r="I10" s="208"/>
      <c r="J10" s="209"/>
      <c r="K10" s="10"/>
      <c r="L10" s="6">
        <f>R36</f>
        <v>972</v>
      </c>
      <c r="P10" s="4"/>
      <c r="Q10" s="4"/>
      <c r="R10" s="5"/>
    </row>
    <row r="11" spans="1:18" ht="15.75" x14ac:dyDescent="0.25">
      <c r="A11" s="189"/>
      <c r="B11" s="20" t="s">
        <v>28</v>
      </c>
      <c r="C11" s="53"/>
      <c r="D11" s="16">
        <f t="shared" si="1"/>
        <v>0</v>
      </c>
      <c r="E11" s="9"/>
      <c r="F11" s="192"/>
      <c r="G11" s="204"/>
      <c r="H11" s="205"/>
      <c r="I11" s="205"/>
      <c r="J11" s="206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89"/>
      <c r="B12" s="20" t="s">
        <v>30</v>
      </c>
      <c r="C12" s="53"/>
      <c r="D12" s="52">
        <f t="shared" si="1"/>
        <v>0</v>
      </c>
      <c r="E12" s="9"/>
      <c r="F12" s="210" t="s">
        <v>33</v>
      </c>
      <c r="G12" s="211"/>
      <c r="H12" s="211"/>
      <c r="I12" s="211"/>
      <c r="J12" s="212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89"/>
      <c r="B13" s="20" t="s">
        <v>32</v>
      </c>
      <c r="C13" s="53">
        <v>20</v>
      </c>
      <c r="D13" s="52">
        <f t="shared" si="1"/>
        <v>6140</v>
      </c>
      <c r="E13" s="9"/>
      <c r="F13" s="213" t="s">
        <v>36</v>
      </c>
      <c r="G13" s="214"/>
      <c r="H13" s="215">
        <f>D29</f>
        <v>300580</v>
      </c>
      <c r="I13" s="216"/>
      <c r="J13" s="217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89"/>
      <c r="B14" s="17" t="s">
        <v>35</v>
      </c>
      <c r="C14" s="53">
        <v>6</v>
      </c>
      <c r="D14" s="34">
        <f t="shared" si="1"/>
        <v>66</v>
      </c>
      <c r="E14" s="9"/>
      <c r="F14" s="218" t="s">
        <v>39</v>
      </c>
      <c r="G14" s="219"/>
      <c r="H14" s="220">
        <f>D54</f>
        <v>54261</v>
      </c>
      <c r="I14" s="221"/>
      <c r="J14" s="222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89"/>
      <c r="B15" s="17" t="s">
        <v>38</v>
      </c>
      <c r="C15" s="53"/>
      <c r="D15" s="34">
        <f t="shared" si="1"/>
        <v>0</v>
      </c>
      <c r="E15" s="9"/>
      <c r="F15" s="223" t="s">
        <v>40</v>
      </c>
      <c r="G15" s="214"/>
      <c r="H15" s="224">
        <f>H13-H14</f>
        <v>246319</v>
      </c>
      <c r="I15" s="225"/>
      <c r="J15" s="226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89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227">
        <f>3123</f>
        <v>3123</v>
      </c>
      <c r="I16" s="227"/>
      <c r="J16" s="22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89"/>
      <c r="B17" s="11" t="s">
        <v>93</v>
      </c>
      <c r="C17" s="53"/>
      <c r="D17" s="52">
        <f t="shared" si="1"/>
        <v>0</v>
      </c>
      <c r="E17" s="9"/>
      <c r="F17" s="62"/>
      <c r="G17" s="74" t="s">
        <v>45</v>
      </c>
      <c r="H17" s="200"/>
      <c r="I17" s="200"/>
      <c r="J17" s="200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89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200"/>
      <c r="I18" s="200"/>
      <c r="J18" s="200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89"/>
      <c r="B19" s="17" t="s">
        <v>96</v>
      </c>
      <c r="C19" s="53"/>
      <c r="D19" s="52">
        <f t="shared" si="1"/>
        <v>0</v>
      </c>
      <c r="E19" s="9"/>
      <c r="F19" s="62"/>
      <c r="G19" s="76" t="s">
        <v>50</v>
      </c>
      <c r="H19" s="227">
        <v>50</v>
      </c>
      <c r="I19" s="227"/>
      <c r="J19" s="227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89"/>
      <c r="B20" s="50" t="s">
        <v>131</v>
      </c>
      <c r="C20" s="53"/>
      <c r="D20" s="16">
        <f t="shared" si="1"/>
        <v>0</v>
      </c>
      <c r="E20" s="9"/>
      <c r="F20" s="63"/>
      <c r="G20" s="78" t="s">
        <v>124</v>
      </c>
      <c r="H20" s="227">
        <f>626*8</f>
        <v>5008</v>
      </c>
      <c r="I20" s="227"/>
      <c r="J20" s="227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89"/>
      <c r="B21" s="17" t="s">
        <v>130</v>
      </c>
      <c r="C21" s="53"/>
      <c r="D21" s="52">
        <f t="shared" si="1"/>
        <v>0</v>
      </c>
      <c r="E21" s="9"/>
      <c r="F21" s="77" t="s">
        <v>99</v>
      </c>
      <c r="G21" s="92" t="s">
        <v>98</v>
      </c>
      <c r="H21" s="246" t="s">
        <v>13</v>
      </c>
      <c r="I21" s="247"/>
      <c r="J21" s="248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89"/>
      <c r="B22" s="50" t="s">
        <v>104</v>
      </c>
      <c r="C22" s="53"/>
      <c r="D22" s="52">
        <f t="shared" si="1"/>
        <v>0</v>
      </c>
      <c r="E22" s="9"/>
      <c r="F22" s="80"/>
      <c r="G22" s="81"/>
      <c r="H22" s="249"/>
      <c r="I22" s="249"/>
      <c r="J22" s="249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89"/>
      <c r="B23" s="17" t="s">
        <v>107</v>
      </c>
      <c r="C23" s="53"/>
      <c r="D23" s="52">
        <f t="shared" si="1"/>
        <v>0</v>
      </c>
      <c r="E23" s="9"/>
      <c r="F23" s="28"/>
      <c r="G23" s="41"/>
      <c r="H23" s="299"/>
      <c r="I23" s="255"/>
      <c r="J23" s="255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89"/>
      <c r="B24" s="17" t="s">
        <v>133</v>
      </c>
      <c r="C24" s="53"/>
      <c r="D24" s="52">
        <f t="shared" si="1"/>
        <v>0</v>
      </c>
      <c r="E24" s="9"/>
      <c r="F24" s="42"/>
      <c r="G24" s="41"/>
      <c r="H24" s="299"/>
      <c r="I24" s="255"/>
      <c r="J24" s="255"/>
      <c r="L24" s="51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89"/>
      <c r="B25" s="17" t="s">
        <v>134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52" t="s">
        <v>13</v>
      </c>
      <c r="I25" s="253"/>
      <c r="J25" s="254"/>
      <c r="L25" s="51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89"/>
      <c r="B26" s="17" t="s">
        <v>105</v>
      </c>
      <c r="C26" s="53"/>
      <c r="D26" s="52">
        <f t="shared" si="1"/>
        <v>0</v>
      </c>
      <c r="E26" s="9"/>
      <c r="F26" s="72"/>
      <c r="G26" s="13"/>
      <c r="H26" s="300"/>
      <c r="I26" s="301"/>
      <c r="J26" s="302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89"/>
      <c r="B27" s="17" t="s">
        <v>109</v>
      </c>
      <c r="C27" s="53"/>
      <c r="D27" s="48">
        <f t="shared" si="1"/>
        <v>0</v>
      </c>
      <c r="E27" s="9"/>
      <c r="F27" s="67"/>
      <c r="G27" s="67"/>
      <c r="H27" s="303"/>
      <c r="I27" s="304"/>
      <c r="J27" s="305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90"/>
      <c r="B28" s="50" t="s">
        <v>97</v>
      </c>
      <c r="C28" s="53">
        <v>2</v>
      </c>
      <c r="D28" s="52">
        <f t="shared" si="1"/>
        <v>1570</v>
      </c>
      <c r="E28" s="9"/>
      <c r="F28" s="60"/>
      <c r="G28" s="68"/>
      <c r="H28" s="258"/>
      <c r="I28" s="259"/>
      <c r="J28" s="260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28" t="s">
        <v>36</v>
      </c>
      <c r="B29" s="229"/>
      <c r="C29" s="230"/>
      <c r="D29" s="234">
        <f>SUM(D6:D28)</f>
        <v>300580</v>
      </c>
      <c r="E29" s="9"/>
      <c r="F29" s="236" t="s">
        <v>55</v>
      </c>
      <c r="G29" s="237"/>
      <c r="H29" s="240">
        <f>H15-H16-H17-H18-H19-H20-H22-H23-H24+H26+H27</f>
        <v>238138</v>
      </c>
      <c r="I29" s="241"/>
      <c r="J29" s="242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231"/>
      <c r="B30" s="232"/>
      <c r="C30" s="233"/>
      <c r="D30" s="235"/>
      <c r="E30" s="9"/>
      <c r="F30" s="238"/>
      <c r="G30" s="239"/>
      <c r="H30" s="243"/>
      <c r="I30" s="244"/>
      <c r="J30" s="245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5" t="s">
        <v>58</v>
      </c>
      <c r="B32" s="176"/>
      <c r="C32" s="176"/>
      <c r="D32" s="177"/>
      <c r="E32" s="11"/>
      <c r="F32" s="261" t="s">
        <v>59</v>
      </c>
      <c r="G32" s="262"/>
      <c r="H32" s="262"/>
      <c r="I32" s="262"/>
      <c r="J32" s="263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13" t="s">
        <v>63</v>
      </c>
      <c r="H33" s="261" t="s">
        <v>13</v>
      </c>
      <c r="I33" s="262"/>
      <c r="J33" s="263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88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82">
        <v>24</v>
      </c>
      <c r="H34" s="264">
        <f>F34*G34</f>
        <v>24000</v>
      </c>
      <c r="I34" s="265"/>
      <c r="J34" s="266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89"/>
      <c r="B35" s="30" t="s">
        <v>68</v>
      </c>
      <c r="C35" s="57"/>
      <c r="D35" s="33">
        <f>C35*84</f>
        <v>0</v>
      </c>
      <c r="E35" s="9"/>
      <c r="F35" s="64">
        <v>500</v>
      </c>
      <c r="G35" s="45">
        <v>18</v>
      </c>
      <c r="H35" s="264">
        <f t="shared" ref="H35:H39" si="2">F35*G35</f>
        <v>9000</v>
      </c>
      <c r="I35" s="265"/>
      <c r="J35" s="266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90"/>
      <c r="B36" s="29" t="s">
        <v>70</v>
      </c>
      <c r="C36" s="53"/>
      <c r="D36" s="15">
        <f>C36*1.5</f>
        <v>0</v>
      </c>
      <c r="E36" s="9"/>
      <c r="F36" s="15">
        <v>200</v>
      </c>
      <c r="G36" s="41"/>
      <c r="H36" s="264">
        <f t="shared" si="2"/>
        <v>0</v>
      </c>
      <c r="I36" s="265"/>
      <c r="J36" s="266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88" t="s">
        <v>72</v>
      </c>
      <c r="B37" s="31" t="s">
        <v>66</v>
      </c>
      <c r="C37" s="58">
        <v>463</v>
      </c>
      <c r="D37" s="15">
        <f>C37*111</f>
        <v>51393</v>
      </c>
      <c r="E37" s="9"/>
      <c r="F37" s="15">
        <v>100</v>
      </c>
      <c r="G37" s="43">
        <v>10</v>
      </c>
      <c r="H37" s="264">
        <f t="shared" si="2"/>
        <v>1000</v>
      </c>
      <c r="I37" s="265"/>
      <c r="J37" s="266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89"/>
      <c r="B38" s="32" t="s">
        <v>68</v>
      </c>
      <c r="C38" s="59">
        <v>10</v>
      </c>
      <c r="D38" s="15">
        <f>C38*84</f>
        <v>840</v>
      </c>
      <c r="E38" s="9"/>
      <c r="F38" s="33">
        <v>50</v>
      </c>
      <c r="G38" s="43">
        <v>1</v>
      </c>
      <c r="H38" s="264">
        <f t="shared" si="2"/>
        <v>50</v>
      </c>
      <c r="I38" s="265"/>
      <c r="J38" s="266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90"/>
      <c r="B39" s="32" t="s">
        <v>70</v>
      </c>
      <c r="C39" s="57">
        <v>4</v>
      </c>
      <c r="D39" s="34">
        <f>C39*4.5</f>
        <v>18</v>
      </c>
      <c r="E39" s="9"/>
      <c r="F39" s="15">
        <v>20</v>
      </c>
      <c r="G39" s="41">
        <v>3</v>
      </c>
      <c r="H39" s="264">
        <f t="shared" si="2"/>
        <v>60</v>
      </c>
      <c r="I39" s="265"/>
      <c r="J39" s="266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88" t="s">
        <v>76</v>
      </c>
      <c r="B40" s="30" t="s">
        <v>66</v>
      </c>
      <c r="C40" s="70">
        <v>5</v>
      </c>
      <c r="D40" s="15">
        <f>C40*111</f>
        <v>555</v>
      </c>
      <c r="E40" s="9"/>
      <c r="F40" s="15">
        <v>10</v>
      </c>
      <c r="G40" s="46"/>
      <c r="H40" s="264"/>
      <c r="I40" s="265"/>
      <c r="J40" s="266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89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264"/>
      <c r="I41" s="265"/>
      <c r="J41" s="266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90"/>
      <c r="B42" s="30" t="s">
        <v>70</v>
      </c>
      <c r="C42" s="71">
        <v>8</v>
      </c>
      <c r="D42" s="15">
        <f>C42*2.25</f>
        <v>18</v>
      </c>
      <c r="E42" s="9"/>
      <c r="F42" s="43" t="s">
        <v>79</v>
      </c>
      <c r="G42" s="264">
        <v>43</v>
      </c>
      <c r="H42" s="265"/>
      <c r="I42" s="265"/>
      <c r="J42" s="266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67" t="s">
        <v>81</v>
      </c>
      <c r="C43" s="71"/>
      <c r="D43" s="15"/>
      <c r="E43" s="9"/>
      <c r="F43" s="65" t="s">
        <v>82</v>
      </c>
      <c r="G43" s="110" t="s">
        <v>83</v>
      </c>
      <c r="H43" s="270" t="s">
        <v>13</v>
      </c>
      <c r="I43" s="271"/>
      <c r="J43" s="272"/>
      <c r="K43" s="24"/>
      <c r="P43" s="4"/>
      <c r="Q43" s="4"/>
      <c r="R43" s="5"/>
    </row>
    <row r="44" spans="1:18" ht="15.75" x14ac:dyDescent="0.25">
      <c r="A44" s="268"/>
      <c r="B44" s="30" t="s">
        <v>66</v>
      </c>
      <c r="C44" s="53"/>
      <c r="D44" s="15">
        <f>C44*120</f>
        <v>0</v>
      </c>
      <c r="E44" s="9"/>
      <c r="F44" s="41" t="s">
        <v>148</v>
      </c>
      <c r="G44" s="69" t="s">
        <v>166</v>
      </c>
      <c r="H44" s="255">
        <v>203418</v>
      </c>
      <c r="I44" s="255"/>
      <c r="J44" s="255"/>
      <c r="K44" s="24"/>
      <c r="P44" s="4"/>
      <c r="Q44" s="4"/>
      <c r="R44" s="5"/>
    </row>
    <row r="45" spans="1:18" ht="15.75" x14ac:dyDescent="0.25">
      <c r="A45" s="268"/>
      <c r="B45" s="30" t="s">
        <v>68</v>
      </c>
      <c r="C45" s="90"/>
      <c r="D45" s="15">
        <f>C45*84</f>
        <v>0</v>
      </c>
      <c r="E45" s="9"/>
      <c r="F45" s="41"/>
      <c r="G45" s="69"/>
      <c r="H45" s="255"/>
      <c r="I45" s="255"/>
      <c r="J45" s="255"/>
      <c r="K45" s="24"/>
      <c r="P45" s="4"/>
      <c r="Q45" s="4"/>
      <c r="R45" s="5"/>
    </row>
    <row r="46" spans="1:18" ht="15.75" x14ac:dyDescent="0.25">
      <c r="A46" s="268"/>
      <c r="B46" s="54" t="s">
        <v>70</v>
      </c>
      <c r="C46" s="91">
        <v>1</v>
      </c>
      <c r="D46" s="15">
        <f>C46*1.5</f>
        <v>1.5</v>
      </c>
      <c r="E46" s="9"/>
      <c r="F46" s="41"/>
      <c r="G46" s="111"/>
      <c r="H46" s="306"/>
      <c r="I46" s="306"/>
      <c r="J46" s="306"/>
      <c r="K46" s="24"/>
      <c r="P46" s="4"/>
      <c r="Q46" s="4"/>
      <c r="R46" s="5"/>
    </row>
    <row r="47" spans="1:18" ht="15.75" x14ac:dyDescent="0.25">
      <c r="A47" s="269"/>
      <c r="B47" s="30"/>
      <c r="C47" s="71"/>
      <c r="D47" s="15"/>
      <c r="E47" s="9"/>
      <c r="F47" s="65"/>
      <c r="G47" s="65"/>
      <c r="H47" s="273"/>
      <c r="I47" s="274"/>
      <c r="J47" s="275"/>
      <c r="K47" s="24"/>
      <c r="P47" s="4"/>
      <c r="Q47" s="4"/>
      <c r="R47" s="5"/>
    </row>
    <row r="48" spans="1:18" ht="15" customHeight="1" x14ac:dyDescent="0.25">
      <c r="A48" s="267" t="s">
        <v>32</v>
      </c>
      <c r="B48" s="30" t="s">
        <v>66</v>
      </c>
      <c r="C48" s="53">
        <v>8</v>
      </c>
      <c r="D48" s="15">
        <f>C48*78</f>
        <v>624</v>
      </c>
      <c r="E48" s="9"/>
      <c r="F48" s="65"/>
      <c r="G48" s="65"/>
      <c r="H48" s="273"/>
      <c r="I48" s="274"/>
      <c r="J48" s="275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68"/>
      <c r="B49" s="32" t="s">
        <v>68</v>
      </c>
      <c r="C49" s="90">
        <v>18</v>
      </c>
      <c r="D49" s="15">
        <f>C49*42</f>
        <v>756</v>
      </c>
      <c r="E49" s="9"/>
      <c r="F49" s="288" t="s">
        <v>86</v>
      </c>
      <c r="G49" s="240">
        <f>H34+H35+H36+H37+H38+H39+H40+H41+G42+H44+H45+H46</f>
        <v>237571</v>
      </c>
      <c r="H49" s="241"/>
      <c r="I49" s="241"/>
      <c r="J49" s="242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68"/>
      <c r="B50" s="35" t="s">
        <v>70</v>
      </c>
      <c r="C50" s="71">
        <v>37</v>
      </c>
      <c r="D50" s="15">
        <f>C50*1.5</f>
        <v>55.5</v>
      </c>
      <c r="E50" s="9"/>
      <c r="F50" s="289"/>
      <c r="G50" s="243"/>
      <c r="H50" s="244"/>
      <c r="I50" s="244"/>
      <c r="J50" s="245"/>
      <c r="K50" s="9"/>
      <c r="P50" s="4"/>
      <c r="Q50" s="4"/>
      <c r="R50" s="5"/>
    </row>
    <row r="51" spans="1:18" ht="15" customHeight="1" x14ac:dyDescent="0.25">
      <c r="A51" s="268"/>
      <c r="B51" s="30"/>
      <c r="C51" s="13"/>
      <c r="D51" s="34"/>
      <c r="E51" s="9"/>
      <c r="F51" s="290" t="s">
        <v>167</v>
      </c>
      <c r="G51" s="314">
        <f>G49-H29</f>
        <v>-567</v>
      </c>
      <c r="H51" s="315"/>
      <c r="I51" s="315"/>
      <c r="J51" s="316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68"/>
      <c r="B52" s="32"/>
      <c r="C52" s="36"/>
      <c r="D52" s="49"/>
      <c r="E52" s="9"/>
      <c r="F52" s="291"/>
      <c r="G52" s="317"/>
      <c r="H52" s="318"/>
      <c r="I52" s="318"/>
      <c r="J52" s="319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69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236" t="s">
        <v>90</v>
      </c>
      <c r="B54" s="276"/>
      <c r="C54" s="277"/>
      <c r="D54" s="280">
        <f>SUM(D34:D53)</f>
        <v>54261</v>
      </c>
      <c r="E54" s="9"/>
      <c r="F54" s="24"/>
      <c r="G54" s="9"/>
      <c r="H54" s="9"/>
      <c r="I54" s="9"/>
      <c r="J54" s="37"/>
    </row>
    <row r="55" spans="1:18" x14ac:dyDescent="0.25">
      <c r="A55" s="238"/>
      <c r="B55" s="278"/>
      <c r="C55" s="279"/>
      <c r="D55" s="281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136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282" t="s">
        <v>91</v>
      </c>
      <c r="B58" s="283"/>
      <c r="C58" s="283"/>
      <c r="D58" s="284"/>
      <c r="E58" s="9"/>
      <c r="F58" s="282" t="s">
        <v>92</v>
      </c>
      <c r="G58" s="283"/>
      <c r="H58" s="283"/>
      <c r="I58" s="283"/>
      <c r="J58" s="284"/>
    </row>
    <row r="59" spans="1:18" x14ac:dyDescent="0.25">
      <c r="A59" s="285"/>
      <c r="B59" s="286"/>
      <c r="C59" s="286"/>
      <c r="D59" s="287"/>
      <c r="E59" s="9"/>
      <c r="F59" s="285"/>
      <c r="G59" s="286"/>
      <c r="H59" s="286"/>
      <c r="I59" s="286"/>
      <c r="J59" s="287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EB2C8-2C63-4262-AAB9-E3B656B880EF}">
  <dimension ref="A1:S59"/>
  <sheetViews>
    <sheetView topLeftCell="A25"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s="8" t="s">
        <v>0</v>
      </c>
      <c r="B1" s="8"/>
      <c r="C1" s="8"/>
      <c r="D1" s="8"/>
      <c r="N1" s="174" t="s">
        <v>1</v>
      </c>
      <c r="O1" s="174"/>
      <c r="P1" s="112" t="s">
        <v>2</v>
      </c>
      <c r="Q1" s="112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75" t="s">
        <v>7</v>
      </c>
      <c r="B4" s="176"/>
      <c r="C4" s="176"/>
      <c r="D4" s="177"/>
      <c r="E4" s="9"/>
      <c r="F4" s="178" t="s">
        <v>8</v>
      </c>
      <c r="G4" s="180">
        <v>3</v>
      </c>
      <c r="H4" s="182" t="s">
        <v>9</v>
      </c>
      <c r="I4" s="184">
        <v>45784</v>
      </c>
      <c r="J4" s="185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88" t="s">
        <v>7</v>
      </c>
      <c r="B5" s="18" t="s">
        <v>11</v>
      </c>
      <c r="C5" s="12" t="s">
        <v>12</v>
      </c>
      <c r="D5" s="28" t="s">
        <v>13</v>
      </c>
      <c r="E5" s="9"/>
      <c r="F5" s="179"/>
      <c r="G5" s="181"/>
      <c r="H5" s="183"/>
      <c r="I5" s="186"/>
      <c r="J5" s="187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89"/>
      <c r="B6" s="19" t="s">
        <v>15</v>
      </c>
      <c r="C6" s="53">
        <v>741</v>
      </c>
      <c r="D6" s="16">
        <f t="shared" ref="D6:D28" si="1">C6*L6</f>
        <v>546117</v>
      </c>
      <c r="E6" s="9"/>
      <c r="F6" s="191" t="s">
        <v>16</v>
      </c>
      <c r="G6" s="193" t="s">
        <v>111</v>
      </c>
      <c r="H6" s="194"/>
      <c r="I6" s="194"/>
      <c r="J6" s="195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89"/>
      <c r="B7" s="19" t="s">
        <v>18</v>
      </c>
      <c r="C7" s="53">
        <v>20</v>
      </c>
      <c r="D7" s="16">
        <f t="shared" si="1"/>
        <v>14500</v>
      </c>
      <c r="E7" s="9"/>
      <c r="F7" s="192"/>
      <c r="G7" s="196"/>
      <c r="H7" s="197"/>
      <c r="I7" s="197"/>
      <c r="J7" s="198"/>
      <c r="K7" s="10"/>
      <c r="L7" s="6">
        <f>R41</f>
        <v>725</v>
      </c>
      <c r="P7" s="4"/>
      <c r="Q7" s="4"/>
      <c r="R7" s="5"/>
    </row>
    <row r="8" spans="1:19" ht="14.45" customHeight="1" x14ac:dyDescent="0.25">
      <c r="A8" s="189"/>
      <c r="B8" s="19" t="s">
        <v>20</v>
      </c>
      <c r="C8" s="53"/>
      <c r="D8" s="16">
        <f t="shared" si="1"/>
        <v>0</v>
      </c>
      <c r="E8" s="9"/>
      <c r="F8" s="199" t="s">
        <v>21</v>
      </c>
      <c r="G8" s="201" t="s">
        <v>122</v>
      </c>
      <c r="H8" s="202"/>
      <c r="I8" s="202"/>
      <c r="J8" s="203"/>
      <c r="K8" s="10"/>
      <c r="L8" s="6">
        <f>R40</f>
        <v>1033</v>
      </c>
      <c r="P8" s="4"/>
      <c r="Q8" s="4"/>
      <c r="R8" s="5"/>
    </row>
    <row r="9" spans="1:19" ht="14.45" customHeight="1" x14ac:dyDescent="0.25">
      <c r="A9" s="189"/>
      <c r="B9" s="19" t="s">
        <v>23</v>
      </c>
      <c r="C9" s="53">
        <v>312</v>
      </c>
      <c r="D9" s="16">
        <f t="shared" si="1"/>
        <v>220584</v>
      </c>
      <c r="E9" s="9"/>
      <c r="F9" s="192"/>
      <c r="G9" s="204"/>
      <c r="H9" s="205"/>
      <c r="I9" s="205"/>
      <c r="J9" s="206"/>
      <c r="K9" s="10"/>
      <c r="L9" s="6">
        <f>R38</f>
        <v>707</v>
      </c>
      <c r="P9" s="4"/>
      <c r="Q9" s="4"/>
      <c r="R9" s="5"/>
    </row>
    <row r="10" spans="1:19" ht="14.45" customHeight="1" x14ac:dyDescent="0.25">
      <c r="A10" s="189"/>
      <c r="B10" s="11" t="s">
        <v>25</v>
      </c>
      <c r="C10" s="53">
        <v>5</v>
      </c>
      <c r="D10" s="16">
        <f t="shared" si="1"/>
        <v>4860</v>
      </c>
      <c r="E10" s="9"/>
      <c r="F10" s="191" t="s">
        <v>26</v>
      </c>
      <c r="G10" s="207" t="s">
        <v>123</v>
      </c>
      <c r="H10" s="208"/>
      <c r="I10" s="208"/>
      <c r="J10" s="209"/>
      <c r="K10" s="10"/>
      <c r="L10" s="6">
        <f>R36</f>
        <v>972</v>
      </c>
      <c r="P10" s="4"/>
      <c r="Q10" s="4"/>
      <c r="R10" s="5"/>
    </row>
    <row r="11" spans="1:19" ht="15.75" x14ac:dyDescent="0.25">
      <c r="A11" s="189"/>
      <c r="B11" s="20" t="s">
        <v>28</v>
      </c>
      <c r="C11" s="53">
        <v>1</v>
      </c>
      <c r="D11" s="16">
        <f t="shared" si="1"/>
        <v>1125</v>
      </c>
      <c r="E11" s="9"/>
      <c r="F11" s="192"/>
      <c r="G11" s="204"/>
      <c r="H11" s="205"/>
      <c r="I11" s="205"/>
      <c r="J11" s="206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89"/>
      <c r="B12" s="20" t="s">
        <v>30</v>
      </c>
      <c r="C12" s="53">
        <f>4+1</f>
        <v>5</v>
      </c>
      <c r="D12" s="52">
        <f t="shared" si="1"/>
        <v>4760</v>
      </c>
      <c r="E12" s="9"/>
      <c r="F12" s="210" t="s">
        <v>33</v>
      </c>
      <c r="G12" s="211"/>
      <c r="H12" s="211"/>
      <c r="I12" s="211"/>
      <c r="J12" s="212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89"/>
      <c r="B13" s="20" t="s">
        <v>32</v>
      </c>
      <c r="C13" s="53">
        <v>50</v>
      </c>
      <c r="D13" s="52">
        <f t="shared" si="1"/>
        <v>15350</v>
      </c>
      <c r="E13" s="9"/>
      <c r="F13" s="213" t="s">
        <v>36</v>
      </c>
      <c r="G13" s="214"/>
      <c r="H13" s="215">
        <f>D29</f>
        <v>816295</v>
      </c>
      <c r="I13" s="216"/>
      <c r="J13" s="217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89"/>
      <c r="B14" s="17" t="s">
        <v>35</v>
      </c>
      <c r="C14" s="53"/>
      <c r="D14" s="34">
        <f t="shared" si="1"/>
        <v>0</v>
      </c>
      <c r="E14" s="9"/>
      <c r="F14" s="218" t="s">
        <v>39</v>
      </c>
      <c r="G14" s="219"/>
      <c r="H14" s="220">
        <f>D54</f>
        <v>125859.75</v>
      </c>
      <c r="I14" s="221"/>
      <c r="J14" s="222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89"/>
      <c r="B15" s="17" t="s">
        <v>38</v>
      </c>
      <c r="C15" s="53"/>
      <c r="D15" s="34">
        <f t="shared" si="1"/>
        <v>0</v>
      </c>
      <c r="E15" s="9"/>
      <c r="F15" s="223" t="s">
        <v>40</v>
      </c>
      <c r="G15" s="214"/>
      <c r="H15" s="224">
        <f>H13-H14</f>
        <v>690435.25</v>
      </c>
      <c r="I15" s="225"/>
      <c r="J15" s="226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89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227">
        <f>810+372+3636</f>
        <v>4818</v>
      </c>
      <c r="I16" s="227"/>
      <c r="J16" s="22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89"/>
      <c r="B17" s="11" t="s">
        <v>114</v>
      </c>
      <c r="C17" s="53"/>
      <c r="D17" s="52">
        <f t="shared" si="1"/>
        <v>0</v>
      </c>
      <c r="E17" s="9"/>
      <c r="F17" s="62"/>
      <c r="G17" s="74" t="s">
        <v>45</v>
      </c>
      <c r="H17" s="200"/>
      <c r="I17" s="200"/>
      <c r="J17" s="200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89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200"/>
      <c r="I18" s="200"/>
      <c r="J18" s="200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89"/>
      <c r="B19" s="17" t="s">
        <v>164</v>
      </c>
      <c r="C19" s="53">
        <f>1+1</f>
        <v>2</v>
      </c>
      <c r="D19" s="52">
        <f t="shared" si="1"/>
        <v>2204</v>
      </c>
      <c r="E19" s="9"/>
      <c r="F19" s="62"/>
      <c r="G19" s="76" t="s">
        <v>50</v>
      </c>
      <c r="H19" s="313"/>
      <c r="I19" s="313"/>
      <c r="J19" s="313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89"/>
      <c r="B20" s="50" t="s">
        <v>108</v>
      </c>
      <c r="C20" s="53"/>
      <c r="D20" s="16">
        <f t="shared" si="1"/>
        <v>0</v>
      </c>
      <c r="E20" s="9"/>
      <c r="F20" s="63"/>
      <c r="G20" s="78" t="s">
        <v>124</v>
      </c>
      <c r="H20" s="227">
        <f>25*626</f>
        <v>15650</v>
      </c>
      <c r="I20" s="227"/>
      <c r="J20" s="227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89"/>
      <c r="B21" s="17" t="s">
        <v>145</v>
      </c>
      <c r="C21" s="53">
        <f>1+1</f>
        <v>2</v>
      </c>
      <c r="D21" s="52">
        <f t="shared" si="1"/>
        <v>1300</v>
      </c>
      <c r="E21" s="9"/>
      <c r="F21" s="77" t="s">
        <v>99</v>
      </c>
      <c r="G21" s="92" t="s">
        <v>98</v>
      </c>
      <c r="H21" s="246" t="s">
        <v>13</v>
      </c>
      <c r="I21" s="247"/>
      <c r="J21" s="248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89"/>
      <c r="B22" s="50" t="s">
        <v>104</v>
      </c>
      <c r="C22" s="53"/>
      <c r="D22" s="52">
        <f t="shared" si="1"/>
        <v>0</v>
      </c>
      <c r="E22" s="9"/>
      <c r="F22" s="85" t="s">
        <v>160</v>
      </c>
      <c r="G22" s="81">
        <v>1288</v>
      </c>
      <c r="H22" s="249">
        <v>175305</v>
      </c>
      <c r="I22" s="249"/>
      <c r="J22" s="249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89"/>
      <c r="B23" s="17" t="s">
        <v>107</v>
      </c>
      <c r="C23" s="53"/>
      <c r="D23" s="52">
        <f t="shared" si="1"/>
        <v>0</v>
      </c>
      <c r="E23" s="9"/>
      <c r="F23" s="86"/>
      <c r="G23" s="87"/>
      <c r="H23" s="299"/>
      <c r="I23" s="255"/>
      <c r="J23" s="255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89"/>
      <c r="B24" s="17" t="s">
        <v>101</v>
      </c>
      <c r="C24" s="53"/>
      <c r="D24" s="52">
        <f t="shared" si="1"/>
        <v>0</v>
      </c>
      <c r="E24" s="9"/>
      <c r="F24" s="42"/>
      <c r="G24" s="41"/>
      <c r="H24" s="299"/>
      <c r="I24" s="255"/>
      <c r="J24" s="255"/>
      <c r="L24" s="51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89"/>
      <c r="B25" s="17" t="s">
        <v>117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52" t="s">
        <v>13</v>
      </c>
      <c r="I25" s="253"/>
      <c r="J25" s="254"/>
      <c r="L25" s="51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89"/>
      <c r="B26" s="17" t="s">
        <v>105</v>
      </c>
      <c r="C26" s="53"/>
      <c r="D26" s="52">
        <f t="shared" si="1"/>
        <v>0</v>
      </c>
      <c r="E26" s="9"/>
      <c r="F26" s="72" t="s">
        <v>169</v>
      </c>
      <c r="G26" s="65"/>
      <c r="H26" s="300">
        <v>148984</v>
      </c>
      <c r="I26" s="301"/>
      <c r="J26" s="302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89"/>
      <c r="B27" s="17" t="s">
        <v>109</v>
      </c>
      <c r="C27" s="53"/>
      <c r="D27" s="48">
        <f t="shared" si="1"/>
        <v>0</v>
      </c>
      <c r="E27" s="9"/>
      <c r="F27" s="88"/>
      <c r="G27" s="89"/>
      <c r="H27" s="303"/>
      <c r="I27" s="304"/>
      <c r="J27" s="305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90"/>
      <c r="B28" s="50" t="s">
        <v>97</v>
      </c>
      <c r="C28" s="53">
        <v>7</v>
      </c>
      <c r="D28" s="52">
        <f t="shared" si="1"/>
        <v>5495</v>
      </c>
      <c r="E28" s="9"/>
      <c r="F28" s="60"/>
      <c r="G28" s="68"/>
      <c r="H28" s="258"/>
      <c r="I28" s="259"/>
      <c r="J28" s="260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28" t="s">
        <v>36</v>
      </c>
      <c r="B29" s="229"/>
      <c r="C29" s="230"/>
      <c r="D29" s="234">
        <f>SUM(D6:D28)</f>
        <v>816295</v>
      </c>
      <c r="E29" s="9"/>
      <c r="F29" s="236" t="s">
        <v>55</v>
      </c>
      <c r="G29" s="237"/>
      <c r="H29" s="240">
        <f>H15-H16-H17-H18-H19-H20-H22-H23-H24+H26+H27</f>
        <v>643646.25</v>
      </c>
      <c r="I29" s="241"/>
      <c r="J29" s="242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231"/>
      <c r="B30" s="232"/>
      <c r="C30" s="233"/>
      <c r="D30" s="235"/>
      <c r="E30" s="9"/>
      <c r="F30" s="238"/>
      <c r="G30" s="239"/>
      <c r="H30" s="243"/>
      <c r="I30" s="244"/>
      <c r="J30" s="245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5" t="s">
        <v>58</v>
      </c>
      <c r="B32" s="176"/>
      <c r="C32" s="176"/>
      <c r="D32" s="177"/>
      <c r="E32" s="11"/>
      <c r="F32" s="261" t="s">
        <v>59</v>
      </c>
      <c r="G32" s="262"/>
      <c r="H32" s="262"/>
      <c r="I32" s="262"/>
      <c r="J32" s="263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13" t="s">
        <v>63</v>
      </c>
      <c r="H33" s="261" t="s">
        <v>13</v>
      </c>
      <c r="I33" s="262"/>
      <c r="J33" s="263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88" t="s">
        <v>65</v>
      </c>
      <c r="B34" s="29" t="s">
        <v>66</v>
      </c>
      <c r="C34" s="56">
        <v>1</v>
      </c>
      <c r="D34" s="33">
        <f>C34*120</f>
        <v>120</v>
      </c>
      <c r="E34" s="9"/>
      <c r="F34" s="15">
        <v>1000</v>
      </c>
      <c r="G34" s="82">
        <v>227</v>
      </c>
      <c r="H34" s="264">
        <f>F34*G34</f>
        <v>227000</v>
      </c>
      <c r="I34" s="265"/>
      <c r="J34" s="266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89"/>
      <c r="B35" s="30" t="s">
        <v>68</v>
      </c>
      <c r="C35" s="57">
        <v>1</v>
      </c>
      <c r="D35" s="33">
        <f>C35*84</f>
        <v>84</v>
      </c>
      <c r="E35" s="9"/>
      <c r="F35" s="64">
        <v>500</v>
      </c>
      <c r="G35" s="45">
        <v>57</v>
      </c>
      <c r="H35" s="264">
        <f>F35*G35</f>
        <v>28500</v>
      </c>
      <c r="I35" s="265"/>
      <c r="J35" s="266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90"/>
      <c r="B36" s="29" t="s">
        <v>70</v>
      </c>
      <c r="C36" s="53">
        <v>22</v>
      </c>
      <c r="D36" s="15">
        <f>C36*1.5</f>
        <v>33</v>
      </c>
      <c r="E36" s="9"/>
      <c r="F36" s="15">
        <v>200</v>
      </c>
      <c r="G36" s="41">
        <v>4</v>
      </c>
      <c r="H36" s="264">
        <f t="shared" ref="H36:H39" si="2">F36*G36</f>
        <v>800</v>
      </c>
      <c r="I36" s="265"/>
      <c r="J36" s="266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88" t="s">
        <v>72</v>
      </c>
      <c r="B37" s="31" t="s">
        <v>66</v>
      </c>
      <c r="C37" s="58">
        <v>1069</v>
      </c>
      <c r="D37" s="15">
        <f>C37*111</f>
        <v>118659</v>
      </c>
      <c r="E37" s="9"/>
      <c r="F37" s="15">
        <v>100</v>
      </c>
      <c r="G37" s="43">
        <v>13</v>
      </c>
      <c r="H37" s="264">
        <f t="shared" si="2"/>
        <v>1300</v>
      </c>
      <c r="I37" s="265"/>
      <c r="J37" s="266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89"/>
      <c r="B38" s="32" t="s">
        <v>68</v>
      </c>
      <c r="C38" s="59">
        <v>11</v>
      </c>
      <c r="D38" s="15">
        <f>C38*84</f>
        <v>924</v>
      </c>
      <c r="E38" s="9"/>
      <c r="F38" s="33">
        <v>50</v>
      </c>
      <c r="G38" s="43">
        <v>4</v>
      </c>
      <c r="H38" s="264">
        <f t="shared" si="2"/>
        <v>200</v>
      </c>
      <c r="I38" s="265"/>
      <c r="J38" s="266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90"/>
      <c r="B39" s="32" t="s">
        <v>70</v>
      </c>
      <c r="C39" s="57">
        <v>5</v>
      </c>
      <c r="D39" s="34">
        <f>C39*4.5</f>
        <v>22.5</v>
      </c>
      <c r="E39" s="9"/>
      <c r="F39" s="15">
        <v>20</v>
      </c>
      <c r="G39" s="41">
        <v>1</v>
      </c>
      <c r="H39" s="264">
        <f t="shared" si="2"/>
        <v>20</v>
      </c>
      <c r="I39" s="265"/>
      <c r="J39" s="266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88" t="s">
        <v>76</v>
      </c>
      <c r="B40" s="30" t="s">
        <v>66</v>
      </c>
      <c r="C40" s="70">
        <v>22</v>
      </c>
      <c r="D40" s="15">
        <f>C40*111</f>
        <v>2442</v>
      </c>
      <c r="E40" s="9"/>
      <c r="F40" s="15">
        <v>10</v>
      </c>
      <c r="G40" s="46"/>
      <c r="H40" s="264"/>
      <c r="I40" s="265"/>
      <c r="J40" s="266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89"/>
      <c r="B41" s="30" t="s">
        <v>68</v>
      </c>
      <c r="C41" s="53">
        <v>1</v>
      </c>
      <c r="D41" s="15">
        <f>C41*84</f>
        <v>84</v>
      </c>
      <c r="E41" s="9"/>
      <c r="F41" s="15">
        <v>5</v>
      </c>
      <c r="G41" s="46"/>
      <c r="H41" s="264"/>
      <c r="I41" s="265"/>
      <c r="J41" s="266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90"/>
      <c r="B42" s="30" t="s">
        <v>70</v>
      </c>
      <c r="C42" s="71">
        <v>21</v>
      </c>
      <c r="D42" s="15">
        <f>C42*2.25</f>
        <v>47.25</v>
      </c>
      <c r="E42" s="9"/>
      <c r="F42" s="43" t="s">
        <v>79</v>
      </c>
      <c r="G42" s="264">
        <v>143</v>
      </c>
      <c r="H42" s="265"/>
      <c r="I42" s="265"/>
      <c r="J42" s="266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67" t="s">
        <v>81</v>
      </c>
      <c r="C43" s="71"/>
      <c r="D43" s="15"/>
      <c r="E43" s="9"/>
      <c r="F43" s="65" t="s">
        <v>82</v>
      </c>
      <c r="G43" s="110" t="s">
        <v>83</v>
      </c>
      <c r="H43" s="270" t="s">
        <v>13</v>
      </c>
      <c r="I43" s="271"/>
      <c r="J43" s="272"/>
      <c r="K43" s="24"/>
      <c r="P43" s="4"/>
      <c r="Q43" s="4"/>
      <c r="R43" s="5"/>
    </row>
    <row r="44" spans="1:18" ht="15.75" x14ac:dyDescent="0.25">
      <c r="A44" s="268"/>
      <c r="B44" s="30" t="s">
        <v>66</v>
      </c>
      <c r="C44" s="53">
        <v>5</v>
      </c>
      <c r="D44" s="15">
        <f>C44*120</f>
        <v>600</v>
      </c>
      <c r="E44" s="9"/>
      <c r="F44" s="41" t="s">
        <v>148</v>
      </c>
      <c r="G44" s="84" t="s">
        <v>168</v>
      </c>
      <c r="H44" s="255">
        <v>387984</v>
      </c>
      <c r="I44" s="255"/>
      <c r="J44" s="255"/>
      <c r="K44" s="24"/>
      <c r="P44" s="4"/>
      <c r="Q44" s="4"/>
      <c r="R44" s="5"/>
    </row>
    <row r="45" spans="1:18" ht="15.75" x14ac:dyDescent="0.25">
      <c r="A45" s="268"/>
      <c r="B45" s="30" t="s">
        <v>68</v>
      </c>
      <c r="C45" s="90">
        <v>4</v>
      </c>
      <c r="D45" s="15">
        <f>C45*84</f>
        <v>336</v>
      </c>
      <c r="E45" s="9"/>
      <c r="F45" s="41"/>
      <c r="G45" s="84"/>
      <c r="H45" s="255"/>
      <c r="I45" s="255"/>
      <c r="J45" s="255"/>
      <c r="K45" s="24"/>
      <c r="P45" s="4"/>
      <c r="Q45" s="4"/>
      <c r="R45" s="5"/>
    </row>
    <row r="46" spans="1:18" ht="15.75" x14ac:dyDescent="0.25">
      <c r="A46" s="268"/>
      <c r="B46" s="54" t="s">
        <v>70</v>
      </c>
      <c r="C46" s="91">
        <v>30</v>
      </c>
      <c r="D46" s="15">
        <f>C46*1.5</f>
        <v>45</v>
      </c>
      <c r="E46" s="9"/>
      <c r="F46" s="41"/>
      <c r="G46" s="69"/>
      <c r="H46" s="306"/>
      <c r="I46" s="306"/>
      <c r="J46" s="306"/>
      <c r="K46" s="24"/>
      <c r="P46" s="4"/>
      <c r="Q46" s="4"/>
      <c r="R46" s="5"/>
    </row>
    <row r="47" spans="1:18" ht="15.75" x14ac:dyDescent="0.25">
      <c r="A47" s="269"/>
      <c r="B47" s="30"/>
      <c r="C47" s="71"/>
      <c r="D47" s="15"/>
      <c r="E47" s="9"/>
      <c r="F47" s="65"/>
      <c r="G47" s="65"/>
      <c r="H47" s="273"/>
      <c r="I47" s="274"/>
      <c r="J47" s="275"/>
      <c r="K47" s="24"/>
      <c r="P47" s="4"/>
      <c r="Q47" s="4"/>
      <c r="R47" s="5"/>
    </row>
    <row r="48" spans="1:18" ht="15" customHeight="1" x14ac:dyDescent="0.25">
      <c r="A48" s="267" t="s">
        <v>32</v>
      </c>
      <c r="B48" s="30" t="s">
        <v>66</v>
      </c>
      <c r="C48" s="53">
        <v>25</v>
      </c>
      <c r="D48" s="15">
        <f>C48*78</f>
        <v>1950</v>
      </c>
      <c r="E48" s="9"/>
      <c r="F48" s="65"/>
      <c r="G48" s="65"/>
      <c r="H48" s="273"/>
      <c r="I48" s="274"/>
      <c r="J48" s="275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68"/>
      <c r="B49" s="32" t="s">
        <v>68</v>
      </c>
      <c r="C49" s="90">
        <v>11</v>
      </c>
      <c r="D49" s="15">
        <f>C49*42</f>
        <v>462</v>
      </c>
      <c r="E49" s="9"/>
      <c r="F49" s="288" t="s">
        <v>86</v>
      </c>
      <c r="G49" s="240">
        <f>H34+H35+H36+H37+H38+H39+H40+H41+G42+H44+H45+H46</f>
        <v>645947</v>
      </c>
      <c r="H49" s="241"/>
      <c r="I49" s="241"/>
      <c r="J49" s="242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68"/>
      <c r="B50" s="35" t="s">
        <v>70</v>
      </c>
      <c r="C50" s="71">
        <v>34</v>
      </c>
      <c r="D50" s="15">
        <f>C50*1.5</f>
        <v>51</v>
      </c>
      <c r="E50" s="9"/>
      <c r="F50" s="289"/>
      <c r="G50" s="243"/>
      <c r="H50" s="244"/>
      <c r="I50" s="244"/>
      <c r="J50" s="245"/>
      <c r="K50" s="9"/>
      <c r="P50" s="4"/>
      <c r="Q50" s="4"/>
      <c r="R50" s="5"/>
    </row>
    <row r="51" spans="1:18" ht="15" customHeight="1" x14ac:dyDescent="0.25">
      <c r="A51" s="268"/>
      <c r="B51" s="30"/>
      <c r="C51" s="53"/>
      <c r="D51" s="34"/>
      <c r="E51" s="9"/>
      <c r="F51" s="290" t="s">
        <v>147</v>
      </c>
      <c r="G51" s="307">
        <f>G49-H29</f>
        <v>2300.75</v>
      </c>
      <c r="H51" s="308"/>
      <c r="I51" s="308"/>
      <c r="J51" s="309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68"/>
      <c r="B52" s="32"/>
      <c r="C52" s="36"/>
      <c r="D52" s="49"/>
      <c r="E52" s="9"/>
      <c r="F52" s="291"/>
      <c r="G52" s="310"/>
      <c r="H52" s="311"/>
      <c r="I52" s="311"/>
      <c r="J52" s="312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69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236" t="s">
        <v>90</v>
      </c>
      <c r="B54" s="276"/>
      <c r="C54" s="277"/>
      <c r="D54" s="280">
        <f>SUM(D34:D53)</f>
        <v>125859.75</v>
      </c>
      <c r="E54" s="9"/>
      <c r="F54" s="24"/>
      <c r="G54" s="9"/>
      <c r="H54" s="9"/>
      <c r="I54" s="9"/>
      <c r="J54" s="37"/>
    </row>
    <row r="55" spans="1:18" x14ac:dyDescent="0.25">
      <c r="A55" s="238"/>
      <c r="B55" s="278"/>
      <c r="C55" s="279"/>
      <c r="D55" s="281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119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282" t="s">
        <v>91</v>
      </c>
      <c r="B58" s="283"/>
      <c r="C58" s="283"/>
      <c r="D58" s="284"/>
      <c r="E58" s="9"/>
      <c r="F58" s="282" t="s">
        <v>92</v>
      </c>
      <c r="G58" s="283"/>
      <c r="H58" s="283"/>
      <c r="I58" s="283"/>
      <c r="J58" s="284"/>
    </row>
    <row r="59" spans="1:18" x14ac:dyDescent="0.25">
      <c r="A59" s="285"/>
      <c r="B59" s="286"/>
      <c r="C59" s="286"/>
      <c r="D59" s="287"/>
      <c r="E59" s="9"/>
      <c r="F59" s="285"/>
      <c r="G59" s="286"/>
      <c r="H59" s="286"/>
      <c r="I59" s="286"/>
      <c r="J59" s="287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1EB99-A505-466A-AB4E-61F3D4A65CCD}">
  <dimension ref="A1"/>
  <sheetViews>
    <sheetView workbookViewId="0">
      <selection activeCell="I4" sqref="I4:J5"/>
    </sheetView>
  </sheetViews>
  <sheetFormatPr defaultRowHeight="15" x14ac:dyDescent="0.25"/>
  <sheetData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9ABF1-301E-41EA-A9A1-F5B133F3F5D8}">
  <dimension ref="A1:R59"/>
  <sheetViews>
    <sheetView zoomScaleNormal="100" zoomScaleSheetLayoutView="85" workbookViewId="0">
      <selection activeCell="C6" sqref="C6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174" t="s">
        <v>1</v>
      </c>
      <c r="O1" s="174"/>
      <c r="P1" s="115" t="s">
        <v>2</v>
      </c>
      <c r="Q1" s="115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75" t="s">
        <v>7</v>
      </c>
      <c r="B4" s="176"/>
      <c r="C4" s="176"/>
      <c r="D4" s="177"/>
      <c r="E4" s="9"/>
      <c r="F4" s="178" t="s">
        <v>8</v>
      </c>
      <c r="G4" s="180">
        <v>1</v>
      </c>
      <c r="H4" s="182" t="s">
        <v>9</v>
      </c>
      <c r="I4" s="184">
        <v>45785</v>
      </c>
      <c r="J4" s="185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88" t="s">
        <v>7</v>
      </c>
      <c r="B5" s="18" t="s">
        <v>11</v>
      </c>
      <c r="C5" s="12" t="s">
        <v>12</v>
      </c>
      <c r="D5" s="28" t="s">
        <v>13</v>
      </c>
      <c r="E5" s="9"/>
      <c r="F5" s="179"/>
      <c r="G5" s="181"/>
      <c r="H5" s="183"/>
      <c r="I5" s="186"/>
      <c r="J5" s="187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89"/>
      <c r="B6" s="19" t="s">
        <v>15</v>
      </c>
      <c r="C6" s="53">
        <v>486</v>
      </c>
      <c r="D6" s="16">
        <f t="shared" ref="D6:D28" si="1">C6*L6</f>
        <v>358182</v>
      </c>
      <c r="E6" s="9"/>
      <c r="F6" s="191" t="s">
        <v>16</v>
      </c>
      <c r="G6" s="193" t="s">
        <v>128</v>
      </c>
      <c r="H6" s="194"/>
      <c r="I6" s="194"/>
      <c r="J6" s="195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89"/>
      <c r="B7" s="19" t="s">
        <v>18</v>
      </c>
      <c r="C7" s="53">
        <v>3</v>
      </c>
      <c r="D7" s="16">
        <f t="shared" si="1"/>
        <v>2175</v>
      </c>
      <c r="E7" s="9"/>
      <c r="F7" s="192"/>
      <c r="G7" s="196"/>
      <c r="H7" s="197"/>
      <c r="I7" s="197"/>
      <c r="J7" s="198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189"/>
      <c r="B8" s="19" t="s">
        <v>20</v>
      </c>
      <c r="C8" s="53">
        <v>1</v>
      </c>
      <c r="D8" s="16">
        <f t="shared" si="1"/>
        <v>1033</v>
      </c>
      <c r="E8" s="9"/>
      <c r="F8" s="199" t="s">
        <v>21</v>
      </c>
      <c r="G8" s="201" t="s">
        <v>113</v>
      </c>
      <c r="H8" s="202"/>
      <c r="I8" s="202"/>
      <c r="J8" s="203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189"/>
      <c r="B9" s="19" t="s">
        <v>23</v>
      </c>
      <c r="C9" s="53">
        <v>25</v>
      </c>
      <c r="D9" s="16">
        <f t="shared" si="1"/>
        <v>17675</v>
      </c>
      <c r="E9" s="9"/>
      <c r="F9" s="192"/>
      <c r="G9" s="204"/>
      <c r="H9" s="205"/>
      <c r="I9" s="205"/>
      <c r="J9" s="206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189"/>
      <c r="B10" s="11" t="s">
        <v>25</v>
      </c>
      <c r="C10" s="53">
        <v>1</v>
      </c>
      <c r="D10" s="16">
        <f t="shared" si="1"/>
        <v>972</v>
      </c>
      <c r="E10" s="9"/>
      <c r="F10" s="191" t="s">
        <v>26</v>
      </c>
      <c r="G10" s="207" t="s">
        <v>132</v>
      </c>
      <c r="H10" s="208"/>
      <c r="I10" s="208"/>
      <c r="J10" s="209"/>
      <c r="K10" s="10"/>
      <c r="L10" s="6">
        <f>R36</f>
        <v>972</v>
      </c>
      <c r="P10" s="4"/>
      <c r="Q10" s="4"/>
      <c r="R10" s="5"/>
    </row>
    <row r="11" spans="1:18" ht="15.75" x14ac:dyDescent="0.25">
      <c r="A11" s="189"/>
      <c r="B11" s="20" t="s">
        <v>28</v>
      </c>
      <c r="C11" s="53"/>
      <c r="D11" s="16">
        <f t="shared" si="1"/>
        <v>0</v>
      </c>
      <c r="E11" s="9"/>
      <c r="F11" s="192"/>
      <c r="G11" s="204"/>
      <c r="H11" s="205"/>
      <c r="I11" s="205"/>
      <c r="J11" s="206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89"/>
      <c r="B12" s="20" t="s">
        <v>30</v>
      </c>
      <c r="C12" s="53">
        <v>3</v>
      </c>
      <c r="D12" s="52">
        <f t="shared" si="1"/>
        <v>2856</v>
      </c>
      <c r="E12" s="9"/>
      <c r="F12" s="210" t="s">
        <v>33</v>
      </c>
      <c r="G12" s="211"/>
      <c r="H12" s="211"/>
      <c r="I12" s="211"/>
      <c r="J12" s="212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89"/>
      <c r="B13" s="20" t="s">
        <v>32</v>
      </c>
      <c r="C13" s="53">
        <v>24</v>
      </c>
      <c r="D13" s="52">
        <f t="shared" si="1"/>
        <v>7368</v>
      </c>
      <c r="E13" s="9"/>
      <c r="F13" s="213" t="s">
        <v>36</v>
      </c>
      <c r="G13" s="214"/>
      <c r="H13" s="215">
        <f>D29</f>
        <v>396772</v>
      </c>
      <c r="I13" s="216"/>
      <c r="J13" s="217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89"/>
      <c r="B14" s="17" t="s">
        <v>35</v>
      </c>
      <c r="C14" s="53">
        <v>21</v>
      </c>
      <c r="D14" s="34">
        <f t="shared" si="1"/>
        <v>231</v>
      </c>
      <c r="E14" s="9"/>
      <c r="F14" s="218" t="s">
        <v>39</v>
      </c>
      <c r="G14" s="219"/>
      <c r="H14" s="220">
        <f>D54</f>
        <v>57954.75</v>
      </c>
      <c r="I14" s="221"/>
      <c r="J14" s="222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89"/>
      <c r="B15" s="17" t="s">
        <v>38</v>
      </c>
      <c r="C15" s="53"/>
      <c r="D15" s="34">
        <f t="shared" si="1"/>
        <v>0</v>
      </c>
      <c r="E15" s="9"/>
      <c r="F15" s="223" t="s">
        <v>40</v>
      </c>
      <c r="G15" s="214"/>
      <c r="H15" s="224">
        <f>H13-H14</f>
        <v>338817.25</v>
      </c>
      <c r="I15" s="225"/>
      <c r="J15" s="226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89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227">
        <v>3096</v>
      </c>
      <c r="I16" s="227"/>
      <c r="J16" s="22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89"/>
      <c r="B17" s="11" t="s">
        <v>137</v>
      </c>
      <c r="C17" s="53"/>
      <c r="D17" s="52">
        <f t="shared" si="1"/>
        <v>0</v>
      </c>
      <c r="E17" s="9"/>
      <c r="F17" s="62"/>
      <c r="G17" s="74" t="s">
        <v>45</v>
      </c>
      <c r="H17" s="200"/>
      <c r="I17" s="200"/>
      <c r="J17" s="200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89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200"/>
      <c r="I18" s="200"/>
      <c r="J18" s="200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89"/>
      <c r="B19" s="17" t="s">
        <v>140</v>
      </c>
      <c r="C19" s="53"/>
      <c r="D19" s="52">
        <f t="shared" si="1"/>
        <v>0</v>
      </c>
      <c r="E19" s="9"/>
      <c r="F19" s="62"/>
      <c r="G19" s="76" t="s">
        <v>50</v>
      </c>
      <c r="H19" s="200"/>
      <c r="I19" s="200"/>
      <c r="J19" s="200"/>
      <c r="L19" s="6">
        <v>1102</v>
      </c>
      <c r="Q19" s="4"/>
      <c r="R19" s="5">
        <f t="shared" si="0"/>
        <v>0</v>
      </c>
    </row>
    <row r="20" spans="1:18" ht="15.75" x14ac:dyDescent="0.25">
      <c r="A20" s="189"/>
      <c r="B20" s="97" t="s">
        <v>139</v>
      </c>
      <c r="C20" s="53"/>
      <c r="D20" s="16">
        <f t="shared" si="1"/>
        <v>0</v>
      </c>
      <c r="E20" s="9"/>
      <c r="F20" s="63"/>
      <c r="G20" s="78" t="s">
        <v>124</v>
      </c>
      <c r="H20" s="227">
        <f>674*2</f>
        <v>1348</v>
      </c>
      <c r="I20" s="227"/>
      <c r="J20" s="227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89"/>
      <c r="B21" s="17" t="s">
        <v>138</v>
      </c>
      <c r="C21" s="53"/>
      <c r="D21" s="52">
        <f t="shared" si="1"/>
        <v>0</v>
      </c>
      <c r="E21" s="9"/>
      <c r="F21" s="77" t="s">
        <v>99</v>
      </c>
      <c r="G21" s="92" t="s">
        <v>98</v>
      </c>
      <c r="H21" s="246" t="s">
        <v>13</v>
      </c>
      <c r="I21" s="247"/>
      <c r="J21" s="248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89"/>
      <c r="B22" s="50" t="s">
        <v>110</v>
      </c>
      <c r="C22" s="53"/>
      <c r="D22" s="52">
        <f t="shared" si="1"/>
        <v>0</v>
      </c>
      <c r="E22" s="9"/>
      <c r="F22" s="85"/>
      <c r="G22" s="81"/>
      <c r="H22" s="249"/>
      <c r="I22" s="249"/>
      <c r="J22" s="249"/>
      <c r="L22" s="7">
        <v>1142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89"/>
      <c r="B23" s="17" t="s">
        <v>125</v>
      </c>
      <c r="C23" s="53"/>
      <c r="D23" s="52">
        <f t="shared" si="1"/>
        <v>0</v>
      </c>
      <c r="E23" s="9"/>
      <c r="F23" s="85"/>
      <c r="G23" s="87"/>
      <c r="H23" s="250"/>
      <c r="I23" s="251"/>
      <c r="J23" s="251"/>
      <c r="L23" s="51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89"/>
      <c r="B24" s="17" t="s">
        <v>126</v>
      </c>
      <c r="C24" s="53"/>
      <c r="D24" s="52">
        <f t="shared" si="1"/>
        <v>0</v>
      </c>
      <c r="E24" s="9"/>
      <c r="F24" s="85"/>
      <c r="G24" s="87"/>
      <c r="H24" s="250"/>
      <c r="I24" s="251"/>
      <c r="J24" s="251"/>
      <c r="L24" s="51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89"/>
      <c r="B25" s="17" t="s">
        <v>121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52" t="s">
        <v>13</v>
      </c>
      <c r="I25" s="253"/>
      <c r="J25" s="254"/>
      <c r="L25" s="51">
        <f>852/24+1.5</f>
        <v>37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89"/>
      <c r="B26" s="17" t="s">
        <v>112</v>
      </c>
      <c r="C26" s="53"/>
      <c r="D26" s="52">
        <f t="shared" si="1"/>
        <v>0</v>
      </c>
      <c r="E26" s="9"/>
      <c r="F26" s="83" t="s">
        <v>152</v>
      </c>
      <c r="G26" s="73">
        <v>1688</v>
      </c>
      <c r="H26" s="255">
        <v>60498</v>
      </c>
      <c r="I26" s="255"/>
      <c r="J26" s="255"/>
      <c r="L26" s="7">
        <f>500/24+1.5</f>
        <v>22.333333333333332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89"/>
      <c r="B27" s="17" t="s">
        <v>120</v>
      </c>
      <c r="C27" s="53"/>
      <c r="D27" s="48">
        <f t="shared" si="1"/>
        <v>0</v>
      </c>
      <c r="E27" s="9"/>
      <c r="F27" s="79" t="s">
        <v>142</v>
      </c>
      <c r="G27" s="118">
        <v>1672</v>
      </c>
      <c r="H27" s="256">
        <v>25762</v>
      </c>
      <c r="I27" s="257"/>
      <c r="J27" s="257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90"/>
      <c r="B28" s="50" t="s">
        <v>97</v>
      </c>
      <c r="C28" s="53">
        <v>8</v>
      </c>
      <c r="D28" s="52">
        <f t="shared" si="1"/>
        <v>6280</v>
      </c>
      <c r="E28" s="9"/>
      <c r="F28" s="60"/>
      <c r="G28" s="68"/>
      <c r="H28" s="258"/>
      <c r="I28" s="259"/>
      <c r="J28" s="260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28" t="s">
        <v>36</v>
      </c>
      <c r="B29" s="229"/>
      <c r="C29" s="230"/>
      <c r="D29" s="234">
        <f>SUM(D6:D28)</f>
        <v>396772</v>
      </c>
      <c r="E29" s="9"/>
      <c r="F29" s="236" t="s">
        <v>55</v>
      </c>
      <c r="G29" s="237"/>
      <c r="H29" s="240">
        <f>H15-H16-H17-H18-H19-H20-H22-H23-H24+H26+H27+H28</f>
        <v>420633.25</v>
      </c>
      <c r="I29" s="241"/>
      <c r="J29" s="242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231"/>
      <c r="B30" s="232"/>
      <c r="C30" s="233"/>
      <c r="D30" s="235"/>
      <c r="E30" s="9"/>
      <c r="F30" s="238"/>
      <c r="G30" s="239"/>
      <c r="H30" s="243"/>
      <c r="I30" s="244"/>
      <c r="J30" s="245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5" t="s">
        <v>58</v>
      </c>
      <c r="B32" s="176"/>
      <c r="C32" s="176"/>
      <c r="D32" s="177"/>
      <c r="E32" s="11"/>
      <c r="F32" s="261" t="s">
        <v>59</v>
      </c>
      <c r="G32" s="262"/>
      <c r="H32" s="262"/>
      <c r="I32" s="262"/>
      <c r="J32" s="263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16" t="s">
        <v>63</v>
      </c>
      <c r="H33" s="261" t="s">
        <v>13</v>
      </c>
      <c r="I33" s="262"/>
      <c r="J33" s="263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88" t="s">
        <v>65</v>
      </c>
      <c r="B34" s="29" t="s">
        <v>66</v>
      </c>
      <c r="C34" s="56">
        <v>1</v>
      </c>
      <c r="D34" s="33">
        <f>C34*120</f>
        <v>120</v>
      </c>
      <c r="E34" s="9"/>
      <c r="F34" s="15">
        <v>1000</v>
      </c>
      <c r="G34" s="44">
        <v>356</v>
      </c>
      <c r="H34" s="264">
        <f t="shared" ref="H34:H39" si="2">F34*G34</f>
        <v>356000</v>
      </c>
      <c r="I34" s="265"/>
      <c r="J34" s="266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89"/>
      <c r="B35" s="30" t="s">
        <v>68</v>
      </c>
      <c r="C35" s="57"/>
      <c r="D35" s="33">
        <f>C35*84</f>
        <v>0</v>
      </c>
      <c r="E35" s="9"/>
      <c r="F35" s="64">
        <v>500</v>
      </c>
      <c r="G35" s="45">
        <v>50</v>
      </c>
      <c r="H35" s="264">
        <f t="shared" si="2"/>
        <v>25000</v>
      </c>
      <c r="I35" s="265"/>
      <c r="J35" s="266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90"/>
      <c r="B36" s="29" t="s">
        <v>70</v>
      </c>
      <c r="C36" s="53"/>
      <c r="D36" s="15">
        <f>C36*1.5</f>
        <v>0</v>
      </c>
      <c r="E36" s="9"/>
      <c r="F36" s="15">
        <v>200</v>
      </c>
      <c r="G36" s="41">
        <v>1</v>
      </c>
      <c r="H36" s="264">
        <f t="shared" si="2"/>
        <v>200</v>
      </c>
      <c r="I36" s="265"/>
      <c r="J36" s="266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88" t="s">
        <v>72</v>
      </c>
      <c r="B37" s="31" t="s">
        <v>66</v>
      </c>
      <c r="C37" s="58">
        <v>492</v>
      </c>
      <c r="D37" s="15">
        <f>C37*111</f>
        <v>54612</v>
      </c>
      <c r="E37" s="9"/>
      <c r="F37" s="15">
        <v>100</v>
      </c>
      <c r="G37" s="43">
        <v>27</v>
      </c>
      <c r="H37" s="264">
        <f t="shared" si="2"/>
        <v>2700</v>
      </c>
      <c r="I37" s="265"/>
      <c r="J37" s="266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89"/>
      <c r="B38" s="32" t="s">
        <v>68</v>
      </c>
      <c r="C38" s="59">
        <v>13</v>
      </c>
      <c r="D38" s="15">
        <f>C38*84</f>
        <v>1092</v>
      </c>
      <c r="E38" s="9"/>
      <c r="F38" s="33">
        <v>50</v>
      </c>
      <c r="G38" s="43">
        <v>19</v>
      </c>
      <c r="H38" s="264">
        <f t="shared" si="2"/>
        <v>950</v>
      </c>
      <c r="I38" s="265"/>
      <c r="J38" s="266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90"/>
      <c r="B39" s="32" t="s">
        <v>70</v>
      </c>
      <c r="C39" s="57">
        <v>1</v>
      </c>
      <c r="D39" s="34">
        <f>C39*4.5</f>
        <v>4.5</v>
      </c>
      <c r="E39" s="9"/>
      <c r="F39" s="15">
        <v>20</v>
      </c>
      <c r="G39" s="41">
        <v>4</v>
      </c>
      <c r="H39" s="264">
        <f t="shared" si="2"/>
        <v>80</v>
      </c>
      <c r="I39" s="265"/>
      <c r="J39" s="266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88" t="s">
        <v>76</v>
      </c>
      <c r="B40" s="30" t="s">
        <v>66</v>
      </c>
      <c r="C40" s="70">
        <v>7</v>
      </c>
      <c r="D40" s="15">
        <f>C40*111</f>
        <v>777</v>
      </c>
      <c r="E40" s="9"/>
      <c r="F40" s="15">
        <v>10</v>
      </c>
      <c r="G40" s="46"/>
      <c r="H40" s="264"/>
      <c r="I40" s="265"/>
      <c r="J40" s="266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89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264"/>
      <c r="I41" s="265"/>
      <c r="J41" s="266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90"/>
      <c r="B42" s="30" t="s">
        <v>70</v>
      </c>
      <c r="C42" s="71">
        <v>3</v>
      </c>
      <c r="D42" s="15">
        <f>C42*2.25</f>
        <v>6.75</v>
      </c>
      <c r="E42" s="9"/>
      <c r="F42" s="43" t="s">
        <v>79</v>
      </c>
      <c r="G42" s="264">
        <v>5319</v>
      </c>
      <c r="H42" s="265"/>
      <c r="I42" s="265"/>
      <c r="J42" s="266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67" t="s">
        <v>81</v>
      </c>
      <c r="C43" s="71"/>
      <c r="D43" s="15"/>
      <c r="E43" s="9"/>
      <c r="F43" s="65" t="s">
        <v>82</v>
      </c>
      <c r="G43" s="118" t="s">
        <v>83</v>
      </c>
      <c r="H43" s="270" t="s">
        <v>13</v>
      </c>
      <c r="I43" s="271"/>
      <c r="J43" s="272"/>
      <c r="K43" s="24"/>
      <c r="O43" t="s">
        <v>103</v>
      </c>
      <c r="P43" s="4">
        <v>1667</v>
      </c>
      <c r="Q43" s="4"/>
      <c r="R43" s="5"/>
    </row>
    <row r="44" spans="1:18" ht="15.75" x14ac:dyDescent="0.25">
      <c r="A44" s="268"/>
      <c r="B44" s="30" t="s">
        <v>66</v>
      </c>
      <c r="C44" s="53">
        <v>4</v>
      </c>
      <c r="D44" s="15">
        <f>C44*120</f>
        <v>480</v>
      </c>
      <c r="E44" s="9"/>
      <c r="F44" s="41"/>
      <c r="G44" s="69"/>
      <c r="H44" s="255"/>
      <c r="I44" s="255"/>
      <c r="J44" s="255"/>
      <c r="K44" s="24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268"/>
      <c r="B45" s="30" t="s">
        <v>68</v>
      </c>
      <c r="C45" s="90"/>
      <c r="D45" s="15">
        <f>C45*84</f>
        <v>0</v>
      </c>
      <c r="E45" s="9"/>
      <c r="F45" s="41"/>
      <c r="G45" s="69"/>
      <c r="H45" s="255"/>
      <c r="I45" s="255"/>
      <c r="J45" s="255"/>
      <c r="K45" s="24"/>
      <c r="P45" s="4"/>
      <c r="Q45" s="4"/>
      <c r="R45" s="5"/>
    </row>
    <row r="46" spans="1:18" ht="15.75" x14ac:dyDescent="0.25">
      <c r="A46" s="268"/>
      <c r="B46" s="54" t="s">
        <v>70</v>
      </c>
      <c r="C46" s="91">
        <v>20</v>
      </c>
      <c r="D46" s="15">
        <f>C46*1.5</f>
        <v>30</v>
      </c>
      <c r="E46" s="9"/>
      <c r="F46" s="41"/>
      <c r="G46" s="69"/>
      <c r="H46" s="255"/>
      <c r="I46" s="255"/>
      <c r="J46" s="255"/>
      <c r="K46" s="24"/>
      <c r="P46" s="4"/>
      <c r="Q46" s="4"/>
      <c r="R46" s="5"/>
    </row>
    <row r="47" spans="1:18" ht="15.75" x14ac:dyDescent="0.25">
      <c r="A47" s="269"/>
      <c r="B47" s="30"/>
      <c r="C47" s="71"/>
      <c r="D47" s="15"/>
      <c r="E47" s="9"/>
      <c r="F47" s="65"/>
      <c r="G47" s="65"/>
      <c r="H47" s="273"/>
      <c r="I47" s="274"/>
      <c r="J47" s="275"/>
      <c r="K47" s="24"/>
      <c r="P47" s="4"/>
      <c r="Q47" s="4"/>
      <c r="R47" s="5"/>
    </row>
    <row r="48" spans="1:18" ht="15" customHeight="1" x14ac:dyDescent="0.25">
      <c r="A48" s="267" t="s">
        <v>32</v>
      </c>
      <c r="B48" s="30" t="s">
        <v>66</v>
      </c>
      <c r="C48" s="53">
        <v>7</v>
      </c>
      <c r="D48" s="15">
        <f>C48*78</f>
        <v>546</v>
      </c>
      <c r="E48" s="9"/>
      <c r="F48" s="65"/>
      <c r="G48" s="65"/>
      <c r="H48" s="273"/>
      <c r="I48" s="274"/>
      <c r="J48" s="275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68"/>
      <c r="B49" s="32" t="s">
        <v>68</v>
      </c>
      <c r="C49" s="90">
        <v>6</v>
      </c>
      <c r="D49" s="15">
        <f>C49*42</f>
        <v>252</v>
      </c>
      <c r="E49" s="9"/>
      <c r="F49" s="288" t="s">
        <v>86</v>
      </c>
      <c r="G49" s="240">
        <f>H34+H35+H36+H37+H38+H39+H40+H41+G42+H44+H45+H46</f>
        <v>390249</v>
      </c>
      <c r="H49" s="241"/>
      <c r="I49" s="241"/>
      <c r="J49" s="242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68"/>
      <c r="B50" s="35" t="s">
        <v>70</v>
      </c>
      <c r="C50" s="71">
        <v>23</v>
      </c>
      <c r="D50" s="15">
        <f>C50*1.5</f>
        <v>34.5</v>
      </c>
      <c r="E50" s="9"/>
      <c r="F50" s="289"/>
      <c r="G50" s="243"/>
      <c r="H50" s="244"/>
      <c r="I50" s="244"/>
      <c r="J50" s="245"/>
      <c r="K50" s="9"/>
      <c r="P50" s="4"/>
      <c r="Q50" s="4"/>
      <c r="R50" s="5"/>
    </row>
    <row r="51" spans="1:18" ht="15" customHeight="1" x14ac:dyDescent="0.25">
      <c r="A51" s="268"/>
      <c r="B51" s="30"/>
      <c r="C51" s="13"/>
      <c r="D51" s="34"/>
      <c r="E51" s="9"/>
      <c r="F51" s="290" t="s">
        <v>135</v>
      </c>
      <c r="G51" s="292">
        <f>G49-H29</f>
        <v>-30384.25</v>
      </c>
      <c r="H51" s="293"/>
      <c r="I51" s="293"/>
      <c r="J51" s="294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68"/>
      <c r="B52" s="32"/>
      <c r="C52" s="36"/>
      <c r="D52" s="49"/>
      <c r="E52" s="9"/>
      <c r="F52" s="291"/>
      <c r="G52" s="295"/>
      <c r="H52" s="296"/>
      <c r="I52" s="296"/>
      <c r="J52" s="297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69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236" t="s">
        <v>90</v>
      </c>
      <c r="B54" s="276"/>
      <c r="C54" s="277"/>
      <c r="D54" s="280">
        <f>SUM(D34:D53)</f>
        <v>57954.75</v>
      </c>
      <c r="E54" s="9"/>
      <c r="F54" s="24"/>
      <c r="G54" s="9"/>
      <c r="H54" s="9"/>
      <c r="I54" s="9"/>
      <c r="J54" s="37"/>
      <c r="O54" t="s">
        <v>102</v>
      </c>
      <c r="P54" s="4">
        <v>1582</v>
      </c>
      <c r="R54" s="3">
        <v>1582</v>
      </c>
    </row>
    <row r="55" spans="1:18" x14ac:dyDescent="0.25">
      <c r="A55" s="238"/>
      <c r="B55" s="278"/>
      <c r="C55" s="279"/>
      <c r="D55" s="281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129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282" t="s">
        <v>91</v>
      </c>
      <c r="B58" s="283"/>
      <c r="C58" s="283"/>
      <c r="D58" s="284"/>
      <c r="E58" s="9"/>
      <c r="F58" s="282" t="s">
        <v>92</v>
      </c>
      <c r="G58" s="283"/>
      <c r="H58" s="283"/>
      <c r="I58" s="283"/>
      <c r="J58" s="284"/>
    </row>
    <row r="59" spans="1:18" x14ac:dyDescent="0.25">
      <c r="A59" s="285"/>
      <c r="B59" s="286"/>
      <c r="C59" s="286"/>
      <c r="D59" s="287"/>
      <c r="E59" s="9"/>
      <c r="F59" s="285"/>
      <c r="G59" s="286"/>
      <c r="H59" s="286"/>
      <c r="I59" s="286"/>
      <c r="J59" s="287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F1FD66-1495-4767-B1BC-B6ADE3FA9181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174" t="s">
        <v>1</v>
      </c>
      <c r="O1" s="174"/>
      <c r="P1" s="115" t="s">
        <v>2</v>
      </c>
      <c r="Q1" s="115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75" t="s">
        <v>7</v>
      </c>
      <c r="B4" s="176"/>
      <c r="C4" s="176"/>
      <c r="D4" s="177"/>
      <c r="E4" s="9"/>
      <c r="F4" s="178" t="s">
        <v>8</v>
      </c>
      <c r="G4" s="180">
        <v>2</v>
      </c>
      <c r="H4" s="182" t="s">
        <v>9</v>
      </c>
      <c r="I4" s="184">
        <v>45785</v>
      </c>
      <c r="J4" s="185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88" t="s">
        <v>7</v>
      </c>
      <c r="B5" s="18" t="s">
        <v>11</v>
      </c>
      <c r="C5" s="12" t="s">
        <v>12</v>
      </c>
      <c r="D5" s="28" t="s">
        <v>13</v>
      </c>
      <c r="E5" s="9"/>
      <c r="F5" s="179"/>
      <c r="G5" s="181"/>
      <c r="H5" s="183"/>
      <c r="I5" s="186"/>
      <c r="J5" s="187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89"/>
      <c r="B6" s="19" t="s">
        <v>15</v>
      </c>
      <c r="C6" s="53">
        <v>233</v>
      </c>
      <c r="D6" s="16">
        <f t="shared" ref="D6:D28" si="1">C6*L6</f>
        <v>171721</v>
      </c>
      <c r="E6" s="9"/>
      <c r="F6" s="191" t="s">
        <v>16</v>
      </c>
      <c r="G6" s="193" t="s">
        <v>127</v>
      </c>
      <c r="H6" s="194"/>
      <c r="I6" s="194"/>
      <c r="J6" s="195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89"/>
      <c r="B7" s="19" t="s">
        <v>18</v>
      </c>
      <c r="C7" s="53"/>
      <c r="D7" s="16">
        <f t="shared" si="1"/>
        <v>0</v>
      </c>
      <c r="E7" s="9"/>
      <c r="F7" s="192"/>
      <c r="G7" s="196"/>
      <c r="H7" s="197"/>
      <c r="I7" s="197"/>
      <c r="J7" s="198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189"/>
      <c r="B8" s="19" t="s">
        <v>20</v>
      </c>
      <c r="C8" s="53"/>
      <c r="D8" s="16">
        <f t="shared" si="1"/>
        <v>0</v>
      </c>
      <c r="E8" s="9"/>
      <c r="F8" s="199" t="s">
        <v>21</v>
      </c>
      <c r="G8" s="201" t="s">
        <v>115</v>
      </c>
      <c r="H8" s="202"/>
      <c r="I8" s="202"/>
      <c r="J8" s="203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189"/>
      <c r="B9" s="19" t="s">
        <v>23</v>
      </c>
      <c r="C9" s="53">
        <v>63</v>
      </c>
      <c r="D9" s="16">
        <f t="shared" si="1"/>
        <v>44541</v>
      </c>
      <c r="E9" s="9"/>
      <c r="F9" s="192"/>
      <c r="G9" s="204"/>
      <c r="H9" s="205"/>
      <c r="I9" s="205"/>
      <c r="J9" s="206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189"/>
      <c r="B10" s="11" t="s">
        <v>25</v>
      </c>
      <c r="C10" s="53"/>
      <c r="D10" s="16">
        <f t="shared" si="1"/>
        <v>0</v>
      </c>
      <c r="E10" s="9"/>
      <c r="F10" s="191" t="s">
        <v>26</v>
      </c>
      <c r="G10" s="207" t="s">
        <v>116</v>
      </c>
      <c r="H10" s="208"/>
      <c r="I10" s="208"/>
      <c r="J10" s="209"/>
      <c r="K10" s="10"/>
      <c r="L10" s="6">
        <f>R36</f>
        <v>972</v>
      </c>
      <c r="P10" s="4"/>
      <c r="Q10" s="4"/>
      <c r="R10" s="5"/>
    </row>
    <row r="11" spans="1:18" ht="15.75" x14ac:dyDescent="0.25">
      <c r="A11" s="189"/>
      <c r="B11" s="20" t="s">
        <v>28</v>
      </c>
      <c r="C11" s="53"/>
      <c r="D11" s="16">
        <f t="shared" si="1"/>
        <v>0</v>
      </c>
      <c r="E11" s="9"/>
      <c r="F11" s="192"/>
      <c r="G11" s="204"/>
      <c r="H11" s="205"/>
      <c r="I11" s="205"/>
      <c r="J11" s="206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89"/>
      <c r="B12" s="20" t="s">
        <v>30</v>
      </c>
      <c r="C12" s="53"/>
      <c r="D12" s="52">
        <f t="shared" si="1"/>
        <v>0</v>
      </c>
      <c r="E12" s="9"/>
      <c r="F12" s="210" t="s">
        <v>33</v>
      </c>
      <c r="G12" s="211"/>
      <c r="H12" s="211"/>
      <c r="I12" s="211"/>
      <c r="J12" s="212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89"/>
      <c r="B13" s="20" t="s">
        <v>32</v>
      </c>
      <c r="C13" s="53">
        <v>14</v>
      </c>
      <c r="D13" s="52">
        <f t="shared" si="1"/>
        <v>4298</v>
      </c>
      <c r="E13" s="9"/>
      <c r="F13" s="213" t="s">
        <v>36</v>
      </c>
      <c r="G13" s="214"/>
      <c r="H13" s="215">
        <f>D29</f>
        <v>222262</v>
      </c>
      <c r="I13" s="216"/>
      <c r="J13" s="217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89"/>
      <c r="B14" s="17" t="s">
        <v>35</v>
      </c>
      <c r="C14" s="53">
        <v>12</v>
      </c>
      <c r="D14" s="34">
        <f t="shared" si="1"/>
        <v>132</v>
      </c>
      <c r="E14" s="9"/>
      <c r="F14" s="218" t="s">
        <v>39</v>
      </c>
      <c r="G14" s="219"/>
      <c r="H14" s="220">
        <f>D54</f>
        <v>37992.75</v>
      </c>
      <c r="I14" s="221"/>
      <c r="J14" s="222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89"/>
      <c r="B15" s="17" t="s">
        <v>38</v>
      </c>
      <c r="C15" s="53"/>
      <c r="D15" s="34">
        <f t="shared" si="1"/>
        <v>0</v>
      </c>
      <c r="E15" s="9"/>
      <c r="F15" s="223" t="s">
        <v>40</v>
      </c>
      <c r="G15" s="214"/>
      <c r="H15" s="224">
        <f>H13-H14</f>
        <v>184269.25</v>
      </c>
      <c r="I15" s="225"/>
      <c r="J15" s="226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89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227">
        <f>2349</f>
        <v>2349</v>
      </c>
      <c r="I16" s="227"/>
      <c r="J16" s="22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89"/>
      <c r="B17" s="11" t="s">
        <v>93</v>
      </c>
      <c r="C17" s="53"/>
      <c r="D17" s="52">
        <f t="shared" si="1"/>
        <v>0</v>
      </c>
      <c r="E17" s="9"/>
      <c r="F17" s="62"/>
      <c r="G17" s="74" t="s">
        <v>45</v>
      </c>
      <c r="H17" s="200"/>
      <c r="I17" s="200"/>
      <c r="J17" s="200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89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200"/>
      <c r="I18" s="200"/>
      <c r="J18" s="200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89"/>
      <c r="B19" s="17" t="s">
        <v>96</v>
      </c>
      <c r="C19" s="53"/>
      <c r="D19" s="52">
        <f t="shared" si="1"/>
        <v>0</v>
      </c>
      <c r="E19" s="9"/>
      <c r="F19" s="62"/>
      <c r="G19" s="76" t="s">
        <v>50</v>
      </c>
      <c r="H19" s="298"/>
      <c r="I19" s="298"/>
      <c r="J19" s="298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89"/>
      <c r="B20" s="50" t="s">
        <v>131</v>
      </c>
      <c r="C20" s="53"/>
      <c r="D20" s="16">
        <f t="shared" si="1"/>
        <v>0</v>
      </c>
      <c r="E20" s="9"/>
      <c r="F20" s="63"/>
      <c r="G20" s="78" t="s">
        <v>124</v>
      </c>
      <c r="H20" s="227">
        <v>626</v>
      </c>
      <c r="I20" s="227"/>
      <c r="J20" s="227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89"/>
      <c r="B21" s="17" t="s">
        <v>130</v>
      </c>
      <c r="C21" s="53"/>
      <c r="D21" s="52">
        <f t="shared" si="1"/>
        <v>0</v>
      </c>
      <c r="E21" s="9"/>
      <c r="F21" s="77" t="s">
        <v>99</v>
      </c>
      <c r="G21" s="92" t="s">
        <v>98</v>
      </c>
      <c r="H21" s="246" t="s">
        <v>13</v>
      </c>
      <c r="I21" s="247"/>
      <c r="J21" s="248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89"/>
      <c r="B22" s="50" t="s">
        <v>104</v>
      </c>
      <c r="C22" s="53"/>
      <c r="D22" s="52">
        <f t="shared" si="1"/>
        <v>0</v>
      </c>
      <c r="E22" s="9"/>
      <c r="F22" s="80"/>
      <c r="G22" s="81"/>
      <c r="H22" s="249"/>
      <c r="I22" s="249"/>
      <c r="J22" s="249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89"/>
      <c r="B23" s="17" t="s">
        <v>107</v>
      </c>
      <c r="C23" s="53"/>
      <c r="D23" s="52">
        <f t="shared" si="1"/>
        <v>0</v>
      </c>
      <c r="E23" s="9"/>
      <c r="F23" s="28"/>
      <c r="G23" s="41"/>
      <c r="H23" s="299"/>
      <c r="I23" s="255"/>
      <c r="J23" s="255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89"/>
      <c r="B24" s="17" t="s">
        <v>133</v>
      </c>
      <c r="C24" s="53"/>
      <c r="D24" s="52">
        <f t="shared" si="1"/>
        <v>0</v>
      </c>
      <c r="E24" s="9"/>
      <c r="F24" s="42"/>
      <c r="G24" s="41"/>
      <c r="H24" s="299"/>
      <c r="I24" s="255"/>
      <c r="J24" s="255"/>
      <c r="L24" s="51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89"/>
      <c r="B25" s="17" t="s">
        <v>134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52" t="s">
        <v>13</v>
      </c>
      <c r="I25" s="253"/>
      <c r="J25" s="254"/>
      <c r="L25" s="51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89"/>
      <c r="B26" s="17" t="s">
        <v>105</v>
      </c>
      <c r="C26" s="53"/>
      <c r="D26" s="52">
        <f t="shared" si="1"/>
        <v>0</v>
      </c>
      <c r="E26" s="9"/>
      <c r="F26" s="72"/>
      <c r="G26" s="13"/>
      <c r="H26" s="300"/>
      <c r="I26" s="301"/>
      <c r="J26" s="302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89"/>
      <c r="B27" s="17" t="s">
        <v>109</v>
      </c>
      <c r="C27" s="53"/>
      <c r="D27" s="48">
        <f t="shared" si="1"/>
        <v>0</v>
      </c>
      <c r="E27" s="9"/>
      <c r="F27" s="67"/>
      <c r="G27" s="67"/>
      <c r="H27" s="303"/>
      <c r="I27" s="304"/>
      <c r="J27" s="305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90"/>
      <c r="B28" s="50" t="s">
        <v>97</v>
      </c>
      <c r="C28" s="53">
        <v>2</v>
      </c>
      <c r="D28" s="52">
        <f t="shared" si="1"/>
        <v>1570</v>
      </c>
      <c r="E28" s="9"/>
      <c r="F28" s="60"/>
      <c r="G28" s="68"/>
      <c r="H28" s="258"/>
      <c r="I28" s="259"/>
      <c r="J28" s="260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28" t="s">
        <v>36</v>
      </c>
      <c r="B29" s="229"/>
      <c r="C29" s="230"/>
      <c r="D29" s="234">
        <f>SUM(D6:D28)</f>
        <v>222262</v>
      </c>
      <c r="E29" s="9"/>
      <c r="F29" s="236" t="s">
        <v>55</v>
      </c>
      <c r="G29" s="237"/>
      <c r="H29" s="240">
        <f>H15-H16-H17-H18-H19-H20-H22-H23-H24+H26+H27</f>
        <v>181294.25</v>
      </c>
      <c r="I29" s="241"/>
      <c r="J29" s="242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231"/>
      <c r="B30" s="232"/>
      <c r="C30" s="233"/>
      <c r="D30" s="235"/>
      <c r="E30" s="9"/>
      <c r="F30" s="238"/>
      <c r="G30" s="239"/>
      <c r="H30" s="243"/>
      <c r="I30" s="244"/>
      <c r="J30" s="245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5" t="s">
        <v>58</v>
      </c>
      <c r="B32" s="176"/>
      <c r="C32" s="176"/>
      <c r="D32" s="177"/>
      <c r="E32" s="11"/>
      <c r="F32" s="261" t="s">
        <v>59</v>
      </c>
      <c r="G32" s="262"/>
      <c r="H32" s="262"/>
      <c r="I32" s="262"/>
      <c r="J32" s="263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16" t="s">
        <v>63</v>
      </c>
      <c r="H33" s="261" t="s">
        <v>13</v>
      </c>
      <c r="I33" s="262"/>
      <c r="J33" s="263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88" t="s">
        <v>65</v>
      </c>
      <c r="B34" s="29" t="s">
        <v>66</v>
      </c>
      <c r="C34" s="56">
        <v>1</v>
      </c>
      <c r="D34" s="33">
        <f>C34*120</f>
        <v>120</v>
      </c>
      <c r="E34" s="9"/>
      <c r="F34" s="15">
        <v>1000</v>
      </c>
      <c r="G34" s="82">
        <v>22</v>
      </c>
      <c r="H34" s="264">
        <f>F34*G34</f>
        <v>22000</v>
      </c>
      <c r="I34" s="265"/>
      <c r="J34" s="266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89"/>
      <c r="B35" s="30" t="s">
        <v>68</v>
      </c>
      <c r="C35" s="57">
        <v>1</v>
      </c>
      <c r="D35" s="33">
        <f>C35*84</f>
        <v>84</v>
      </c>
      <c r="E35" s="9"/>
      <c r="F35" s="64">
        <v>500</v>
      </c>
      <c r="G35" s="45">
        <v>9</v>
      </c>
      <c r="H35" s="264">
        <f t="shared" ref="H35:H39" si="2">F35*G35</f>
        <v>4500</v>
      </c>
      <c r="I35" s="265"/>
      <c r="J35" s="266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90"/>
      <c r="B36" s="29" t="s">
        <v>70</v>
      </c>
      <c r="C36" s="53">
        <v>15</v>
      </c>
      <c r="D36" s="15">
        <f>C36*1.5</f>
        <v>22.5</v>
      </c>
      <c r="E36" s="9"/>
      <c r="F36" s="15">
        <v>200</v>
      </c>
      <c r="G36" s="41"/>
      <c r="H36" s="264">
        <f t="shared" si="2"/>
        <v>0</v>
      </c>
      <c r="I36" s="265"/>
      <c r="J36" s="266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88" t="s">
        <v>72</v>
      </c>
      <c r="B37" s="31" t="s">
        <v>66</v>
      </c>
      <c r="C37" s="58">
        <v>329</v>
      </c>
      <c r="D37" s="15">
        <f>C37*111</f>
        <v>36519</v>
      </c>
      <c r="E37" s="9"/>
      <c r="F37" s="15">
        <v>100</v>
      </c>
      <c r="G37" s="43"/>
      <c r="H37" s="264">
        <f t="shared" si="2"/>
        <v>0</v>
      </c>
      <c r="I37" s="265"/>
      <c r="J37" s="266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89"/>
      <c r="B38" s="32" t="s">
        <v>68</v>
      </c>
      <c r="C38" s="59">
        <v>7</v>
      </c>
      <c r="D38" s="15">
        <f>C38*84</f>
        <v>588</v>
      </c>
      <c r="E38" s="9"/>
      <c r="F38" s="33">
        <v>50</v>
      </c>
      <c r="G38" s="43"/>
      <c r="H38" s="264">
        <f t="shared" si="2"/>
        <v>0</v>
      </c>
      <c r="I38" s="265"/>
      <c r="J38" s="266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90"/>
      <c r="B39" s="32" t="s">
        <v>70</v>
      </c>
      <c r="C39" s="57">
        <v>1</v>
      </c>
      <c r="D39" s="34">
        <f>C39*4.5</f>
        <v>4.5</v>
      </c>
      <c r="E39" s="9"/>
      <c r="F39" s="15">
        <v>20</v>
      </c>
      <c r="G39" s="41"/>
      <c r="H39" s="264">
        <f t="shared" si="2"/>
        <v>0</v>
      </c>
      <c r="I39" s="265"/>
      <c r="J39" s="266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88" t="s">
        <v>76</v>
      </c>
      <c r="B40" s="30" t="s">
        <v>66</v>
      </c>
      <c r="C40" s="70"/>
      <c r="D40" s="15">
        <f>C40*111</f>
        <v>0</v>
      </c>
      <c r="E40" s="9"/>
      <c r="F40" s="15">
        <v>10</v>
      </c>
      <c r="G40" s="46"/>
      <c r="H40" s="264"/>
      <c r="I40" s="265"/>
      <c r="J40" s="266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89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264"/>
      <c r="I41" s="265"/>
      <c r="J41" s="266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90"/>
      <c r="B42" s="30" t="s">
        <v>70</v>
      </c>
      <c r="C42" s="71">
        <v>5</v>
      </c>
      <c r="D42" s="15">
        <f>C42*2.25</f>
        <v>11.25</v>
      </c>
      <c r="E42" s="9"/>
      <c r="F42" s="43" t="s">
        <v>79</v>
      </c>
      <c r="G42" s="264">
        <v>153</v>
      </c>
      <c r="H42" s="265"/>
      <c r="I42" s="265"/>
      <c r="J42" s="266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67" t="s">
        <v>81</v>
      </c>
      <c r="C43" s="71"/>
      <c r="D43" s="15"/>
      <c r="E43" s="9"/>
      <c r="F43" s="65" t="s">
        <v>82</v>
      </c>
      <c r="G43" s="118" t="s">
        <v>83</v>
      </c>
      <c r="H43" s="270" t="s">
        <v>13</v>
      </c>
      <c r="I43" s="271"/>
      <c r="J43" s="272"/>
      <c r="K43" s="24"/>
      <c r="P43" s="4"/>
      <c r="Q43" s="4"/>
      <c r="R43" s="5"/>
    </row>
    <row r="44" spans="1:18" ht="15.75" x14ac:dyDescent="0.25">
      <c r="A44" s="268"/>
      <c r="B44" s="30" t="s">
        <v>66</v>
      </c>
      <c r="C44" s="53"/>
      <c r="D44" s="15">
        <f>C44*120</f>
        <v>0</v>
      </c>
      <c r="E44" s="9"/>
      <c r="F44" s="41" t="s">
        <v>148</v>
      </c>
      <c r="G44" s="69" t="s">
        <v>170</v>
      </c>
      <c r="H44" s="255">
        <v>155985</v>
      </c>
      <c r="I44" s="255"/>
      <c r="J44" s="255"/>
      <c r="K44" s="24"/>
      <c r="P44" s="4"/>
      <c r="Q44" s="4"/>
      <c r="R44" s="5"/>
    </row>
    <row r="45" spans="1:18" ht="15.75" x14ac:dyDescent="0.25">
      <c r="A45" s="268"/>
      <c r="B45" s="30" t="s">
        <v>68</v>
      </c>
      <c r="C45" s="90"/>
      <c r="D45" s="15">
        <f>C45*84</f>
        <v>0</v>
      </c>
      <c r="E45" s="9"/>
      <c r="F45" s="41"/>
      <c r="G45" s="69"/>
      <c r="H45" s="255"/>
      <c r="I45" s="255"/>
      <c r="J45" s="255"/>
      <c r="K45" s="24"/>
      <c r="P45" s="4"/>
      <c r="Q45" s="4"/>
      <c r="R45" s="5"/>
    </row>
    <row r="46" spans="1:18" ht="15.75" x14ac:dyDescent="0.25">
      <c r="A46" s="268"/>
      <c r="B46" s="54" t="s">
        <v>70</v>
      </c>
      <c r="C46" s="91">
        <v>8</v>
      </c>
      <c r="D46" s="15">
        <f>C46*1.5</f>
        <v>12</v>
      </c>
      <c r="E46" s="9"/>
      <c r="F46" s="41"/>
      <c r="G46" s="117"/>
      <c r="H46" s="306"/>
      <c r="I46" s="306"/>
      <c r="J46" s="306"/>
      <c r="K46" s="24"/>
      <c r="P46" s="4"/>
      <c r="Q46" s="4"/>
      <c r="R46" s="5"/>
    </row>
    <row r="47" spans="1:18" ht="15.75" x14ac:dyDescent="0.25">
      <c r="A47" s="269"/>
      <c r="B47" s="30"/>
      <c r="C47" s="71"/>
      <c r="D47" s="15"/>
      <c r="E47" s="9"/>
      <c r="F47" s="65"/>
      <c r="G47" s="65"/>
      <c r="H47" s="273"/>
      <c r="I47" s="274"/>
      <c r="J47" s="275"/>
      <c r="K47" s="24"/>
      <c r="P47" s="4"/>
      <c r="Q47" s="4"/>
      <c r="R47" s="5"/>
    </row>
    <row r="48" spans="1:18" ht="15" customHeight="1" x14ac:dyDescent="0.25">
      <c r="A48" s="267" t="s">
        <v>32</v>
      </c>
      <c r="B48" s="30" t="s">
        <v>66</v>
      </c>
      <c r="C48" s="53">
        <v>1</v>
      </c>
      <c r="D48" s="15">
        <f>C48*78</f>
        <v>78</v>
      </c>
      <c r="E48" s="9"/>
      <c r="F48" s="65"/>
      <c r="G48" s="65"/>
      <c r="H48" s="273"/>
      <c r="I48" s="274"/>
      <c r="J48" s="275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68"/>
      <c r="B49" s="32" t="s">
        <v>68</v>
      </c>
      <c r="C49" s="90">
        <v>13</v>
      </c>
      <c r="D49" s="15">
        <f>C49*42</f>
        <v>546</v>
      </c>
      <c r="E49" s="9"/>
      <c r="F49" s="288" t="s">
        <v>86</v>
      </c>
      <c r="G49" s="240">
        <f>H34+H35+H36+H37+H38+H39+H40+H41+G42+H44+H45+H46</f>
        <v>182638</v>
      </c>
      <c r="H49" s="241"/>
      <c r="I49" s="241"/>
      <c r="J49" s="242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68"/>
      <c r="B50" s="35" t="s">
        <v>70</v>
      </c>
      <c r="C50" s="71">
        <v>5</v>
      </c>
      <c r="D50" s="15">
        <f>C50*1.5</f>
        <v>7.5</v>
      </c>
      <c r="E50" s="9"/>
      <c r="F50" s="289"/>
      <c r="G50" s="243"/>
      <c r="H50" s="244"/>
      <c r="I50" s="244"/>
      <c r="J50" s="245"/>
      <c r="K50" s="9"/>
      <c r="P50" s="4"/>
      <c r="Q50" s="4"/>
      <c r="R50" s="5"/>
    </row>
    <row r="51" spans="1:18" ht="15" customHeight="1" x14ac:dyDescent="0.25">
      <c r="A51" s="268"/>
      <c r="B51" s="30"/>
      <c r="C51" s="13"/>
      <c r="D51" s="34"/>
      <c r="E51" s="9"/>
      <c r="F51" s="290" t="s">
        <v>144</v>
      </c>
      <c r="G51" s="307">
        <f>G49-H29</f>
        <v>1343.75</v>
      </c>
      <c r="H51" s="308"/>
      <c r="I51" s="308"/>
      <c r="J51" s="309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68"/>
      <c r="B52" s="32"/>
      <c r="C52" s="36"/>
      <c r="D52" s="49"/>
      <c r="E52" s="9"/>
      <c r="F52" s="291"/>
      <c r="G52" s="310"/>
      <c r="H52" s="311"/>
      <c r="I52" s="311"/>
      <c r="J52" s="312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69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236" t="s">
        <v>90</v>
      </c>
      <c r="B54" s="276"/>
      <c r="C54" s="277"/>
      <c r="D54" s="280">
        <f>SUM(D34:D53)</f>
        <v>37992.75</v>
      </c>
      <c r="E54" s="9"/>
      <c r="F54" s="24"/>
      <c r="G54" s="9"/>
      <c r="H54" s="9"/>
      <c r="I54" s="9"/>
      <c r="J54" s="37"/>
    </row>
    <row r="55" spans="1:18" x14ac:dyDescent="0.25">
      <c r="A55" s="238"/>
      <c r="B55" s="278"/>
      <c r="C55" s="279"/>
      <c r="D55" s="281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136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282" t="s">
        <v>91</v>
      </c>
      <c r="B58" s="283"/>
      <c r="C58" s="283"/>
      <c r="D58" s="284"/>
      <c r="E58" s="9"/>
      <c r="F58" s="282" t="s">
        <v>92</v>
      </c>
      <c r="G58" s="283"/>
      <c r="H58" s="283"/>
      <c r="I58" s="283"/>
      <c r="J58" s="284"/>
    </row>
    <row r="59" spans="1:18" x14ac:dyDescent="0.25">
      <c r="A59" s="285"/>
      <c r="B59" s="286"/>
      <c r="C59" s="286"/>
      <c r="D59" s="287"/>
      <c r="E59" s="9"/>
      <c r="F59" s="285"/>
      <c r="G59" s="286"/>
      <c r="H59" s="286"/>
      <c r="I59" s="286"/>
      <c r="J59" s="287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756A0-126A-4B36-B903-1F762DF8908F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s="8" t="s">
        <v>0</v>
      </c>
      <c r="B1" s="8"/>
      <c r="C1" s="8"/>
      <c r="D1" s="8"/>
      <c r="N1" s="174" t="s">
        <v>1</v>
      </c>
      <c r="O1" s="174"/>
      <c r="P1" s="115" t="s">
        <v>2</v>
      </c>
      <c r="Q1" s="115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75" t="s">
        <v>7</v>
      </c>
      <c r="B4" s="176"/>
      <c r="C4" s="176"/>
      <c r="D4" s="177"/>
      <c r="E4" s="9"/>
      <c r="F4" s="178" t="s">
        <v>8</v>
      </c>
      <c r="G4" s="180">
        <v>3</v>
      </c>
      <c r="H4" s="182" t="s">
        <v>9</v>
      </c>
      <c r="I4" s="184">
        <v>45785</v>
      </c>
      <c r="J4" s="185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88" t="s">
        <v>7</v>
      </c>
      <c r="B5" s="18" t="s">
        <v>11</v>
      </c>
      <c r="C5" s="12" t="s">
        <v>12</v>
      </c>
      <c r="D5" s="28" t="s">
        <v>13</v>
      </c>
      <c r="E5" s="9"/>
      <c r="F5" s="179"/>
      <c r="G5" s="181"/>
      <c r="H5" s="183"/>
      <c r="I5" s="186"/>
      <c r="J5" s="187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89"/>
      <c r="B6" s="19" t="s">
        <v>15</v>
      </c>
      <c r="C6" s="53">
        <v>350</v>
      </c>
      <c r="D6" s="16">
        <f t="shared" ref="D6:D28" si="1">C6*L6</f>
        <v>257950</v>
      </c>
      <c r="E6" s="9"/>
      <c r="F6" s="191" t="s">
        <v>16</v>
      </c>
      <c r="G6" s="193" t="s">
        <v>111</v>
      </c>
      <c r="H6" s="194"/>
      <c r="I6" s="194"/>
      <c r="J6" s="195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89"/>
      <c r="B7" s="19" t="s">
        <v>18</v>
      </c>
      <c r="C7" s="53">
        <v>10</v>
      </c>
      <c r="D7" s="16">
        <f t="shared" si="1"/>
        <v>7250</v>
      </c>
      <c r="E7" s="9"/>
      <c r="F7" s="192"/>
      <c r="G7" s="196"/>
      <c r="H7" s="197"/>
      <c r="I7" s="197"/>
      <c r="J7" s="198"/>
      <c r="K7" s="10"/>
      <c r="L7" s="6">
        <f>R41</f>
        <v>725</v>
      </c>
      <c r="P7" s="4"/>
      <c r="Q7" s="4"/>
      <c r="R7" s="5"/>
    </row>
    <row r="8" spans="1:19" ht="14.45" customHeight="1" x14ac:dyDescent="0.25">
      <c r="A8" s="189"/>
      <c r="B8" s="19" t="s">
        <v>20</v>
      </c>
      <c r="C8" s="53"/>
      <c r="D8" s="16">
        <f t="shared" si="1"/>
        <v>0</v>
      </c>
      <c r="E8" s="9"/>
      <c r="F8" s="199" t="s">
        <v>21</v>
      </c>
      <c r="G8" s="201" t="s">
        <v>122</v>
      </c>
      <c r="H8" s="202"/>
      <c r="I8" s="202"/>
      <c r="J8" s="203"/>
      <c r="K8" s="10"/>
      <c r="L8" s="6">
        <f>R40</f>
        <v>1033</v>
      </c>
      <c r="P8" s="4"/>
      <c r="Q8" s="4"/>
      <c r="R8" s="5"/>
    </row>
    <row r="9" spans="1:19" ht="14.45" customHeight="1" x14ac:dyDescent="0.25">
      <c r="A9" s="189"/>
      <c r="B9" s="19" t="s">
        <v>23</v>
      </c>
      <c r="C9" s="53">
        <v>28</v>
      </c>
      <c r="D9" s="16">
        <f t="shared" si="1"/>
        <v>19796</v>
      </c>
      <c r="E9" s="9"/>
      <c r="F9" s="192"/>
      <c r="G9" s="204"/>
      <c r="H9" s="205"/>
      <c r="I9" s="205"/>
      <c r="J9" s="206"/>
      <c r="K9" s="10"/>
      <c r="L9" s="6">
        <f>R38</f>
        <v>707</v>
      </c>
      <c r="P9" s="4"/>
      <c r="Q9" s="4"/>
      <c r="R9" s="5"/>
    </row>
    <row r="10" spans="1:19" ht="14.45" customHeight="1" x14ac:dyDescent="0.25">
      <c r="A10" s="189"/>
      <c r="B10" s="11" t="s">
        <v>25</v>
      </c>
      <c r="C10" s="53">
        <v>1</v>
      </c>
      <c r="D10" s="16">
        <f t="shared" si="1"/>
        <v>972</v>
      </c>
      <c r="E10" s="9"/>
      <c r="F10" s="191" t="s">
        <v>26</v>
      </c>
      <c r="G10" s="207" t="s">
        <v>123</v>
      </c>
      <c r="H10" s="208"/>
      <c r="I10" s="208"/>
      <c r="J10" s="209"/>
      <c r="K10" s="10"/>
      <c r="L10" s="6">
        <f>R36</f>
        <v>972</v>
      </c>
      <c r="P10" s="4"/>
      <c r="Q10" s="4"/>
      <c r="R10" s="5"/>
    </row>
    <row r="11" spans="1:19" ht="15.75" x14ac:dyDescent="0.25">
      <c r="A11" s="189"/>
      <c r="B11" s="20" t="s">
        <v>28</v>
      </c>
      <c r="C11" s="53"/>
      <c r="D11" s="16">
        <f t="shared" si="1"/>
        <v>0</v>
      </c>
      <c r="E11" s="9"/>
      <c r="F11" s="192"/>
      <c r="G11" s="204"/>
      <c r="H11" s="205"/>
      <c r="I11" s="205"/>
      <c r="J11" s="206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89"/>
      <c r="B12" s="20" t="s">
        <v>30</v>
      </c>
      <c r="C12" s="53">
        <v>4</v>
      </c>
      <c r="D12" s="52">
        <f t="shared" si="1"/>
        <v>3808</v>
      </c>
      <c r="E12" s="9"/>
      <c r="F12" s="210" t="s">
        <v>33</v>
      </c>
      <c r="G12" s="211"/>
      <c r="H12" s="211"/>
      <c r="I12" s="211"/>
      <c r="J12" s="212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89"/>
      <c r="B13" s="20" t="s">
        <v>32</v>
      </c>
      <c r="C13" s="53">
        <v>17</v>
      </c>
      <c r="D13" s="52">
        <f t="shared" si="1"/>
        <v>5219</v>
      </c>
      <c r="E13" s="9"/>
      <c r="F13" s="213" t="s">
        <v>36</v>
      </c>
      <c r="G13" s="214"/>
      <c r="H13" s="215">
        <f>D29</f>
        <v>305701</v>
      </c>
      <c r="I13" s="216"/>
      <c r="J13" s="217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89"/>
      <c r="B14" s="17" t="s">
        <v>35</v>
      </c>
      <c r="C14" s="53">
        <v>11</v>
      </c>
      <c r="D14" s="34">
        <f t="shared" si="1"/>
        <v>121</v>
      </c>
      <c r="E14" s="9"/>
      <c r="F14" s="218" t="s">
        <v>39</v>
      </c>
      <c r="G14" s="219"/>
      <c r="H14" s="220">
        <f>D54</f>
        <v>47757</v>
      </c>
      <c r="I14" s="221"/>
      <c r="J14" s="222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89"/>
      <c r="B15" s="17" t="s">
        <v>38</v>
      </c>
      <c r="C15" s="53"/>
      <c r="D15" s="34">
        <f t="shared" si="1"/>
        <v>0</v>
      </c>
      <c r="E15" s="9"/>
      <c r="F15" s="223" t="s">
        <v>40</v>
      </c>
      <c r="G15" s="214"/>
      <c r="H15" s="224">
        <f>H13-H14</f>
        <v>257944</v>
      </c>
      <c r="I15" s="225"/>
      <c r="J15" s="226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89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227">
        <f>1290+360</f>
        <v>1650</v>
      </c>
      <c r="I16" s="227"/>
      <c r="J16" s="22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89"/>
      <c r="B17" s="11" t="s">
        <v>114</v>
      </c>
      <c r="C17" s="53"/>
      <c r="D17" s="52">
        <f t="shared" si="1"/>
        <v>0</v>
      </c>
      <c r="E17" s="9"/>
      <c r="F17" s="62"/>
      <c r="G17" s="74" t="s">
        <v>45</v>
      </c>
      <c r="H17" s="200"/>
      <c r="I17" s="200"/>
      <c r="J17" s="200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89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200"/>
      <c r="I18" s="200"/>
      <c r="J18" s="200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89"/>
      <c r="B19" s="17" t="s">
        <v>118</v>
      </c>
      <c r="C19" s="53"/>
      <c r="D19" s="52">
        <f t="shared" si="1"/>
        <v>0</v>
      </c>
      <c r="E19" s="9"/>
      <c r="F19" s="62"/>
      <c r="G19" s="76" t="s">
        <v>50</v>
      </c>
      <c r="H19" s="313"/>
      <c r="I19" s="313"/>
      <c r="J19" s="313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89"/>
      <c r="B20" s="50" t="s">
        <v>108</v>
      </c>
      <c r="C20" s="53"/>
      <c r="D20" s="16">
        <f t="shared" si="1"/>
        <v>0</v>
      </c>
      <c r="E20" s="9"/>
      <c r="F20" s="63"/>
      <c r="G20" s="78" t="s">
        <v>124</v>
      </c>
      <c r="H20" s="227">
        <f>626*4</f>
        <v>2504</v>
      </c>
      <c r="I20" s="227"/>
      <c r="J20" s="227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89"/>
      <c r="B21" s="17" t="s">
        <v>138</v>
      </c>
      <c r="C21" s="53">
        <f>1+1+1</f>
        <v>3</v>
      </c>
      <c r="D21" s="52">
        <f t="shared" si="1"/>
        <v>1950</v>
      </c>
      <c r="E21" s="9"/>
      <c r="F21" s="77" t="s">
        <v>99</v>
      </c>
      <c r="G21" s="92" t="s">
        <v>98</v>
      </c>
      <c r="H21" s="246" t="s">
        <v>13</v>
      </c>
      <c r="I21" s="247"/>
      <c r="J21" s="248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89"/>
      <c r="B22" s="50" t="s">
        <v>104</v>
      </c>
      <c r="C22" s="53"/>
      <c r="D22" s="52">
        <f t="shared" si="1"/>
        <v>0</v>
      </c>
      <c r="E22" s="9"/>
      <c r="F22" s="85"/>
      <c r="G22" s="81"/>
      <c r="H22" s="249"/>
      <c r="I22" s="249"/>
      <c r="J22" s="249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89"/>
      <c r="B23" s="17" t="s">
        <v>107</v>
      </c>
      <c r="C23" s="53"/>
      <c r="D23" s="52">
        <f t="shared" si="1"/>
        <v>0</v>
      </c>
      <c r="E23" s="9"/>
      <c r="F23" s="86"/>
      <c r="G23" s="87"/>
      <c r="H23" s="299"/>
      <c r="I23" s="255"/>
      <c r="J23" s="255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89"/>
      <c r="B24" s="17" t="s">
        <v>101</v>
      </c>
      <c r="C24" s="53"/>
      <c r="D24" s="52">
        <f t="shared" si="1"/>
        <v>0</v>
      </c>
      <c r="E24" s="9"/>
      <c r="F24" s="42"/>
      <c r="G24" s="41"/>
      <c r="H24" s="299"/>
      <c r="I24" s="255"/>
      <c r="J24" s="255"/>
      <c r="L24" s="51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89"/>
      <c r="B25" s="17" t="s">
        <v>117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52" t="s">
        <v>13</v>
      </c>
      <c r="I25" s="253"/>
      <c r="J25" s="254"/>
      <c r="L25" s="51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89"/>
      <c r="B26" s="17" t="s">
        <v>105</v>
      </c>
      <c r="C26" s="53"/>
      <c r="D26" s="52">
        <f t="shared" si="1"/>
        <v>0</v>
      </c>
      <c r="E26" s="9"/>
      <c r="F26" s="72"/>
      <c r="G26" s="65"/>
      <c r="H26" s="300"/>
      <c r="I26" s="301"/>
      <c r="J26" s="302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89"/>
      <c r="B27" s="17" t="s">
        <v>109</v>
      </c>
      <c r="C27" s="53"/>
      <c r="D27" s="48">
        <f t="shared" si="1"/>
        <v>0</v>
      </c>
      <c r="E27" s="9"/>
      <c r="F27" s="88"/>
      <c r="G27" s="89"/>
      <c r="H27" s="303"/>
      <c r="I27" s="304"/>
      <c r="J27" s="305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90"/>
      <c r="B28" s="50" t="s">
        <v>97</v>
      </c>
      <c r="C28" s="53">
        <v>11</v>
      </c>
      <c r="D28" s="52">
        <f t="shared" si="1"/>
        <v>8635</v>
      </c>
      <c r="E28" s="9"/>
      <c r="F28" s="60"/>
      <c r="G28" s="68"/>
      <c r="H28" s="258"/>
      <c r="I28" s="259"/>
      <c r="J28" s="260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28" t="s">
        <v>36</v>
      </c>
      <c r="B29" s="229"/>
      <c r="C29" s="230"/>
      <c r="D29" s="234">
        <f>SUM(D6:D28)</f>
        <v>305701</v>
      </c>
      <c r="E29" s="9"/>
      <c r="F29" s="236" t="s">
        <v>55</v>
      </c>
      <c r="G29" s="237"/>
      <c r="H29" s="240">
        <f>H15-H16-H17-H18-H19-H20-H22-H23-H24+H26+H27</f>
        <v>253790</v>
      </c>
      <c r="I29" s="241"/>
      <c r="J29" s="242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231"/>
      <c r="B30" s="232"/>
      <c r="C30" s="233"/>
      <c r="D30" s="235"/>
      <c r="E30" s="9"/>
      <c r="F30" s="238"/>
      <c r="G30" s="239"/>
      <c r="H30" s="243"/>
      <c r="I30" s="244"/>
      <c r="J30" s="245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5" t="s">
        <v>58</v>
      </c>
      <c r="B32" s="176"/>
      <c r="C32" s="176"/>
      <c r="D32" s="177"/>
      <c r="E32" s="11"/>
      <c r="F32" s="261" t="s">
        <v>59</v>
      </c>
      <c r="G32" s="262"/>
      <c r="H32" s="262"/>
      <c r="I32" s="262"/>
      <c r="J32" s="263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16" t="s">
        <v>63</v>
      </c>
      <c r="H33" s="261" t="s">
        <v>13</v>
      </c>
      <c r="I33" s="262"/>
      <c r="J33" s="263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88" t="s">
        <v>65</v>
      </c>
      <c r="B34" s="29" t="s">
        <v>66</v>
      </c>
      <c r="C34" s="56">
        <v>1</v>
      </c>
      <c r="D34" s="33">
        <f>C34*120</f>
        <v>120</v>
      </c>
      <c r="E34" s="9"/>
      <c r="F34" s="15">
        <v>1000</v>
      </c>
      <c r="G34" s="82">
        <v>176</v>
      </c>
      <c r="H34" s="264">
        <f>F34*G34</f>
        <v>176000</v>
      </c>
      <c r="I34" s="265"/>
      <c r="J34" s="266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89"/>
      <c r="B35" s="30" t="s">
        <v>68</v>
      </c>
      <c r="C35" s="57"/>
      <c r="D35" s="33">
        <f>C35*84</f>
        <v>0</v>
      </c>
      <c r="E35" s="9"/>
      <c r="F35" s="64">
        <v>500</v>
      </c>
      <c r="G35" s="45">
        <v>108</v>
      </c>
      <c r="H35" s="264">
        <f>F35*G35</f>
        <v>54000</v>
      </c>
      <c r="I35" s="265"/>
      <c r="J35" s="266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90"/>
      <c r="B36" s="29" t="s">
        <v>70</v>
      </c>
      <c r="C36" s="53"/>
      <c r="D36" s="15">
        <f>C36*1.5</f>
        <v>0</v>
      </c>
      <c r="E36" s="9"/>
      <c r="F36" s="15">
        <v>200</v>
      </c>
      <c r="G36" s="41">
        <v>12</v>
      </c>
      <c r="H36" s="264">
        <f t="shared" ref="H36:H39" si="2">F36*G36</f>
        <v>2400</v>
      </c>
      <c r="I36" s="265"/>
      <c r="J36" s="266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88" t="s">
        <v>72</v>
      </c>
      <c r="B37" s="31" t="s">
        <v>66</v>
      </c>
      <c r="C37" s="58">
        <v>391</v>
      </c>
      <c r="D37" s="15">
        <f>C37*111</f>
        <v>43401</v>
      </c>
      <c r="E37" s="9"/>
      <c r="F37" s="15">
        <v>100</v>
      </c>
      <c r="G37" s="43">
        <v>176</v>
      </c>
      <c r="H37" s="264">
        <f t="shared" si="2"/>
        <v>17600</v>
      </c>
      <c r="I37" s="265"/>
      <c r="J37" s="266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89"/>
      <c r="B38" s="32" t="s">
        <v>68</v>
      </c>
      <c r="C38" s="59">
        <v>13</v>
      </c>
      <c r="D38" s="15">
        <f>C38*84</f>
        <v>1092</v>
      </c>
      <c r="E38" s="9"/>
      <c r="F38" s="33">
        <v>50</v>
      </c>
      <c r="G38" s="43">
        <v>23</v>
      </c>
      <c r="H38" s="264">
        <f t="shared" si="2"/>
        <v>1150</v>
      </c>
      <c r="I38" s="265"/>
      <c r="J38" s="266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90"/>
      <c r="B39" s="32" t="s">
        <v>70</v>
      </c>
      <c r="C39" s="57">
        <v>3</v>
      </c>
      <c r="D39" s="34">
        <f>C39*4.5</f>
        <v>13.5</v>
      </c>
      <c r="E39" s="9"/>
      <c r="F39" s="15">
        <v>20</v>
      </c>
      <c r="G39" s="41"/>
      <c r="H39" s="264">
        <f t="shared" si="2"/>
        <v>0</v>
      </c>
      <c r="I39" s="265"/>
      <c r="J39" s="266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88" t="s">
        <v>76</v>
      </c>
      <c r="B40" s="30" t="s">
        <v>66</v>
      </c>
      <c r="C40" s="70">
        <v>17</v>
      </c>
      <c r="D40" s="15">
        <f>C40*111</f>
        <v>1887</v>
      </c>
      <c r="E40" s="9"/>
      <c r="F40" s="15">
        <v>10</v>
      </c>
      <c r="G40" s="46"/>
      <c r="H40" s="264"/>
      <c r="I40" s="265"/>
      <c r="J40" s="266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89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264"/>
      <c r="I41" s="265"/>
      <c r="J41" s="266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90"/>
      <c r="B42" s="30" t="s">
        <v>70</v>
      </c>
      <c r="C42" s="71">
        <v>18</v>
      </c>
      <c r="D42" s="15">
        <f>C42*2.25</f>
        <v>40.5</v>
      </c>
      <c r="E42" s="9"/>
      <c r="F42" s="43" t="s">
        <v>79</v>
      </c>
      <c r="G42" s="264">
        <v>154</v>
      </c>
      <c r="H42" s="265"/>
      <c r="I42" s="265"/>
      <c r="J42" s="266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67" t="s">
        <v>81</v>
      </c>
      <c r="C43" s="71"/>
      <c r="D43" s="15"/>
      <c r="E43" s="9"/>
      <c r="F43" s="65" t="s">
        <v>82</v>
      </c>
      <c r="G43" s="118" t="s">
        <v>83</v>
      </c>
      <c r="H43" s="270" t="s">
        <v>13</v>
      </c>
      <c r="I43" s="271"/>
      <c r="J43" s="272"/>
      <c r="K43" s="24"/>
      <c r="P43" s="4"/>
      <c r="Q43" s="4"/>
      <c r="R43" s="5"/>
    </row>
    <row r="44" spans="1:18" ht="15.75" x14ac:dyDescent="0.25">
      <c r="A44" s="268"/>
      <c r="B44" s="30" t="s">
        <v>66</v>
      </c>
      <c r="C44" s="53">
        <v>5</v>
      </c>
      <c r="D44" s="15">
        <f>C44*120</f>
        <v>600</v>
      </c>
      <c r="E44" s="9"/>
      <c r="F44" s="41"/>
      <c r="G44" s="84"/>
      <c r="H44" s="255"/>
      <c r="I44" s="255"/>
      <c r="J44" s="255"/>
      <c r="K44" s="24"/>
      <c r="P44" s="4"/>
      <c r="Q44" s="4"/>
      <c r="R44" s="5"/>
    </row>
    <row r="45" spans="1:18" ht="15.75" x14ac:dyDescent="0.25">
      <c r="A45" s="268"/>
      <c r="B45" s="30" t="s">
        <v>68</v>
      </c>
      <c r="C45" s="90"/>
      <c r="D45" s="15">
        <f>C45*84</f>
        <v>0</v>
      </c>
      <c r="E45" s="9"/>
      <c r="F45" s="41"/>
      <c r="G45" s="84"/>
      <c r="H45" s="255"/>
      <c r="I45" s="255"/>
      <c r="J45" s="255"/>
      <c r="K45" s="24"/>
      <c r="P45" s="4"/>
      <c r="Q45" s="4"/>
      <c r="R45" s="5"/>
    </row>
    <row r="46" spans="1:18" ht="15.75" x14ac:dyDescent="0.25">
      <c r="A46" s="268"/>
      <c r="B46" s="54" t="s">
        <v>70</v>
      </c>
      <c r="C46" s="91">
        <v>14</v>
      </c>
      <c r="D46" s="15">
        <f>C46*1.5</f>
        <v>21</v>
      </c>
      <c r="E46" s="9"/>
      <c r="F46" s="41"/>
      <c r="G46" s="69"/>
      <c r="H46" s="306"/>
      <c r="I46" s="306"/>
      <c r="J46" s="306"/>
      <c r="K46" s="24"/>
      <c r="P46" s="4"/>
      <c r="Q46" s="4"/>
      <c r="R46" s="5"/>
    </row>
    <row r="47" spans="1:18" ht="15.75" x14ac:dyDescent="0.25">
      <c r="A47" s="269"/>
      <c r="B47" s="30"/>
      <c r="C47" s="71"/>
      <c r="D47" s="15"/>
      <c r="E47" s="9"/>
      <c r="F47" s="65"/>
      <c r="G47" s="65"/>
      <c r="H47" s="273"/>
      <c r="I47" s="274"/>
      <c r="J47" s="275"/>
      <c r="K47" s="24"/>
      <c r="P47" s="4"/>
      <c r="Q47" s="4"/>
      <c r="R47" s="5"/>
    </row>
    <row r="48" spans="1:18" ht="15" customHeight="1" x14ac:dyDescent="0.25">
      <c r="A48" s="267" t="s">
        <v>32</v>
      </c>
      <c r="B48" s="30" t="s">
        <v>66</v>
      </c>
      <c r="C48" s="53">
        <v>6</v>
      </c>
      <c r="D48" s="15">
        <f>C48*78</f>
        <v>468</v>
      </c>
      <c r="E48" s="9"/>
      <c r="F48" s="65"/>
      <c r="G48" s="65"/>
      <c r="H48" s="273"/>
      <c r="I48" s="274"/>
      <c r="J48" s="275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68"/>
      <c r="B49" s="32" t="s">
        <v>68</v>
      </c>
      <c r="C49" s="90">
        <v>2</v>
      </c>
      <c r="D49" s="15">
        <f>C49*42</f>
        <v>84</v>
      </c>
      <c r="E49" s="9"/>
      <c r="F49" s="288" t="s">
        <v>86</v>
      </c>
      <c r="G49" s="240">
        <f>H34+H35+H36+H37+H38+H39+H40+H41+G42+H44+H45+H46</f>
        <v>251304</v>
      </c>
      <c r="H49" s="241"/>
      <c r="I49" s="241"/>
      <c r="J49" s="242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68"/>
      <c r="B50" s="35" t="s">
        <v>70</v>
      </c>
      <c r="C50" s="71">
        <v>20</v>
      </c>
      <c r="D50" s="15">
        <f>C50*1.5</f>
        <v>30</v>
      </c>
      <c r="E50" s="9"/>
      <c r="F50" s="289"/>
      <c r="G50" s="243"/>
      <c r="H50" s="244"/>
      <c r="I50" s="244"/>
      <c r="J50" s="245"/>
      <c r="K50" s="9"/>
      <c r="P50" s="4"/>
      <c r="Q50" s="4"/>
      <c r="R50" s="5"/>
    </row>
    <row r="51" spans="1:18" ht="15" customHeight="1" x14ac:dyDescent="0.25">
      <c r="A51" s="268"/>
      <c r="B51" s="30"/>
      <c r="C51" s="53"/>
      <c r="D51" s="34"/>
      <c r="E51" s="9"/>
      <c r="F51" s="290" t="s">
        <v>135</v>
      </c>
      <c r="G51" s="314">
        <f>G49-H29</f>
        <v>-2486</v>
      </c>
      <c r="H51" s="315"/>
      <c r="I51" s="315"/>
      <c r="J51" s="316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68"/>
      <c r="B52" s="32"/>
      <c r="C52" s="36"/>
      <c r="D52" s="49"/>
      <c r="E52" s="9"/>
      <c r="F52" s="291"/>
      <c r="G52" s="317"/>
      <c r="H52" s="318"/>
      <c r="I52" s="318"/>
      <c r="J52" s="319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69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236" t="s">
        <v>90</v>
      </c>
      <c r="B54" s="276"/>
      <c r="C54" s="277"/>
      <c r="D54" s="280">
        <f>SUM(D34:D53)</f>
        <v>47757</v>
      </c>
      <c r="E54" s="9"/>
      <c r="F54" s="24"/>
      <c r="G54" s="9"/>
      <c r="H54" s="9"/>
      <c r="I54" s="9"/>
      <c r="J54" s="37"/>
    </row>
    <row r="55" spans="1:18" x14ac:dyDescent="0.25">
      <c r="A55" s="238"/>
      <c r="B55" s="278"/>
      <c r="C55" s="279"/>
      <c r="D55" s="281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119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282" t="s">
        <v>91</v>
      </c>
      <c r="B58" s="283"/>
      <c r="C58" s="283"/>
      <c r="D58" s="284"/>
      <c r="E58" s="9"/>
      <c r="F58" s="282" t="s">
        <v>92</v>
      </c>
      <c r="G58" s="283"/>
      <c r="H58" s="283"/>
      <c r="I58" s="283"/>
      <c r="J58" s="284"/>
    </row>
    <row r="59" spans="1:18" x14ac:dyDescent="0.25">
      <c r="A59" s="285"/>
      <c r="B59" s="286"/>
      <c r="C59" s="286"/>
      <c r="D59" s="287"/>
      <c r="E59" s="9"/>
      <c r="F59" s="285"/>
      <c r="G59" s="286"/>
      <c r="H59" s="286"/>
      <c r="I59" s="286"/>
      <c r="J59" s="287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5083A5-B58B-4DFE-9A21-8F4A3B2F0AA2}">
  <dimension ref="A1:R59"/>
  <sheetViews>
    <sheetView topLeftCell="A4"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174" t="s">
        <v>1</v>
      </c>
      <c r="O1" s="174"/>
      <c r="P1" s="93" t="s">
        <v>2</v>
      </c>
      <c r="Q1" s="93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75" t="s">
        <v>7</v>
      </c>
      <c r="B4" s="176"/>
      <c r="C4" s="176"/>
      <c r="D4" s="177"/>
      <c r="E4" s="9"/>
      <c r="F4" s="178" t="s">
        <v>8</v>
      </c>
      <c r="G4" s="180">
        <v>1</v>
      </c>
      <c r="H4" s="182" t="s">
        <v>9</v>
      </c>
      <c r="I4" s="184">
        <v>45778</v>
      </c>
      <c r="J4" s="185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88" t="s">
        <v>7</v>
      </c>
      <c r="B5" s="18" t="s">
        <v>11</v>
      </c>
      <c r="C5" s="12" t="s">
        <v>12</v>
      </c>
      <c r="D5" s="28" t="s">
        <v>13</v>
      </c>
      <c r="E5" s="9"/>
      <c r="F5" s="179"/>
      <c r="G5" s="181"/>
      <c r="H5" s="183"/>
      <c r="I5" s="186"/>
      <c r="J5" s="187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89"/>
      <c r="B6" s="19" t="s">
        <v>15</v>
      </c>
      <c r="C6" s="53">
        <v>604</v>
      </c>
      <c r="D6" s="16">
        <f t="shared" ref="D6:D28" si="1">C6*L6</f>
        <v>445148</v>
      </c>
      <c r="E6" s="9"/>
      <c r="F6" s="191" t="s">
        <v>16</v>
      </c>
      <c r="G6" s="193" t="s">
        <v>128</v>
      </c>
      <c r="H6" s="194"/>
      <c r="I6" s="194"/>
      <c r="J6" s="195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89"/>
      <c r="B7" s="19" t="s">
        <v>18</v>
      </c>
      <c r="C7" s="53">
        <v>7</v>
      </c>
      <c r="D7" s="16">
        <f t="shared" si="1"/>
        <v>5075</v>
      </c>
      <c r="E7" s="9"/>
      <c r="F7" s="192"/>
      <c r="G7" s="196"/>
      <c r="H7" s="197"/>
      <c r="I7" s="197"/>
      <c r="J7" s="198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189"/>
      <c r="B8" s="19" t="s">
        <v>20</v>
      </c>
      <c r="C8" s="53">
        <v>6</v>
      </c>
      <c r="D8" s="16">
        <f t="shared" si="1"/>
        <v>6198</v>
      </c>
      <c r="E8" s="9"/>
      <c r="F8" s="199" t="s">
        <v>21</v>
      </c>
      <c r="G8" s="201" t="s">
        <v>113</v>
      </c>
      <c r="H8" s="202"/>
      <c r="I8" s="202"/>
      <c r="J8" s="203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189"/>
      <c r="B9" s="19" t="s">
        <v>23</v>
      </c>
      <c r="C9" s="53">
        <v>43</v>
      </c>
      <c r="D9" s="16">
        <f t="shared" si="1"/>
        <v>30401</v>
      </c>
      <c r="E9" s="9"/>
      <c r="F9" s="192"/>
      <c r="G9" s="204"/>
      <c r="H9" s="205"/>
      <c r="I9" s="205"/>
      <c r="J9" s="206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189"/>
      <c r="B10" s="11" t="s">
        <v>25</v>
      </c>
      <c r="C10" s="53">
        <v>1</v>
      </c>
      <c r="D10" s="16">
        <f t="shared" si="1"/>
        <v>972</v>
      </c>
      <c r="E10" s="9"/>
      <c r="F10" s="191" t="s">
        <v>26</v>
      </c>
      <c r="G10" s="207" t="s">
        <v>132</v>
      </c>
      <c r="H10" s="208"/>
      <c r="I10" s="208"/>
      <c r="J10" s="209"/>
      <c r="K10" s="10"/>
      <c r="L10" s="6">
        <f>R36</f>
        <v>972</v>
      </c>
      <c r="P10" s="4"/>
      <c r="Q10" s="4"/>
      <c r="R10" s="5"/>
    </row>
    <row r="11" spans="1:18" ht="15.75" x14ac:dyDescent="0.25">
      <c r="A11" s="189"/>
      <c r="B11" s="20" t="s">
        <v>28</v>
      </c>
      <c r="C11" s="53"/>
      <c r="D11" s="16">
        <f t="shared" si="1"/>
        <v>0</v>
      </c>
      <c r="E11" s="9"/>
      <c r="F11" s="192"/>
      <c r="G11" s="204"/>
      <c r="H11" s="205"/>
      <c r="I11" s="205"/>
      <c r="J11" s="206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89"/>
      <c r="B12" s="20" t="s">
        <v>30</v>
      </c>
      <c r="C12" s="53">
        <f>2</f>
        <v>2</v>
      </c>
      <c r="D12" s="52">
        <f t="shared" si="1"/>
        <v>1904</v>
      </c>
      <c r="E12" s="9"/>
      <c r="F12" s="210" t="s">
        <v>33</v>
      </c>
      <c r="G12" s="211"/>
      <c r="H12" s="211"/>
      <c r="I12" s="211"/>
      <c r="J12" s="212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89"/>
      <c r="B13" s="20" t="s">
        <v>32</v>
      </c>
      <c r="C13" s="53">
        <v>24</v>
      </c>
      <c r="D13" s="52">
        <f t="shared" si="1"/>
        <v>7368</v>
      </c>
      <c r="E13" s="9"/>
      <c r="F13" s="213" t="s">
        <v>36</v>
      </c>
      <c r="G13" s="214"/>
      <c r="H13" s="215">
        <f>D29</f>
        <v>535973</v>
      </c>
      <c r="I13" s="216"/>
      <c r="J13" s="217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89"/>
      <c r="B14" s="17" t="s">
        <v>35</v>
      </c>
      <c r="C14" s="53">
        <v>22</v>
      </c>
      <c r="D14" s="34">
        <f t="shared" si="1"/>
        <v>242</v>
      </c>
      <c r="E14" s="9"/>
      <c r="F14" s="218" t="s">
        <v>39</v>
      </c>
      <c r="G14" s="219"/>
      <c r="H14" s="220">
        <f>D54</f>
        <v>62240.25</v>
      </c>
      <c r="I14" s="221"/>
      <c r="J14" s="222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89"/>
      <c r="B15" s="17" t="s">
        <v>38</v>
      </c>
      <c r="C15" s="53"/>
      <c r="D15" s="34">
        <f t="shared" si="1"/>
        <v>0</v>
      </c>
      <c r="E15" s="9"/>
      <c r="F15" s="223" t="s">
        <v>40</v>
      </c>
      <c r="G15" s="214"/>
      <c r="H15" s="224">
        <f>H13-H14</f>
        <v>473732.75</v>
      </c>
      <c r="I15" s="225"/>
      <c r="J15" s="226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89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227"/>
      <c r="I16" s="227"/>
      <c r="J16" s="22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89"/>
      <c r="B17" s="11" t="s">
        <v>137</v>
      </c>
      <c r="C17" s="53">
        <v>4</v>
      </c>
      <c r="D17" s="52">
        <f t="shared" si="1"/>
        <v>6328</v>
      </c>
      <c r="E17" s="9"/>
      <c r="F17" s="62"/>
      <c r="G17" s="74" t="s">
        <v>45</v>
      </c>
      <c r="H17" s="200"/>
      <c r="I17" s="200"/>
      <c r="J17" s="200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89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200"/>
      <c r="I18" s="200"/>
      <c r="J18" s="200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89"/>
      <c r="B19" s="17" t="s">
        <v>140</v>
      </c>
      <c r="C19" s="53">
        <f>2+4</f>
        <v>6</v>
      </c>
      <c r="D19" s="52">
        <f t="shared" si="1"/>
        <v>6612</v>
      </c>
      <c r="E19" s="9"/>
      <c r="F19" s="62"/>
      <c r="G19" s="76" t="s">
        <v>50</v>
      </c>
      <c r="H19" s="200"/>
      <c r="I19" s="200"/>
      <c r="J19" s="200"/>
      <c r="L19" s="6">
        <v>1102</v>
      </c>
      <c r="Q19" s="4"/>
      <c r="R19" s="5">
        <f t="shared" si="0"/>
        <v>0</v>
      </c>
    </row>
    <row r="20" spans="1:18" ht="15.75" x14ac:dyDescent="0.25">
      <c r="A20" s="189"/>
      <c r="B20" s="97" t="s">
        <v>139</v>
      </c>
      <c r="C20" s="53">
        <f>3+1+4</f>
        <v>8</v>
      </c>
      <c r="D20" s="16">
        <f t="shared" si="1"/>
        <v>9400</v>
      </c>
      <c r="E20" s="9"/>
      <c r="F20" s="63"/>
      <c r="G20" s="78" t="s">
        <v>124</v>
      </c>
      <c r="H20" s="227">
        <f>913*6</f>
        <v>5478</v>
      </c>
      <c r="I20" s="227"/>
      <c r="J20" s="227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89"/>
      <c r="B21" s="17" t="s">
        <v>138</v>
      </c>
      <c r="C21" s="53">
        <f>2+3+2</f>
        <v>7</v>
      </c>
      <c r="D21" s="52">
        <f t="shared" si="1"/>
        <v>4550</v>
      </c>
      <c r="E21" s="9"/>
      <c r="F21" s="77" t="s">
        <v>99</v>
      </c>
      <c r="G21" s="92" t="s">
        <v>98</v>
      </c>
      <c r="H21" s="246" t="s">
        <v>13</v>
      </c>
      <c r="I21" s="247"/>
      <c r="J21" s="248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89"/>
      <c r="B22" s="50" t="s">
        <v>110</v>
      </c>
      <c r="C22" s="53"/>
      <c r="D22" s="52">
        <f t="shared" si="1"/>
        <v>0</v>
      </c>
      <c r="E22" s="9"/>
      <c r="F22" s="85" t="s">
        <v>141</v>
      </c>
      <c r="G22" s="81">
        <v>1247</v>
      </c>
      <c r="H22" s="249">
        <v>22183</v>
      </c>
      <c r="I22" s="249"/>
      <c r="J22" s="249"/>
      <c r="L22" s="7">
        <v>1142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89"/>
      <c r="B23" s="17" t="s">
        <v>125</v>
      </c>
      <c r="C23" s="53"/>
      <c r="D23" s="52">
        <f t="shared" si="1"/>
        <v>0</v>
      </c>
      <c r="E23" s="9"/>
      <c r="F23" s="85" t="s">
        <v>142</v>
      </c>
      <c r="G23" s="87">
        <v>1672</v>
      </c>
      <c r="H23" s="250">
        <v>25762</v>
      </c>
      <c r="I23" s="251"/>
      <c r="J23" s="251"/>
      <c r="L23" s="51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89"/>
      <c r="B24" s="17" t="s">
        <v>126</v>
      </c>
      <c r="C24" s="53"/>
      <c r="D24" s="52">
        <f t="shared" si="1"/>
        <v>0</v>
      </c>
      <c r="E24" s="9"/>
      <c r="F24" s="85" t="s">
        <v>143</v>
      </c>
      <c r="G24" s="87">
        <v>1671</v>
      </c>
      <c r="H24" s="250">
        <v>110567</v>
      </c>
      <c r="I24" s="251"/>
      <c r="J24" s="251"/>
      <c r="L24" s="51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89"/>
      <c r="B25" s="17" t="s">
        <v>121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52" t="s">
        <v>13</v>
      </c>
      <c r="I25" s="253"/>
      <c r="J25" s="254"/>
      <c r="L25" s="51">
        <f>852/24+1.5</f>
        <v>37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89"/>
      <c r="B26" s="17" t="s">
        <v>112</v>
      </c>
      <c r="C26" s="53"/>
      <c r="D26" s="52">
        <f t="shared" si="1"/>
        <v>0</v>
      </c>
      <c r="E26" s="9"/>
      <c r="F26" s="83"/>
      <c r="G26" s="73"/>
      <c r="H26" s="255"/>
      <c r="I26" s="255"/>
      <c r="J26" s="255"/>
      <c r="L26" s="7">
        <f>500/24+1.5</f>
        <v>22.333333333333332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89"/>
      <c r="B27" s="17" t="s">
        <v>120</v>
      </c>
      <c r="C27" s="53"/>
      <c r="D27" s="48">
        <f t="shared" si="1"/>
        <v>0</v>
      </c>
      <c r="E27" s="9"/>
      <c r="F27" s="79"/>
      <c r="G27" s="96"/>
      <c r="H27" s="256"/>
      <c r="I27" s="257"/>
      <c r="J27" s="257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90"/>
      <c r="B28" s="50" t="s">
        <v>97</v>
      </c>
      <c r="C28" s="53">
        <v>15</v>
      </c>
      <c r="D28" s="52">
        <f t="shared" si="1"/>
        <v>11775</v>
      </c>
      <c r="E28" s="9"/>
      <c r="F28" s="60"/>
      <c r="G28" s="68"/>
      <c r="H28" s="258"/>
      <c r="I28" s="259"/>
      <c r="J28" s="260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28" t="s">
        <v>36</v>
      </c>
      <c r="B29" s="229"/>
      <c r="C29" s="230"/>
      <c r="D29" s="234">
        <f>SUM(D6:D28)</f>
        <v>535973</v>
      </c>
      <c r="E29" s="9"/>
      <c r="F29" s="236" t="s">
        <v>55</v>
      </c>
      <c r="G29" s="237"/>
      <c r="H29" s="240">
        <f>H15-H16-H17-H18-H19-H20-H22-H23-H24+H26+H27+H28</f>
        <v>309742.75</v>
      </c>
      <c r="I29" s="241"/>
      <c r="J29" s="242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231"/>
      <c r="B30" s="232"/>
      <c r="C30" s="233"/>
      <c r="D30" s="235"/>
      <c r="E30" s="9"/>
      <c r="F30" s="238"/>
      <c r="G30" s="239"/>
      <c r="H30" s="243"/>
      <c r="I30" s="244"/>
      <c r="J30" s="245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5" t="s">
        <v>58</v>
      </c>
      <c r="B32" s="176"/>
      <c r="C32" s="176"/>
      <c r="D32" s="177"/>
      <c r="E32" s="11"/>
      <c r="F32" s="261" t="s">
        <v>59</v>
      </c>
      <c r="G32" s="262"/>
      <c r="H32" s="262"/>
      <c r="I32" s="262"/>
      <c r="J32" s="263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94" t="s">
        <v>63</v>
      </c>
      <c r="H33" s="261" t="s">
        <v>13</v>
      </c>
      <c r="I33" s="262"/>
      <c r="J33" s="263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88" t="s">
        <v>65</v>
      </c>
      <c r="B34" s="29" t="s">
        <v>66</v>
      </c>
      <c r="C34" s="56">
        <v>1</v>
      </c>
      <c r="D34" s="33">
        <f>C34*120</f>
        <v>120</v>
      </c>
      <c r="E34" s="9"/>
      <c r="F34" s="15">
        <v>1000</v>
      </c>
      <c r="G34" s="44">
        <v>260</v>
      </c>
      <c r="H34" s="264">
        <f t="shared" ref="H34:H39" si="2">F34*G34</f>
        <v>260000</v>
      </c>
      <c r="I34" s="265"/>
      <c r="J34" s="266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89"/>
      <c r="B35" s="30" t="s">
        <v>68</v>
      </c>
      <c r="C35" s="57"/>
      <c r="D35" s="33">
        <f>C35*84</f>
        <v>0</v>
      </c>
      <c r="E35" s="9"/>
      <c r="F35" s="64">
        <v>500</v>
      </c>
      <c r="G35" s="45">
        <v>87</v>
      </c>
      <c r="H35" s="264">
        <f t="shared" si="2"/>
        <v>43500</v>
      </c>
      <c r="I35" s="265"/>
      <c r="J35" s="266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90"/>
      <c r="B36" s="29" t="s">
        <v>70</v>
      </c>
      <c r="C36" s="53"/>
      <c r="D36" s="15">
        <f>C36*1.5</f>
        <v>0</v>
      </c>
      <c r="E36" s="9"/>
      <c r="F36" s="15">
        <v>200</v>
      </c>
      <c r="G36" s="41">
        <v>4</v>
      </c>
      <c r="H36" s="264">
        <f t="shared" si="2"/>
        <v>800</v>
      </c>
      <c r="I36" s="265"/>
      <c r="J36" s="266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88" t="s">
        <v>72</v>
      </c>
      <c r="B37" s="31" t="s">
        <v>66</v>
      </c>
      <c r="C37" s="58">
        <v>535</v>
      </c>
      <c r="D37" s="15">
        <f>C37*111</f>
        <v>59385</v>
      </c>
      <c r="E37" s="9"/>
      <c r="F37" s="15">
        <v>100</v>
      </c>
      <c r="G37" s="43">
        <v>42</v>
      </c>
      <c r="H37" s="264">
        <f t="shared" si="2"/>
        <v>4200</v>
      </c>
      <c r="I37" s="265"/>
      <c r="J37" s="266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89"/>
      <c r="B38" s="32" t="s">
        <v>68</v>
      </c>
      <c r="C38" s="59">
        <v>4</v>
      </c>
      <c r="D38" s="15">
        <f>C38*84</f>
        <v>336</v>
      </c>
      <c r="E38" s="9"/>
      <c r="F38" s="33">
        <v>50</v>
      </c>
      <c r="G38" s="43">
        <v>13</v>
      </c>
      <c r="H38" s="264">
        <f t="shared" si="2"/>
        <v>650</v>
      </c>
      <c r="I38" s="265"/>
      <c r="J38" s="266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90"/>
      <c r="B39" s="32" t="s">
        <v>70</v>
      </c>
      <c r="C39" s="57">
        <v>11</v>
      </c>
      <c r="D39" s="34">
        <f>C39*4.5</f>
        <v>49.5</v>
      </c>
      <c r="E39" s="9"/>
      <c r="F39" s="15">
        <v>20</v>
      </c>
      <c r="G39" s="41">
        <v>2</v>
      </c>
      <c r="H39" s="264">
        <f t="shared" si="2"/>
        <v>40</v>
      </c>
      <c r="I39" s="265"/>
      <c r="J39" s="266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88" t="s">
        <v>76</v>
      </c>
      <c r="B40" s="30" t="s">
        <v>66</v>
      </c>
      <c r="C40" s="70">
        <v>2</v>
      </c>
      <c r="D40" s="15">
        <f>C40*111</f>
        <v>222</v>
      </c>
      <c r="E40" s="9"/>
      <c r="F40" s="15">
        <v>10</v>
      </c>
      <c r="G40" s="46"/>
      <c r="H40" s="264"/>
      <c r="I40" s="265"/>
      <c r="J40" s="266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89"/>
      <c r="B41" s="30" t="s">
        <v>68</v>
      </c>
      <c r="C41" s="53">
        <v>1</v>
      </c>
      <c r="D41" s="15">
        <f>C41*84</f>
        <v>84</v>
      </c>
      <c r="E41" s="9"/>
      <c r="F41" s="15">
        <v>5</v>
      </c>
      <c r="G41" s="46"/>
      <c r="H41" s="264"/>
      <c r="I41" s="265"/>
      <c r="J41" s="266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90"/>
      <c r="B42" s="30" t="s">
        <v>70</v>
      </c>
      <c r="C42" s="71">
        <v>9</v>
      </c>
      <c r="D42" s="15">
        <f>C42*2.25</f>
        <v>20.25</v>
      </c>
      <c r="E42" s="9"/>
      <c r="F42" s="43" t="s">
        <v>79</v>
      </c>
      <c r="G42" s="264">
        <v>204</v>
      </c>
      <c r="H42" s="265"/>
      <c r="I42" s="265"/>
      <c r="J42" s="266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67" t="s">
        <v>81</v>
      </c>
      <c r="C43" s="71"/>
      <c r="D43" s="15"/>
      <c r="E43" s="9"/>
      <c r="F43" s="65" t="s">
        <v>82</v>
      </c>
      <c r="G43" s="96" t="s">
        <v>83</v>
      </c>
      <c r="H43" s="270" t="s">
        <v>13</v>
      </c>
      <c r="I43" s="271"/>
      <c r="J43" s="272"/>
      <c r="K43" s="24"/>
      <c r="O43" t="s">
        <v>103</v>
      </c>
      <c r="P43" s="4">
        <v>1667</v>
      </c>
      <c r="Q43" s="4"/>
      <c r="R43" s="5"/>
    </row>
    <row r="44" spans="1:18" ht="15.75" x14ac:dyDescent="0.25">
      <c r="A44" s="268"/>
      <c r="B44" s="30" t="s">
        <v>66</v>
      </c>
      <c r="C44" s="53">
        <v>1</v>
      </c>
      <c r="D44" s="15">
        <f>C44*120</f>
        <v>120</v>
      </c>
      <c r="E44" s="9"/>
      <c r="F44" s="41"/>
      <c r="G44" s="69"/>
      <c r="H44" s="255"/>
      <c r="I44" s="255"/>
      <c r="J44" s="255"/>
      <c r="K44" s="24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268"/>
      <c r="B45" s="30" t="s">
        <v>68</v>
      </c>
      <c r="C45" s="90">
        <v>3</v>
      </c>
      <c r="D45" s="15">
        <f>C45*84</f>
        <v>252</v>
      </c>
      <c r="E45" s="9"/>
      <c r="F45" s="41"/>
      <c r="G45" s="69"/>
      <c r="H45" s="255"/>
      <c r="I45" s="255"/>
      <c r="J45" s="255"/>
      <c r="K45" s="24"/>
      <c r="P45" s="4"/>
      <c r="Q45" s="4"/>
      <c r="R45" s="5"/>
    </row>
    <row r="46" spans="1:18" ht="15.75" x14ac:dyDescent="0.25">
      <c r="A46" s="268"/>
      <c r="B46" s="54" t="s">
        <v>70</v>
      </c>
      <c r="C46" s="91">
        <v>28</v>
      </c>
      <c r="D46" s="15">
        <f>C46*1.5</f>
        <v>42</v>
      </c>
      <c r="E46" s="9"/>
      <c r="F46" s="41"/>
      <c r="G46" s="69"/>
      <c r="H46" s="255"/>
      <c r="I46" s="255"/>
      <c r="J46" s="255"/>
      <c r="K46" s="24"/>
      <c r="P46" s="4"/>
      <c r="Q46" s="4"/>
      <c r="R46" s="5"/>
    </row>
    <row r="47" spans="1:18" ht="15.75" x14ac:dyDescent="0.25">
      <c r="A47" s="269"/>
      <c r="B47" s="30"/>
      <c r="C47" s="71"/>
      <c r="D47" s="15"/>
      <c r="E47" s="9"/>
      <c r="F47" s="65"/>
      <c r="G47" s="65"/>
      <c r="H47" s="273"/>
      <c r="I47" s="274"/>
      <c r="J47" s="275"/>
      <c r="K47" s="24"/>
      <c r="P47" s="4"/>
      <c r="Q47" s="4"/>
      <c r="R47" s="5"/>
    </row>
    <row r="48" spans="1:18" ht="15" customHeight="1" x14ac:dyDescent="0.25">
      <c r="A48" s="267" t="s">
        <v>32</v>
      </c>
      <c r="B48" s="30" t="s">
        <v>66</v>
      </c>
      <c r="C48" s="53">
        <v>17</v>
      </c>
      <c r="D48" s="15">
        <f>C48*78</f>
        <v>1326</v>
      </c>
      <c r="E48" s="9"/>
      <c r="F48" s="65"/>
      <c r="G48" s="65"/>
      <c r="H48" s="273"/>
      <c r="I48" s="274"/>
      <c r="J48" s="275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68"/>
      <c r="B49" s="32" t="s">
        <v>68</v>
      </c>
      <c r="C49" s="90">
        <v>3</v>
      </c>
      <c r="D49" s="15">
        <f>C49*42</f>
        <v>126</v>
      </c>
      <c r="E49" s="9"/>
      <c r="F49" s="288" t="s">
        <v>86</v>
      </c>
      <c r="G49" s="240">
        <f>H34+H35+H36+H37+H38+H39+H40+H41+G42+H44+H45+H46</f>
        <v>309394</v>
      </c>
      <c r="H49" s="241"/>
      <c r="I49" s="241"/>
      <c r="J49" s="242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68"/>
      <c r="B50" s="35" t="s">
        <v>70</v>
      </c>
      <c r="C50" s="71">
        <v>105</v>
      </c>
      <c r="D50" s="15">
        <f>C50*1.5</f>
        <v>157.5</v>
      </c>
      <c r="E50" s="9"/>
      <c r="F50" s="289"/>
      <c r="G50" s="243"/>
      <c r="H50" s="244"/>
      <c r="I50" s="244"/>
      <c r="J50" s="245"/>
      <c r="K50" s="9"/>
      <c r="P50" s="4"/>
      <c r="Q50" s="4"/>
      <c r="R50" s="5"/>
    </row>
    <row r="51" spans="1:18" ht="15" customHeight="1" x14ac:dyDescent="0.25">
      <c r="A51" s="268"/>
      <c r="B51" s="30"/>
      <c r="C51" s="13"/>
      <c r="D51" s="34"/>
      <c r="E51" s="9"/>
      <c r="F51" s="290" t="s">
        <v>135</v>
      </c>
      <c r="G51" s="292">
        <f>G49-H29</f>
        <v>-348.75</v>
      </c>
      <c r="H51" s="293"/>
      <c r="I51" s="293"/>
      <c r="J51" s="294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68"/>
      <c r="B52" s="32"/>
      <c r="C52" s="36"/>
      <c r="D52" s="49"/>
      <c r="E52" s="9"/>
      <c r="F52" s="291"/>
      <c r="G52" s="295"/>
      <c r="H52" s="296"/>
      <c r="I52" s="296"/>
      <c r="J52" s="297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69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236" t="s">
        <v>90</v>
      </c>
      <c r="B54" s="276"/>
      <c r="C54" s="277"/>
      <c r="D54" s="280">
        <f>SUM(D34:D53)</f>
        <v>62240.25</v>
      </c>
      <c r="E54" s="9"/>
      <c r="F54" s="24"/>
      <c r="G54" s="9"/>
      <c r="H54" s="9"/>
      <c r="I54" s="9"/>
      <c r="J54" s="37"/>
      <c r="O54" t="s">
        <v>102</v>
      </c>
      <c r="P54" s="4">
        <v>1582</v>
      </c>
      <c r="R54" s="3">
        <v>1582</v>
      </c>
    </row>
    <row r="55" spans="1:18" x14ac:dyDescent="0.25">
      <c r="A55" s="238"/>
      <c r="B55" s="278"/>
      <c r="C55" s="279"/>
      <c r="D55" s="281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129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282" t="s">
        <v>91</v>
      </c>
      <c r="B58" s="283"/>
      <c r="C58" s="283"/>
      <c r="D58" s="284"/>
      <c r="E58" s="9"/>
      <c r="F58" s="282" t="s">
        <v>92</v>
      </c>
      <c r="G58" s="283"/>
      <c r="H58" s="283"/>
      <c r="I58" s="283"/>
      <c r="J58" s="284"/>
    </row>
    <row r="59" spans="1:18" x14ac:dyDescent="0.25">
      <c r="A59" s="285"/>
      <c r="B59" s="286"/>
      <c r="C59" s="286"/>
      <c r="D59" s="287"/>
      <c r="E59" s="9"/>
      <c r="F59" s="285"/>
      <c r="G59" s="286"/>
      <c r="H59" s="286"/>
      <c r="I59" s="286"/>
      <c r="J59" s="287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1AF04-625D-4D69-98D6-13A4BD74708A}">
  <dimension ref="A1"/>
  <sheetViews>
    <sheetView workbookViewId="0">
      <selection activeCell="I4" sqref="I4:J5"/>
    </sheetView>
  </sheetViews>
  <sheetFormatPr defaultRowHeight="15" x14ac:dyDescent="0.25"/>
  <sheetData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DC6D5-20C5-432B-9CFB-19B011424F9D}">
  <dimension ref="A1:R59"/>
  <sheetViews>
    <sheetView topLeftCell="A19" zoomScaleNormal="100" zoomScaleSheetLayoutView="85" workbookViewId="0">
      <selection activeCell="D54" sqref="D54:D5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174" t="s">
        <v>1</v>
      </c>
      <c r="O1" s="174"/>
      <c r="P1" s="120" t="s">
        <v>2</v>
      </c>
      <c r="Q1" s="120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75" t="s">
        <v>7</v>
      </c>
      <c r="B4" s="176"/>
      <c r="C4" s="176"/>
      <c r="D4" s="177"/>
      <c r="E4" s="9"/>
      <c r="F4" s="178" t="s">
        <v>8</v>
      </c>
      <c r="G4" s="180">
        <v>1</v>
      </c>
      <c r="H4" s="182" t="s">
        <v>9</v>
      </c>
      <c r="I4" s="184">
        <v>45786</v>
      </c>
      <c r="J4" s="185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88" t="s">
        <v>7</v>
      </c>
      <c r="B5" s="18" t="s">
        <v>11</v>
      </c>
      <c r="C5" s="12" t="s">
        <v>12</v>
      </c>
      <c r="D5" s="28" t="s">
        <v>13</v>
      </c>
      <c r="E5" s="9"/>
      <c r="F5" s="179"/>
      <c r="G5" s="181"/>
      <c r="H5" s="183"/>
      <c r="I5" s="186"/>
      <c r="J5" s="187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89"/>
      <c r="B6" s="19" t="s">
        <v>15</v>
      </c>
      <c r="C6" s="53">
        <v>420</v>
      </c>
      <c r="D6" s="16">
        <f t="shared" ref="D6:D28" si="1">C6*L6</f>
        <v>309540</v>
      </c>
      <c r="E6" s="9"/>
      <c r="F6" s="191" t="s">
        <v>16</v>
      </c>
      <c r="G6" s="193" t="s">
        <v>128</v>
      </c>
      <c r="H6" s="194"/>
      <c r="I6" s="194"/>
      <c r="J6" s="195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89"/>
      <c r="B7" s="19" t="s">
        <v>18</v>
      </c>
      <c r="C7" s="53">
        <v>9</v>
      </c>
      <c r="D7" s="16">
        <f t="shared" si="1"/>
        <v>6525</v>
      </c>
      <c r="E7" s="9"/>
      <c r="F7" s="192"/>
      <c r="G7" s="196"/>
      <c r="H7" s="197"/>
      <c r="I7" s="197"/>
      <c r="J7" s="198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189"/>
      <c r="B8" s="19" t="s">
        <v>20</v>
      </c>
      <c r="C8" s="53">
        <v>11</v>
      </c>
      <c r="D8" s="16">
        <f t="shared" si="1"/>
        <v>11363</v>
      </c>
      <c r="E8" s="9"/>
      <c r="F8" s="199" t="s">
        <v>21</v>
      </c>
      <c r="G8" s="201" t="s">
        <v>113</v>
      </c>
      <c r="H8" s="202"/>
      <c r="I8" s="202"/>
      <c r="J8" s="203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189"/>
      <c r="B9" s="19" t="s">
        <v>23</v>
      </c>
      <c r="C9" s="53">
        <v>16</v>
      </c>
      <c r="D9" s="16">
        <f t="shared" si="1"/>
        <v>11312</v>
      </c>
      <c r="E9" s="9"/>
      <c r="F9" s="192"/>
      <c r="G9" s="204"/>
      <c r="H9" s="205"/>
      <c r="I9" s="205"/>
      <c r="J9" s="206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189"/>
      <c r="B10" s="11" t="s">
        <v>25</v>
      </c>
      <c r="C10" s="53">
        <v>3</v>
      </c>
      <c r="D10" s="16">
        <f t="shared" si="1"/>
        <v>2916</v>
      </c>
      <c r="E10" s="9"/>
      <c r="F10" s="191" t="s">
        <v>26</v>
      </c>
      <c r="G10" s="207" t="s">
        <v>132</v>
      </c>
      <c r="H10" s="208"/>
      <c r="I10" s="208"/>
      <c r="J10" s="209"/>
      <c r="K10" s="10"/>
      <c r="L10" s="6">
        <f>R36</f>
        <v>972</v>
      </c>
      <c r="P10" s="4"/>
      <c r="Q10" s="4"/>
      <c r="R10" s="5"/>
    </row>
    <row r="11" spans="1:18" ht="15.75" x14ac:dyDescent="0.25">
      <c r="A11" s="189"/>
      <c r="B11" s="20" t="s">
        <v>28</v>
      </c>
      <c r="C11" s="53"/>
      <c r="D11" s="16">
        <f t="shared" si="1"/>
        <v>0</v>
      </c>
      <c r="E11" s="9"/>
      <c r="F11" s="192"/>
      <c r="G11" s="204"/>
      <c r="H11" s="205"/>
      <c r="I11" s="205"/>
      <c r="J11" s="206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89"/>
      <c r="B12" s="20" t="s">
        <v>30</v>
      </c>
      <c r="C12" s="53"/>
      <c r="D12" s="52">
        <f t="shared" si="1"/>
        <v>0</v>
      </c>
      <c r="E12" s="9"/>
      <c r="F12" s="210" t="s">
        <v>33</v>
      </c>
      <c r="G12" s="211"/>
      <c r="H12" s="211"/>
      <c r="I12" s="211"/>
      <c r="J12" s="212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89"/>
      <c r="B13" s="20" t="s">
        <v>32</v>
      </c>
      <c r="C13" s="53">
        <v>22</v>
      </c>
      <c r="D13" s="52">
        <f t="shared" si="1"/>
        <v>6754</v>
      </c>
      <c r="E13" s="9"/>
      <c r="F13" s="213" t="s">
        <v>36</v>
      </c>
      <c r="G13" s="214"/>
      <c r="H13" s="215">
        <f>D29</f>
        <v>362727</v>
      </c>
      <c r="I13" s="216"/>
      <c r="J13" s="217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89"/>
      <c r="B14" s="17" t="s">
        <v>35</v>
      </c>
      <c r="C14" s="53">
        <v>17</v>
      </c>
      <c r="D14" s="34">
        <f t="shared" si="1"/>
        <v>187</v>
      </c>
      <c r="E14" s="9"/>
      <c r="F14" s="218" t="s">
        <v>39</v>
      </c>
      <c r="G14" s="219"/>
      <c r="H14" s="220">
        <f>D54</f>
        <v>43772.75</v>
      </c>
      <c r="I14" s="221"/>
      <c r="J14" s="222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89"/>
      <c r="B15" s="17" t="s">
        <v>38</v>
      </c>
      <c r="C15" s="53"/>
      <c r="D15" s="34">
        <f t="shared" si="1"/>
        <v>0</v>
      </c>
      <c r="E15" s="9"/>
      <c r="F15" s="223" t="s">
        <v>40</v>
      </c>
      <c r="G15" s="214"/>
      <c r="H15" s="224">
        <f>H13-H14</f>
        <v>318954.25</v>
      </c>
      <c r="I15" s="225"/>
      <c r="J15" s="226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89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227">
        <v>1890</v>
      </c>
      <c r="I16" s="227"/>
      <c r="J16" s="22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89"/>
      <c r="B17" s="11" t="s">
        <v>137</v>
      </c>
      <c r="C17" s="53"/>
      <c r="D17" s="52">
        <f t="shared" si="1"/>
        <v>0</v>
      </c>
      <c r="E17" s="9"/>
      <c r="F17" s="62"/>
      <c r="G17" s="74" t="s">
        <v>45</v>
      </c>
      <c r="H17" s="200"/>
      <c r="I17" s="200"/>
      <c r="J17" s="200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89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200"/>
      <c r="I18" s="200"/>
      <c r="J18" s="200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89"/>
      <c r="B19" s="17" t="s">
        <v>140</v>
      </c>
      <c r="C19" s="53"/>
      <c r="D19" s="52">
        <f t="shared" si="1"/>
        <v>0</v>
      </c>
      <c r="E19" s="9"/>
      <c r="F19" s="62"/>
      <c r="G19" s="76" t="s">
        <v>50</v>
      </c>
      <c r="H19" s="200"/>
      <c r="I19" s="200"/>
      <c r="J19" s="200"/>
      <c r="L19" s="6">
        <v>1102</v>
      </c>
      <c r="Q19" s="4"/>
      <c r="R19" s="5">
        <f t="shared" si="0"/>
        <v>0</v>
      </c>
    </row>
    <row r="20" spans="1:18" ht="15.75" x14ac:dyDescent="0.25">
      <c r="A20" s="189"/>
      <c r="B20" s="97" t="s">
        <v>139</v>
      </c>
      <c r="C20" s="53"/>
      <c r="D20" s="16">
        <f t="shared" si="1"/>
        <v>0</v>
      </c>
      <c r="E20" s="9"/>
      <c r="F20" s="63"/>
      <c r="G20" s="78" t="s">
        <v>124</v>
      </c>
      <c r="H20" s="227">
        <v>674</v>
      </c>
      <c r="I20" s="227"/>
      <c r="J20" s="227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89"/>
      <c r="B21" s="17" t="s">
        <v>138</v>
      </c>
      <c r="C21" s="53"/>
      <c r="D21" s="52">
        <f t="shared" si="1"/>
        <v>0</v>
      </c>
      <c r="E21" s="9"/>
      <c r="F21" s="77" t="s">
        <v>99</v>
      </c>
      <c r="G21" s="92" t="s">
        <v>98</v>
      </c>
      <c r="H21" s="246" t="s">
        <v>13</v>
      </c>
      <c r="I21" s="247"/>
      <c r="J21" s="248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89"/>
      <c r="B22" s="50" t="s">
        <v>110</v>
      </c>
      <c r="C22" s="53"/>
      <c r="D22" s="52">
        <f t="shared" si="1"/>
        <v>0</v>
      </c>
      <c r="E22" s="9"/>
      <c r="F22" s="85" t="s">
        <v>143</v>
      </c>
      <c r="G22" s="81">
        <v>2010</v>
      </c>
      <c r="H22" s="249">
        <v>74340</v>
      </c>
      <c r="I22" s="249"/>
      <c r="J22" s="249"/>
      <c r="L22" s="7">
        <v>1142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89"/>
      <c r="B23" s="17" t="s">
        <v>125</v>
      </c>
      <c r="C23" s="53"/>
      <c r="D23" s="52">
        <f t="shared" si="1"/>
        <v>0</v>
      </c>
      <c r="E23" s="9"/>
      <c r="F23" s="85"/>
      <c r="G23" s="87"/>
      <c r="H23" s="250"/>
      <c r="I23" s="251"/>
      <c r="J23" s="251"/>
      <c r="L23" s="51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89"/>
      <c r="B24" s="17" t="s">
        <v>126</v>
      </c>
      <c r="C24" s="53"/>
      <c r="D24" s="52">
        <f t="shared" si="1"/>
        <v>0</v>
      </c>
      <c r="E24" s="9"/>
      <c r="F24" s="85"/>
      <c r="G24" s="87"/>
      <c r="H24" s="250"/>
      <c r="I24" s="251"/>
      <c r="J24" s="251"/>
      <c r="L24" s="51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89"/>
      <c r="B25" s="17" t="s">
        <v>121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52" t="s">
        <v>13</v>
      </c>
      <c r="I25" s="253"/>
      <c r="J25" s="254"/>
      <c r="L25" s="51">
        <f>852/24+1.5</f>
        <v>37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89"/>
      <c r="B26" s="17" t="s">
        <v>112</v>
      </c>
      <c r="C26" s="53"/>
      <c r="D26" s="52">
        <f t="shared" si="1"/>
        <v>0</v>
      </c>
      <c r="E26" s="9"/>
      <c r="F26" s="83"/>
      <c r="G26" s="73"/>
      <c r="H26" s="255"/>
      <c r="I26" s="255"/>
      <c r="J26" s="255"/>
      <c r="L26" s="7">
        <f>500/24+1.5</f>
        <v>22.333333333333332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89"/>
      <c r="B27" s="17" t="s">
        <v>120</v>
      </c>
      <c r="C27" s="53"/>
      <c r="D27" s="48">
        <f t="shared" si="1"/>
        <v>0</v>
      </c>
      <c r="E27" s="9"/>
      <c r="F27" s="79"/>
      <c r="G27" s="123"/>
      <c r="H27" s="256"/>
      <c r="I27" s="257"/>
      <c r="J27" s="257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90"/>
      <c r="B28" s="50" t="s">
        <v>97</v>
      </c>
      <c r="C28" s="53">
        <v>18</v>
      </c>
      <c r="D28" s="52">
        <f t="shared" si="1"/>
        <v>14130</v>
      </c>
      <c r="E28" s="9"/>
      <c r="F28" s="60"/>
      <c r="G28" s="68"/>
      <c r="H28" s="258"/>
      <c r="I28" s="259"/>
      <c r="J28" s="260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28" t="s">
        <v>36</v>
      </c>
      <c r="B29" s="229"/>
      <c r="C29" s="230"/>
      <c r="D29" s="234">
        <f>SUM(D6:D28)</f>
        <v>362727</v>
      </c>
      <c r="E29" s="9"/>
      <c r="F29" s="236" t="s">
        <v>55</v>
      </c>
      <c r="G29" s="237"/>
      <c r="H29" s="240">
        <f>H15-H16-H17-H18-H19-H20-H22-H23-H24+H26+H27+H28</f>
        <v>242050.25</v>
      </c>
      <c r="I29" s="241"/>
      <c r="J29" s="242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231"/>
      <c r="B30" s="232"/>
      <c r="C30" s="233"/>
      <c r="D30" s="235"/>
      <c r="E30" s="9"/>
      <c r="F30" s="238"/>
      <c r="G30" s="239"/>
      <c r="H30" s="243"/>
      <c r="I30" s="244"/>
      <c r="J30" s="245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5" t="s">
        <v>58</v>
      </c>
      <c r="B32" s="176"/>
      <c r="C32" s="176"/>
      <c r="D32" s="177"/>
      <c r="E32" s="11"/>
      <c r="F32" s="261" t="s">
        <v>59</v>
      </c>
      <c r="G32" s="262"/>
      <c r="H32" s="262"/>
      <c r="I32" s="262"/>
      <c r="J32" s="263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21" t="s">
        <v>63</v>
      </c>
      <c r="H33" s="261" t="s">
        <v>13</v>
      </c>
      <c r="I33" s="262"/>
      <c r="J33" s="263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88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44">
        <v>97</v>
      </c>
      <c r="H34" s="264">
        <f t="shared" ref="H34:H39" si="2">F34*G34</f>
        <v>97000</v>
      </c>
      <c r="I34" s="265"/>
      <c r="J34" s="266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89"/>
      <c r="B35" s="30" t="s">
        <v>68</v>
      </c>
      <c r="C35" s="57"/>
      <c r="D35" s="33">
        <f>C35*84</f>
        <v>0</v>
      </c>
      <c r="E35" s="9"/>
      <c r="F35" s="64">
        <v>500</v>
      </c>
      <c r="G35" s="45">
        <v>9</v>
      </c>
      <c r="H35" s="264">
        <f t="shared" si="2"/>
        <v>4500</v>
      </c>
      <c r="I35" s="265"/>
      <c r="J35" s="266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90"/>
      <c r="B36" s="29" t="s">
        <v>70</v>
      </c>
      <c r="C36" s="53">
        <v>22</v>
      </c>
      <c r="D36" s="15">
        <f>C36*1.5</f>
        <v>33</v>
      </c>
      <c r="E36" s="9"/>
      <c r="F36" s="15">
        <v>200</v>
      </c>
      <c r="G36" s="41"/>
      <c r="H36" s="264">
        <f t="shared" si="2"/>
        <v>0</v>
      </c>
      <c r="I36" s="265"/>
      <c r="J36" s="266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88" t="s">
        <v>72</v>
      </c>
      <c r="B37" s="31" t="s">
        <v>66</v>
      </c>
      <c r="C37" s="58">
        <v>326</v>
      </c>
      <c r="D37" s="15">
        <f>C37*111</f>
        <v>36186</v>
      </c>
      <c r="E37" s="9"/>
      <c r="F37" s="15">
        <v>100</v>
      </c>
      <c r="G37" s="43">
        <v>13</v>
      </c>
      <c r="H37" s="264">
        <f t="shared" si="2"/>
        <v>1300</v>
      </c>
      <c r="I37" s="265"/>
      <c r="J37" s="266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89"/>
      <c r="B38" s="32" t="s">
        <v>68</v>
      </c>
      <c r="C38" s="59">
        <v>22</v>
      </c>
      <c r="D38" s="15">
        <f>C38*84</f>
        <v>1848</v>
      </c>
      <c r="E38" s="9"/>
      <c r="F38" s="33">
        <v>50</v>
      </c>
      <c r="G38" s="43">
        <v>2</v>
      </c>
      <c r="H38" s="264">
        <f t="shared" si="2"/>
        <v>100</v>
      </c>
      <c r="I38" s="265"/>
      <c r="J38" s="266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90"/>
      <c r="B39" s="32" t="s">
        <v>70</v>
      </c>
      <c r="C39" s="57">
        <v>7</v>
      </c>
      <c r="D39" s="34">
        <f>C39*4.5</f>
        <v>31.5</v>
      </c>
      <c r="E39" s="9"/>
      <c r="F39" s="15">
        <v>20</v>
      </c>
      <c r="G39" s="41">
        <v>8</v>
      </c>
      <c r="H39" s="264">
        <f t="shared" si="2"/>
        <v>160</v>
      </c>
      <c r="I39" s="265"/>
      <c r="J39" s="266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88" t="s">
        <v>76</v>
      </c>
      <c r="B40" s="30" t="s">
        <v>66</v>
      </c>
      <c r="C40" s="70">
        <v>9</v>
      </c>
      <c r="D40" s="15">
        <f>C40*111</f>
        <v>999</v>
      </c>
      <c r="E40" s="9"/>
      <c r="F40" s="15">
        <v>10</v>
      </c>
      <c r="G40" s="46"/>
      <c r="H40" s="264"/>
      <c r="I40" s="265"/>
      <c r="J40" s="266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89"/>
      <c r="B41" s="30" t="s">
        <v>68</v>
      </c>
      <c r="C41" s="53">
        <v>2</v>
      </c>
      <c r="D41" s="15">
        <f>C41*84</f>
        <v>168</v>
      </c>
      <c r="E41" s="9"/>
      <c r="F41" s="15">
        <v>5</v>
      </c>
      <c r="G41" s="46"/>
      <c r="H41" s="264"/>
      <c r="I41" s="265"/>
      <c r="J41" s="266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90"/>
      <c r="B42" s="30" t="s">
        <v>70</v>
      </c>
      <c r="C42" s="71">
        <v>9</v>
      </c>
      <c r="D42" s="15">
        <f>C42*2.25</f>
        <v>20.25</v>
      </c>
      <c r="E42" s="9"/>
      <c r="F42" s="43" t="s">
        <v>79</v>
      </c>
      <c r="G42" s="264">
        <v>1624</v>
      </c>
      <c r="H42" s="265"/>
      <c r="I42" s="265"/>
      <c r="J42" s="266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67" t="s">
        <v>81</v>
      </c>
      <c r="C43" s="71"/>
      <c r="D43" s="15"/>
      <c r="E43" s="9"/>
      <c r="F43" s="65" t="s">
        <v>82</v>
      </c>
      <c r="G43" s="123" t="s">
        <v>83</v>
      </c>
      <c r="H43" s="270" t="s">
        <v>13</v>
      </c>
      <c r="I43" s="271"/>
      <c r="J43" s="272"/>
      <c r="K43" s="24"/>
      <c r="O43" t="s">
        <v>103</v>
      </c>
      <c r="P43" s="4">
        <v>1667</v>
      </c>
      <c r="Q43" s="4"/>
      <c r="R43" s="5"/>
    </row>
    <row r="44" spans="1:18" ht="15.75" x14ac:dyDescent="0.25">
      <c r="A44" s="268"/>
      <c r="B44" s="30" t="s">
        <v>66</v>
      </c>
      <c r="C44" s="53">
        <v>13</v>
      </c>
      <c r="D44" s="15">
        <f>C44*120</f>
        <v>1560</v>
      </c>
      <c r="E44" s="9"/>
      <c r="F44" s="41" t="s">
        <v>148</v>
      </c>
      <c r="G44" s="69" t="s">
        <v>172</v>
      </c>
      <c r="H44" s="255">
        <v>136814</v>
      </c>
      <c r="I44" s="255"/>
      <c r="J44" s="255"/>
      <c r="K44" s="24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268"/>
      <c r="B45" s="30" t="s">
        <v>68</v>
      </c>
      <c r="C45" s="90">
        <v>1</v>
      </c>
      <c r="D45" s="15">
        <f>C45*84</f>
        <v>84</v>
      </c>
      <c r="E45" s="9"/>
      <c r="F45" s="41"/>
      <c r="G45" s="69"/>
      <c r="H45" s="255"/>
      <c r="I45" s="255"/>
      <c r="J45" s="255"/>
      <c r="K45" s="24"/>
      <c r="P45" s="4"/>
      <c r="Q45" s="4"/>
      <c r="R45" s="5"/>
    </row>
    <row r="46" spans="1:18" ht="15.75" x14ac:dyDescent="0.25">
      <c r="A46" s="268"/>
      <c r="B46" s="54" t="s">
        <v>70</v>
      </c>
      <c r="C46" s="91">
        <v>13</v>
      </c>
      <c r="D46" s="15">
        <f>C46*1.5</f>
        <v>19.5</v>
      </c>
      <c r="E46" s="9"/>
      <c r="F46" s="41"/>
      <c r="G46" s="69"/>
      <c r="H46" s="255"/>
      <c r="I46" s="255"/>
      <c r="J46" s="255"/>
      <c r="K46" s="24"/>
      <c r="P46" s="4"/>
      <c r="Q46" s="4"/>
      <c r="R46" s="5"/>
    </row>
    <row r="47" spans="1:18" ht="15.75" x14ac:dyDescent="0.25">
      <c r="A47" s="269"/>
      <c r="B47" s="30"/>
      <c r="C47" s="71"/>
      <c r="D47" s="15"/>
      <c r="E47" s="9"/>
      <c r="F47" s="65"/>
      <c r="G47" s="65"/>
      <c r="H47" s="273"/>
      <c r="I47" s="274"/>
      <c r="J47" s="275"/>
      <c r="K47" s="24"/>
      <c r="P47" s="4"/>
      <c r="Q47" s="4"/>
      <c r="R47" s="5"/>
    </row>
    <row r="48" spans="1:18" ht="15" customHeight="1" x14ac:dyDescent="0.25">
      <c r="A48" s="267" t="s">
        <v>32</v>
      </c>
      <c r="B48" s="30" t="s">
        <v>66</v>
      </c>
      <c r="C48" s="53">
        <v>1</v>
      </c>
      <c r="D48" s="15">
        <f>C48*78</f>
        <v>78</v>
      </c>
      <c r="E48" s="9"/>
      <c r="F48" s="65"/>
      <c r="G48" s="65"/>
      <c r="H48" s="273"/>
      <c r="I48" s="274"/>
      <c r="J48" s="275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68"/>
      <c r="B49" s="32" t="s">
        <v>68</v>
      </c>
      <c r="C49" s="90">
        <v>1</v>
      </c>
      <c r="D49" s="15">
        <f>C49*42</f>
        <v>42</v>
      </c>
      <c r="E49" s="9"/>
      <c r="F49" s="288" t="s">
        <v>86</v>
      </c>
      <c r="G49" s="240">
        <f>H34+H35+H36+H37+H38+H39+H40+H41+G42+H44+H45+H46</f>
        <v>241498</v>
      </c>
      <c r="H49" s="241"/>
      <c r="I49" s="241"/>
      <c r="J49" s="242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68"/>
      <c r="B50" s="35" t="s">
        <v>70</v>
      </c>
      <c r="C50" s="71">
        <v>13</v>
      </c>
      <c r="D50" s="15">
        <f>C50*1.5</f>
        <v>19.5</v>
      </c>
      <c r="E50" s="9"/>
      <c r="F50" s="289"/>
      <c r="G50" s="243"/>
      <c r="H50" s="244"/>
      <c r="I50" s="244"/>
      <c r="J50" s="245"/>
      <c r="K50" s="9"/>
      <c r="P50" s="4"/>
      <c r="Q50" s="4"/>
      <c r="R50" s="5"/>
    </row>
    <row r="51" spans="1:18" ht="15" customHeight="1" x14ac:dyDescent="0.25">
      <c r="A51" s="268"/>
      <c r="B51" s="30"/>
      <c r="C51" s="13"/>
      <c r="D51" s="34"/>
      <c r="E51" s="9"/>
      <c r="F51" s="290" t="s">
        <v>135</v>
      </c>
      <c r="G51" s="292">
        <f>G49-H29</f>
        <v>-552.25</v>
      </c>
      <c r="H51" s="293"/>
      <c r="I51" s="293"/>
      <c r="J51" s="294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68"/>
      <c r="B52" s="32" t="s">
        <v>137</v>
      </c>
      <c r="C52" s="139" t="s">
        <v>182</v>
      </c>
      <c r="D52" s="49">
        <v>1582</v>
      </c>
      <c r="E52" s="9"/>
      <c r="F52" s="291"/>
      <c r="G52" s="295"/>
      <c r="H52" s="296"/>
      <c r="I52" s="296"/>
      <c r="J52" s="297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69"/>
      <c r="B53" s="35" t="s">
        <v>96</v>
      </c>
      <c r="C53" s="139" t="s">
        <v>182</v>
      </c>
      <c r="D53" s="15">
        <v>1102</v>
      </c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236" t="s">
        <v>90</v>
      </c>
      <c r="B54" s="276"/>
      <c r="C54" s="277"/>
      <c r="D54" s="280">
        <f>SUM(D34:D53)</f>
        <v>43772.75</v>
      </c>
      <c r="E54" s="9"/>
      <c r="F54" s="24"/>
      <c r="G54" s="9"/>
      <c r="H54" s="9"/>
      <c r="I54" s="9"/>
      <c r="J54" s="37"/>
      <c r="O54" t="s">
        <v>102</v>
      </c>
      <c r="P54" s="4">
        <v>1582</v>
      </c>
      <c r="R54" s="3">
        <v>1582</v>
      </c>
    </row>
    <row r="55" spans="1:18" x14ac:dyDescent="0.25">
      <c r="A55" s="238"/>
      <c r="B55" s="278"/>
      <c r="C55" s="279"/>
      <c r="D55" s="281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129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282" t="s">
        <v>91</v>
      </c>
      <c r="B58" s="283"/>
      <c r="C58" s="283"/>
      <c r="D58" s="284"/>
      <c r="E58" s="9"/>
      <c r="F58" s="282" t="s">
        <v>92</v>
      </c>
      <c r="G58" s="283"/>
      <c r="H58" s="283"/>
      <c r="I58" s="283"/>
      <c r="J58" s="284"/>
    </row>
    <row r="59" spans="1:18" x14ac:dyDescent="0.25">
      <c r="A59" s="285"/>
      <c r="B59" s="286"/>
      <c r="C59" s="286"/>
      <c r="D59" s="287"/>
      <c r="E59" s="9"/>
      <c r="F59" s="285"/>
      <c r="G59" s="286"/>
      <c r="H59" s="286"/>
      <c r="I59" s="286"/>
      <c r="J59" s="287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23E05-98DD-4837-8BA5-6AB9DA217EDA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174" t="s">
        <v>1</v>
      </c>
      <c r="O1" s="174"/>
      <c r="P1" s="120" t="s">
        <v>2</v>
      </c>
      <c r="Q1" s="120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75" t="s">
        <v>7</v>
      </c>
      <c r="B4" s="176"/>
      <c r="C4" s="176"/>
      <c r="D4" s="177"/>
      <c r="E4" s="9"/>
      <c r="F4" s="178" t="s">
        <v>8</v>
      </c>
      <c r="G4" s="180">
        <v>2</v>
      </c>
      <c r="H4" s="182" t="s">
        <v>9</v>
      </c>
      <c r="I4" s="184">
        <v>45786</v>
      </c>
      <c r="J4" s="185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88" t="s">
        <v>7</v>
      </c>
      <c r="B5" s="18" t="s">
        <v>11</v>
      </c>
      <c r="C5" s="12" t="s">
        <v>12</v>
      </c>
      <c r="D5" s="28" t="s">
        <v>13</v>
      </c>
      <c r="E5" s="9"/>
      <c r="F5" s="179"/>
      <c r="G5" s="181"/>
      <c r="H5" s="183"/>
      <c r="I5" s="186"/>
      <c r="J5" s="187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89"/>
      <c r="B6" s="19" t="s">
        <v>15</v>
      </c>
      <c r="C6" s="53">
        <v>196</v>
      </c>
      <c r="D6" s="16">
        <f t="shared" ref="D6:D28" si="1">C6*L6</f>
        <v>144452</v>
      </c>
      <c r="E6" s="9"/>
      <c r="F6" s="191" t="s">
        <v>16</v>
      </c>
      <c r="G6" s="193" t="s">
        <v>127</v>
      </c>
      <c r="H6" s="194"/>
      <c r="I6" s="194"/>
      <c r="J6" s="195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89"/>
      <c r="B7" s="19" t="s">
        <v>18</v>
      </c>
      <c r="C7" s="53">
        <v>4</v>
      </c>
      <c r="D7" s="16">
        <f t="shared" si="1"/>
        <v>2900</v>
      </c>
      <c r="E7" s="9"/>
      <c r="F7" s="192"/>
      <c r="G7" s="196"/>
      <c r="H7" s="197"/>
      <c r="I7" s="197"/>
      <c r="J7" s="198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189"/>
      <c r="B8" s="19" t="s">
        <v>20</v>
      </c>
      <c r="C8" s="53"/>
      <c r="D8" s="16">
        <f t="shared" si="1"/>
        <v>0</v>
      </c>
      <c r="E8" s="9"/>
      <c r="F8" s="199" t="s">
        <v>21</v>
      </c>
      <c r="G8" s="201" t="s">
        <v>115</v>
      </c>
      <c r="H8" s="202"/>
      <c r="I8" s="202"/>
      <c r="J8" s="203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189"/>
      <c r="B9" s="19" t="s">
        <v>23</v>
      </c>
      <c r="C9" s="53">
        <v>14</v>
      </c>
      <c r="D9" s="16">
        <f t="shared" si="1"/>
        <v>9898</v>
      </c>
      <c r="E9" s="9"/>
      <c r="F9" s="192"/>
      <c r="G9" s="204"/>
      <c r="H9" s="205"/>
      <c r="I9" s="205"/>
      <c r="J9" s="206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189"/>
      <c r="B10" s="11" t="s">
        <v>25</v>
      </c>
      <c r="C10" s="53"/>
      <c r="D10" s="16">
        <f t="shared" si="1"/>
        <v>0</v>
      </c>
      <c r="E10" s="9"/>
      <c r="F10" s="191" t="s">
        <v>26</v>
      </c>
      <c r="G10" s="207" t="s">
        <v>116</v>
      </c>
      <c r="H10" s="208"/>
      <c r="I10" s="208"/>
      <c r="J10" s="209"/>
      <c r="K10" s="10"/>
      <c r="L10" s="6">
        <f>R36</f>
        <v>972</v>
      </c>
      <c r="P10" s="4"/>
      <c r="Q10" s="4"/>
      <c r="R10" s="5"/>
    </row>
    <row r="11" spans="1:18" ht="15.75" x14ac:dyDescent="0.25">
      <c r="A11" s="189"/>
      <c r="B11" s="20" t="s">
        <v>28</v>
      </c>
      <c r="C11" s="53"/>
      <c r="D11" s="16">
        <f t="shared" si="1"/>
        <v>0</v>
      </c>
      <c r="E11" s="9"/>
      <c r="F11" s="192"/>
      <c r="G11" s="204"/>
      <c r="H11" s="205"/>
      <c r="I11" s="205"/>
      <c r="J11" s="206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89"/>
      <c r="B12" s="20" t="s">
        <v>30</v>
      </c>
      <c r="C12" s="53"/>
      <c r="D12" s="52">
        <f t="shared" si="1"/>
        <v>0</v>
      </c>
      <c r="E12" s="9"/>
      <c r="F12" s="210" t="s">
        <v>33</v>
      </c>
      <c r="G12" s="211"/>
      <c r="H12" s="211"/>
      <c r="I12" s="211"/>
      <c r="J12" s="212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89"/>
      <c r="B13" s="20" t="s">
        <v>32</v>
      </c>
      <c r="C13" s="53">
        <v>10</v>
      </c>
      <c r="D13" s="52">
        <f t="shared" si="1"/>
        <v>3070</v>
      </c>
      <c r="E13" s="9"/>
      <c r="F13" s="213" t="s">
        <v>36</v>
      </c>
      <c r="G13" s="214"/>
      <c r="H13" s="215">
        <f>D29</f>
        <v>160813.33333333334</v>
      </c>
      <c r="I13" s="216"/>
      <c r="J13" s="217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89"/>
      <c r="B14" s="17" t="s">
        <v>35</v>
      </c>
      <c r="C14" s="53">
        <v>4</v>
      </c>
      <c r="D14" s="34">
        <f t="shared" si="1"/>
        <v>44</v>
      </c>
      <c r="E14" s="9"/>
      <c r="F14" s="218" t="s">
        <v>39</v>
      </c>
      <c r="G14" s="219"/>
      <c r="H14" s="220">
        <f>D54</f>
        <v>22901.25</v>
      </c>
      <c r="I14" s="221"/>
      <c r="J14" s="222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89"/>
      <c r="B15" s="17" t="s">
        <v>38</v>
      </c>
      <c r="C15" s="53"/>
      <c r="D15" s="34">
        <f t="shared" si="1"/>
        <v>0</v>
      </c>
      <c r="E15" s="9"/>
      <c r="F15" s="223" t="s">
        <v>40</v>
      </c>
      <c r="G15" s="214"/>
      <c r="H15" s="224">
        <f>H13-H14</f>
        <v>137912.08333333334</v>
      </c>
      <c r="I15" s="225"/>
      <c r="J15" s="226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89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227"/>
      <c r="I16" s="227"/>
      <c r="J16" s="22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89"/>
      <c r="B17" s="11" t="s">
        <v>93</v>
      </c>
      <c r="C17" s="53"/>
      <c r="D17" s="52">
        <f t="shared" si="1"/>
        <v>0</v>
      </c>
      <c r="E17" s="9"/>
      <c r="F17" s="62"/>
      <c r="G17" s="74" t="s">
        <v>45</v>
      </c>
      <c r="H17" s="200"/>
      <c r="I17" s="200"/>
      <c r="J17" s="200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89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200"/>
      <c r="I18" s="200"/>
      <c r="J18" s="200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89"/>
      <c r="B19" s="17" t="s">
        <v>96</v>
      </c>
      <c r="C19" s="53"/>
      <c r="D19" s="52">
        <f t="shared" si="1"/>
        <v>0</v>
      </c>
      <c r="E19" s="9"/>
      <c r="F19" s="62"/>
      <c r="G19" s="76" t="s">
        <v>50</v>
      </c>
      <c r="H19" s="298"/>
      <c r="I19" s="298"/>
      <c r="J19" s="298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89"/>
      <c r="B20" s="50" t="s">
        <v>131</v>
      </c>
      <c r="C20" s="53"/>
      <c r="D20" s="16">
        <f t="shared" si="1"/>
        <v>0</v>
      </c>
      <c r="E20" s="9"/>
      <c r="F20" s="63"/>
      <c r="G20" s="78" t="s">
        <v>124</v>
      </c>
      <c r="H20" s="227">
        <v>3130</v>
      </c>
      <c r="I20" s="227"/>
      <c r="J20" s="227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89"/>
      <c r="B21" s="17" t="s">
        <v>130</v>
      </c>
      <c r="C21" s="53"/>
      <c r="D21" s="52">
        <f t="shared" si="1"/>
        <v>0</v>
      </c>
      <c r="E21" s="9"/>
      <c r="F21" s="77" t="s">
        <v>99</v>
      </c>
      <c r="G21" s="92" t="s">
        <v>98</v>
      </c>
      <c r="H21" s="246" t="s">
        <v>13</v>
      </c>
      <c r="I21" s="247"/>
      <c r="J21" s="248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89"/>
      <c r="B22" s="50" t="s">
        <v>104</v>
      </c>
      <c r="C22" s="53"/>
      <c r="D22" s="52">
        <f t="shared" si="1"/>
        <v>0</v>
      </c>
      <c r="E22" s="9"/>
      <c r="F22" s="80"/>
      <c r="G22" s="81"/>
      <c r="H22" s="249"/>
      <c r="I22" s="249"/>
      <c r="J22" s="249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89"/>
      <c r="B23" s="17" t="s">
        <v>107</v>
      </c>
      <c r="C23" s="53"/>
      <c r="D23" s="52">
        <f t="shared" si="1"/>
        <v>0</v>
      </c>
      <c r="E23" s="9"/>
      <c r="F23" s="28"/>
      <c r="G23" s="41"/>
      <c r="H23" s="299"/>
      <c r="I23" s="255"/>
      <c r="J23" s="255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89"/>
      <c r="B24" s="17" t="s">
        <v>133</v>
      </c>
      <c r="C24" s="53"/>
      <c r="D24" s="52">
        <f t="shared" si="1"/>
        <v>0</v>
      </c>
      <c r="E24" s="9"/>
      <c r="F24" s="42"/>
      <c r="G24" s="41"/>
      <c r="H24" s="299"/>
      <c r="I24" s="255"/>
      <c r="J24" s="255"/>
      <c r="L24" s="51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89"/>
      <c r="B25" s="17" t="s">
        <v>134</v>
      </c>
      <c r="C25" s="53">
        <v>4</v>
      </c>
      <c r="D25" s="52">
        <f t="shared" si="1"/>
        <v>449.33333333333331</v>
      </c>
      <c r="E25" s="9"/>
      <c r="F25" s="66" t="s">
        <v>100</v>
      </c>
      <c r="G25" s="61" t="s">
        <v>98</v>
      </c>
      <c r="H25" s="252" t="s">
        <v>13</v>
      </c>
      <c r="I25" s="253"/>
      <c r="J25" s="254"/>
      <c r="L25" s="51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89"/>
      <c r="B26" s="17" t="s">
        <v>105</v>
      </c>
      <c r="C26" s="53"/>
      <c r="D26" s="52">
        <f t="shared" si="1"/>
        <v>0</v>
      </c>
      <c r="E26" s="9"/>
      <c r="F26" s="72"/>
      <c r="G26" s="13"/>
      <c r="H26" s="300"/>
      <c r="I26" s="301"/>
      <c r="J26" s="302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89"/>
      <c r="B27" s="17" t="s">
        <v>109</v>
      </c>
      <c r="C27" s="53"/>
      <c r="D27" s="48">
        <f t="shared" si="1"/>
        <v>0</v>
      </c>
      <c r="E27" s="9"/>
      <c r="F27" s="67"/>
      <c r="G27" s="67"/>
      <c r="H27" s="303"/>
      <c r="I27" s="304"/>
      <c r="J27" s="305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90"/>
      <c r="B28" s="50" t="s">
        <v>97</v>
      </c>
      <c r="C28" s="53"/>
      <c r="D28" s="52">
        <f t="shared" si="1"/>
        <v>0</v>
      </c>
      <c r="E28" s="9"/>
      <c r="F28" s="60"/>
      <c r="G28" s="68"/>
      <c r="H28" s="258"/>
      <c r="I28" s="259"/>
      <c r="J28" s="260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28" t="s">
        <v>36</v>
      </c>
      <c r="B29" s="229"/>
      <c r="C29" s="230"/>
      <c r="D29" s="234">
        <f>SUM(D6:D28)</f>
        <v>160813.33333333334</v>
      </c>
      <c r="E29" s="9"/>
      <c r="F29" s="236" t="s">
        <v>55</v>
      </c>
      <c r="G29" s="237"/>
      <c r="H29" s="240">
        <f>H15-H16-H17-H18-H19-H20-H22-H23-H24+H26+H27</f>
        <v>134782.08333333334</v>
      </c>
      <c r="I29" s="241"/>
      <c r="J29" s="242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231"/>
      <c r="B30" s="232"/>
      <c r="C30" s="233"/>
      <c r="D30" s="235"/>
      <c r="E30" s="9"/>
      <c r="F30" s="238"/>
      <c r="G30" s="239"/>
      <c r="H30" s="243"/>
      <c r="I30" s="244"/>
      <c r="J30" s="245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5" t="s">
        <v>58</v>
      </c>
      <c r="B32" s="176"/>
      <c r="C32" s="176"/>
      <c r="D32" s="177"/>
      <c r="E32" s="11"/>
      <c r="F32" s="261" t="s">
        <v>59</v>
      </c>
      <c r="G32" s="262"/>
      <c r="H32" s="262"/>
      <c r="I32" s="262"/>
      <c r="J32" s="263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21" t="s">
        <v>63</v>
      </c>
      <c r="H33" s="261" t="s">
        <v>13</v>
      </c>
      <c r="I33" s="262"/>
      <c r="J33" s="263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88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82">
        <v>107</v>
      </c>
      <c r="H34" s="264">
        <f>F34*G34</f>
        <v>107000</v>
      </c>
      <c r="I34" s="265"/>
      <c r="J34" s="266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89"/>
      <c r="B35" s="30" t="s">
        <v>68</v>
      </c>
      <c r="C35" s="57"/>
      <c r="D35" s="33">
        <f>C35*84</f>
        <v>0</v>
      </c>
      <c r="E35" s="9"/>
      <c r="F35" s="64">
        <v>500</v>
      </c>
      <c r="G35" s="45">
        <v>19</v>
      </c>
      <c r="H35" s="264">
        <f t="shared" ref="H35:H39" si="2">F35*G35</f>
        <v>9500</v>
      </c>
      <c r="I35" s="265"/>
      <c r="J35" s="266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90"/>
      <c r="B36" s="29" t="s">
        <v>70</v>
      </c>
      <c r="C36" s="53">
        <v>4</v>
      </c>
      <c r="D36" s="15">
        <f>C36*1.5</f>
        <v>6</v>
      </c>
      <c r="E36" s="9"/>
      <c r="F36" s="15">
        <v>200</v>
      </c>
      <c r="G36" s="41">
        <v>4</v>
      </c>
      <c r="H36" s="264">
        <f t="shared" si="2"/>
        <v>800</v>
      </c>
      <c r="I36" s="265"/>
      <c r="J36" s="266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88" t="s">
        <v>72</v>
      </c>
      <c r="B37" s="31" t="s">
        <v>66</v>
      </c>
      <c r="C37" s="58">
        <v>183</v>
      </c>
      <c r="D37" s="15">
        <f>C37*111</f>
        <v>20313</v>
      </c>
      <c r="E37" s="9"/>
      <c r="F37" s="15">
        <v>100</v>
      </c>
      <c r="G37" s="43">
        <v>23</v>
      </c>
      <c r="H37" s="264">
        <f t="shared" si="2"/>
        <v>2300</v>
      </c>
      <c r="I37" s="265"/>
      <c r="J37" s="266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89"/>
      <c r="B38" s="32" t="s">
        <v>68</v>
      </c>
      <c r="C38" s="59">
        <v>19</v>
      </c>
      <c r="D38" s="15">
        <f>C38*84</f>
        <v>1596</v>
      </c>
      <c r="E38" s="9"/>
      <c r="F38" s="33">
        <v>50</v>
      </c>
      <c r="G38" s="43"/>
      <c r="H38" s="264">
        <f t="shared" si="2"/>
        <v>0</v>
      </c>
      <c r="I38" s="265"/>
      <c r="J38" s="266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90"/>
      <c r="B39" s="32" t="s">
        <v>70</v>
      </c>
      <c r="C39" s="57">
        <v>4</v>
      </c>
      <c r="D39" s="34">
        <f>C39*4.5</f>
        <v>18</v>
      </c>
      <c r="E39" s="9"/>
      <c r="F39" s="15">
        <v>20</v>
      </c>
      <c r="G39" s="41"/>
      <c r="H39" s="264">
        <f t="shared" si="2"/>
        <v>0</v>
      </c>
      <c r="I39" s="265"/>
      <c r="J39" s="266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88" t="s">
        <v>76</v>
      </c>
      <c r="B40" s="30" t="s">
        <v>66</v>
      </c>
      <c r="C40" s="70">
        <v>4</v>
      </c>
      <c r="D40" s="15">
        <f>C40*111</f>
        <v>444</v>
      </c>
      <c r="E40" s="9"/>
      <c r="F40" s="15">
        <v>10</v>
      </c>
      <c r="G40" s="46"/>
      <c r="H40" s="264"/>
      <c r="I40" s="265"/>
      <c r="J40" s="266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89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264"/>
      <c r="I41" s="265"/>
      <c r="J41" s="266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90"/>
      <c r="B42" s="30" t="s">
        <v>70</v>
      </c>
      <c r="C42" s="71">
        <v>3</v>
      </c>
      <c r="D42" s="15">
        <f>C42*2.25</f>
        <v>6.75</v>
      </c>
      <c r="E42" s="9"/>
      <c r="F42" s="43" t="s">
        <v>79</v>
      </c>
      <c r="G42" s="264">
        <v>86</v>
      </c>
      <c r="H42" s="265"/>
      <c r="I42" s="265"/>
      <c r="J42" s="266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67" t="s">
        <v>81</v>
      </c>
      <c r="C43" s="71"/>
      <c r="D43" s="15"/>
      <c r="E43" s="9"/>
      <c r="F43" s="65" t="s">
        <v>82</v>
      </c>
      <c r="G43" s="123" t="s">
        <v>83</v>
      </c>
      <c r="H43" s="270" t="s">
        <v>13</v>
      </c>
      <c r="I43" s="271"/>
      <c r="J43" s="272"/>
      <c r="K43" s="24"/>
      <c r="P43" s="4"/>
      <c r="Q43" s="4"/>
      <c r="R43" s="5"/>
    </row>
    <row r="44" spans="1:18" ht="15.75" x14ac:dyDescent="0.25">
      <c r="A44" s="268"/>
      <c r="B44" s="30" t="s">
        <v>66</v>
      </c>
      <c r="C44" s="53"/>
      <c r="D44" s="15">
        <f>C44*120</f>
        <v>0</v>
      </c>
      <c r="E44" s="9"/>
      <c r="F44" s="41" t="s">
        <v>148</v>
      </c>
      <c r="G44" s="69" t="s">
        <v>171</v>
      </c>
      <c r="H44" s="255">
        <v>13886</v>
      </c>
      <c r="I44" s="255"/>
      <c r="J44" s="255"/>
      <c r="K44" s="24"/>
      <c r="P44" s="4"/>
      <c r="Q44" s="4"/>
      <c r="R44" s="5"/>
    </row>
    <row r="45" spans="1:18" ht="15.75" x14ac:dyDescent="0.25">
      <c r="A45" s="268"/>
      <c r="B45" s="30" t="s">
        <v>68</v>
      </c>
      <c r="C45" s="90"/>
      <c r="D45" s="15">
        <f>C45*84</f>
        <v>0</v>
      </c>
      <c r="E45" s="9"/>
      <c r="F45" s="41"/>
      <c r="G45" s="69"/>
      <c r="H45" s="255"/>
      <c r="I45" s="255"/>
      <c r="J45" s="255"/>
      <c r="K45" s="24"/>
      <c r="P45" s="4"/>
      <c r="Q45" s="4"/>
      <c r="R45" s="5"/>
    </row>
    <row r="46" spans="1:18" ht="15.75" x14ac:dyDescent="0.25">
      <c r="A46" s="268"/>
      <c r="B46" s="54" t="s">
        <v>70</v>
      </c>
      <c r="C46" s="91"/>
      <c r="D46" s="15">
        <f>C46*1.5</f>
        <v>0</v>
      </c>
      <c r="E46" s="9"/>
      <c r="F46" s="41"/>
      <c r="G46" s="122"/>
      <c r="H46" s="306"/>
      <c r="I46" s="306"/>
      <c r="J46" s="306"/>
      <c r="K46" s="24"/>
      <c r="P46" s="4"/>
      <c r="Q46" s="4"/>
      <c r="R46" s="5"/>
    </row>
    <row r="47" spans="1:18" ht="15.75" x14ac:dyDescent="0.25">
      <c r="A47" s="269"/>
      <c r="B47" s="30"/>
      <c r="C47" s="71"/>
      <c r="D47" s="15"/>
      <c r="E47" s="9"/>
      <c r="F47" s="65"/>
      <c r="G47" s="65"/>
      <c r="H47" s="273"/>
      <c r="I47" s="274"/>
      <c r="J47" s="275"/>
      <c r="K47" s="24"/>
      <c r="P47" s="4"/>
      <c r="Q47" s="4"/>
      <c r="R47" s="5"/>
    </row>
    <row r="48" spans="1:18" ht="15" customHeight="1" x14ac:dyDescent="0.25">
      <c r="A48" s="267" t="s">
        <v>32</v>
      </c>
      <c r="B48" s="30" t="s">
        <v>66</v>
      </c>
      <c r="C48" s="53">
        <v>2</v>
      </c>
      <c r="D48" s="15">
        <f>C48*78</f>
        <v>156</v>
      </c>
      <c r="E48" s="9"/>
      <c r="F48" s="65"/>
      <c r="G48" s="65"/>
      <c r="H48" s="273"/>
      <c r="I48" s="274"/>
      <c r="J48" s="275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68"/>
      <c r="B49" s="32" t="s">
        <v>68</v>
      </c>
      <c r="C49" s="90">
        <v>8</v>
      </c>
      <c r="D49" s="15">
        <f>C49*42</f>
        <v>336</v>
      </c>
      <c r="E49" s="9"/>
      <c r="F49" s="288" t="s">
        <v>86</v>
      </c>
      <c r="G49" s="240">
        <f>H34+H35+H36+H37+H38+H39+H40+H41+G42+H44+H45+H46</f>
        <v>133572</v>
      </c>
      <c r="H49" s="241"/>
      <c r="I49" s="241"/>
      <c r="J49" s="242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68"/>
      <c r="B50" s="35" t="s">
        <v>70</v>
      </c>
      <c r="C50" s="71">
        <v>17</v>
      </c>
      <c r="D50" s="15">
        <f>C50*1.5</f>
        <v>25.5</v>
      </c>
      <c r="E50" s="9"/>
      <c r="F50" s="289"/>
      <c r="G50" s="243"/>
      <c r="H50" s="244"/>
      <c r="I50" s="244"/>
      <c r="J50" s="245"/>
      <c r="K50" s="9"/>
      <c r="P50" s="4"/>
      <c r="Q50" s="4"/>
      <c r="R50" s="5"/>
    </row>
    <row r="51" spans="1:18" ht="15" customHeight="1" x14ac:dyDescent="0.25">
      <c r="A51" s="268"/>
      <c r="B51" s="30"/>
      <c r="C51" s="13"/>
      <c r="D51" s="34"/>
      <c r="E51" s="9"/>
      <c r="F51" s="290" t="s">
        <v>157</v>
      </c>
      <c r="G51" s="314">
        <f>G49-H29</f>
        <v>-1210.083333333343</v>
      </c>
      <c r="H51" s="315"/>
      <c r="I51" s="315"/>
      <c r="J51" s="316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68"/>
      <c r="B52" s="32"/>
      <c r="C52" s="36"/>
      <c r="D52" s="49"/>
      <c r="E52" s="9"/>
      <c r="F52" s="291"/>
      <c r="G52" s="317"/>
      <c r="H52" s="318"/>
      <c r="I52" s="318"/>
      <c r="J52" s="319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69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236" t="s">
        <v>90</v>
      </c>
      <c r="B54" s="276"/>
      <c r="C54" s="277"/>
      <c r="D54" s="280">
        <f>SUM(D34:D53)</f>
        <v>22901.25</v>
      </c>
      <c r="E54" s="9"/>
      <c r="F54" s="24"/>
      <c r="G54" s="9"/>
      <c r="H54" s="9"/>
      <c r="I54" s="9"/>
      <c r="J54" s="37"/>
    </row>
    <row r="55" spans="1:18" x14ac:dyDescent="0.25">
      <c r="A55" s="238"/>
      <c r="B55" s="278"/>
      <c r="C55" s="279"/>
      <c r="D55" s="281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136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282" t="s">
        <v>91</v>
      </c>
      <c r="B58" s="283"/>
      <c r="C58" s="283"/>
      <c r="D58" s="284"/>
      <c r="E58" s="9"/>
      <c r="F58" s="282" t="s">
        <v>92</v>
      </c>
      <c r="G58" s="283"/>
      <c r="H58" s="283"/>
      <c r="I58" s="283"/>
      <c r="J58" s="284"/>
    </row>
    <row r="59" spans="1:18" x14ac:dyDescent="0.25">
      <c r="A59" s="285"/>
      <c r="B59" s="286"/>
      <c r="C59" s="286"/>
      <c r="D59" s="287"/>
      <c r="E59" s="9"/>
      <c r="F59" s="285"/>
      <c r="G59" s="286"/>
      <c r="H59" s="286"/>
      <c r="I59" s="286"/>
      <c r="J59" s="287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EAA35-4B21-4A0E-B95E-F1CDC160EA09}">
  <dimension ref="A1:S59"/>
  <sheetViews>
    <sheetView topLeftCell="A19"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s="8" t="s">
        <v>0</v>
      </c>
      <c r="B1" s="8"/>
      <c r="C1" s="8"/>
      <c r="D1" s="8"/>
      <c r="N1" s="174" t="s">
        <v>1</v>
      </c>
      <c r="O1" s="174"/>
      <c r="P1" s="120" t="s">
        <v>2</v>
      </c>
      <c r="Q1" s="120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75" t="s">
        <v>7</v>
      </c>
      <c r="B4" s="176"/>
      <c r="C4" s="176"/>
      <c r="D4" s="177"/>
      <c r="E4" s="9"/>
      <c r="F4" s="178" t="s">
        <v>8</v>
      </c>
      <c r="G4" s="180">
        <v>3</v>
      </c>
      <c r="H4" s="182" t="s">
        <v>9</v>
      </c>
      <c r="I4" s="184">
        <v>45786</v>
      </c>
      <c r="J4" s="185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88" t="s">
        <v>7</v>
      </c>
      <c r="B5" s="18" t="s">
        <v>11</v>
      </c>
      <c r="C5" s="12" t="s">
        <v>12</v>
      </c>
      <c r="D5" s="28" t="s">
        <v>13</v>
      </c>
      <c r="E5" s="9"/>
      <c r="F5" s="179"/>
      <c r="G5" s="181"/>
      <c r="H5" s="183"/>
      <c r="I5" s="186"/>
      <c r="J5" s="187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89"/>
      <c r="B6" s="19" t="s">
        <v>15</v>
      </c>
      <c r="C6" s="53">
        <v>303</v>
      </c>
      <c r="D6" s="16">
        <f t="shared" ref="D6:D28" si="1">C6*L6</f>
        <v>223311</v>
      </c>
      <c r="E6" s="9"/>
      <c r="F6" s="191" t="s">
        <v>16</v>
      </c>
      <c r="G6" s="193" t="s">
        <v>111</v>
      </c>
      <c r="H6" s="194"/>
      <c r="I6" s="194"/>
      <c r="J6" s="195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89"/>
      <c r="B7" s="19" t="s">
        <v>18</v>
      </c>
      <c r="C7" s="53">
        <v>17</v>
      </c>
      <c r="D7" s="16">
        <f t="shared" si="1"/>
        <v>12325</v>
      </c>
      <c r="E7" s="9"/>
      <c r="F7" s="192"/>
      <c r="G7" s="196"/>
      <c r="H7" s="197"/>
      <c r="I7" s="197"/>
      <c r="J7" s="198"/>
      <c r="K7" s="10"/>
      <c r="L7" s="6">
        <f>R41</f>
        <v>725</v>
      </c>
      <c r="P7" s="4"/>
      <c r="Q7" s="4"/>
      <c r="R7" s="5"/>
    </row>
    <row r="8" spans="1:19" ht="14.45" customHeight="1" x14ac:dyDescent="0.25">
      <c r="A8" s="189"/>
      <c r="B8" s="19" t="s">
        <v>20</v>
      </c>
      <c r="C8" s="53"/>
      <c r="D8" s="16">
        <f t="shared" si="1"/>
        <v>0</v>
      </c>
      <c r="E8" s="9"/>
      <c r="F8" s="199" t="s">
        <v>21</v>
      </c>
      <c r="G8" s="201" t="s">
        <v>122</v>
      </c>
      <c r="H8" s="202"/>
      <c r="I8" s="202"/>
      <c r="J8" s="203"/>
      <c r="K8" s="10"/>
      <c r="L8" s="6">
        <f>R40</f>
        <v>1033</v>
      </c>
      <c r="P8" s="4"/>
      <c r="Q8" s="4"/>
      <c r="R8" s="5"/>
    </row>
    <row r="9" spans="1:19" ht="14.45" customHeight="1" x14ac:dyDescent="0.25">
      <c r="A9" s="189"/>
      <c r="B9" s="19" t="s">
        <v>23</v>
      </c>
      <c r="C9" s="53">
        <v>79</v>
      </c>
      <c r="D9" s="16">
        <f t="shared" si="1"/>
        <v>55853</v>
      </c>
      <c r="E9" s="9"/>
      <c r="F9" s="192"/>
      <c r="G9" s="204"/>
      <c r="H9" s="205"/>
      <c r="I9" s="205"/>
      <c r="J9" s="206"/>
      <c r="K9" s="10"/>
      <c r="L9" s="6">
        <f>R38</f>
        <v>707</v>
      </c>
      <c r="P9" s="4"/>
      <c r="Q9" s="4"/>
      <c r="R9" s="5"/>
    </row>
    <row r="10" spans="1:19" ht="14.45" customHeight="1" x14ac:dyDescent="0.25">
      <c r="A10" s="189"/>
      <c r="B10" s="11" t="s">
        <v>25</v>
      </c>
      <c r="C10" s="53">
        <v>3</v>
      </c>
      <c r="D10" s="16">
        <f t="shared" si="1"/>
        <v>2916</v>
      </c>
      <c r="E10" s="9"/>
      <c r="F10" s="191" t="s">
        <v>26</v>
      </c>
      <c r="G10" s="207" t="s">
        <v>123</v>
      </c>
      <c r="H10" s="208"/>
      <c r="I10" s="208"/>
      <c r="J10" s="209"/>
      <c r="K10" s="10"/>
      <c r="L10" s="6">
        <f>R36</f>
        <v>972</v>
      </c>
      <c r="P10" s="4"/>
      <c r="Q10" s="4"/>
      <c r="R10" s="5"/>
    </row>
    <row r="11" spans="1:19" ht="15.75" x14ac:dyDescent="0.25">
      <c r="A11" s="189"/>
      <c r="B11" s="20" t="s">
        <v>28</v>
      </c>
      <c r="C11" s="53"/>
      <c r="D11" s="16">
        <f t="shared" si="1"/>
        <v>0</v>
      </c>
      <c r="E11" s="9"/>
      <c r="F11" s="192"/>
      <c r="G11" s="204"/>
      <c r="H11" s="205"/>
      <c r="I11" s="205"/>
      <c r="J11" s="206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89"/>
      <c r="B12" s="20" t="s">
        <v>30</v>
      </c>
      <c r="C12" s="53"/>
      <c r="D12" s="52">
        <f t="shared" si="1"/>
        <v>0</v>
      </c>
      <c r="E12" s="9"/>
      <c r="F12" s="210" t="s">
        <v>33</v>
      </c>
      <c r="G12" s="211"/>
      <c r="H12" s="211"/>
      <c r="I12" s="211"/>
      <c r="J12" s="212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89"/>
      <c r="B13" s="20" t="s">
        <v>32</v>
      </c>
      <c r="C13" s="53">
        <v>15</v>
      </c>
      <c r="D13" s="52">
        <f t="shared" si="1"/>
        <v>4605</v>
      </c>
      <c r="E13" s="9"/>
      <c r="F13" s="213" t="s">
        <v>36</v>
      </c>
      <c r="G13" s="214"/>
      <c r="H13" s="215">
        <f>D29</f>
        <v>306218</v>
      </c>
      <c r="I13" s="216"/>
      <c r="J13" s="217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89"/>
      <c r="B14" s="17" t="s">
        <v>35</v>
      </c>
      <c r="C14" s="53">
        <v>13</v>
      </c>
      <c r="D14" s="34">
        <f t="shared" si="1"/>
        <v>143</v>
      </c>
      <c r="E14" s="9"/>
      <c r="F14" s="218" t="s">
        <v>39</v>
      </c>
      <c r="G14" s="219"/>
      <c r="H14" s="220">
        <f>D54</f>
        <v>42052.5</v>
      </c>
      <c r="I14" s="221"/>
      <c r="J14" s="222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89"/>
      <c r="B15" s="17" t="s">
        <v>38</v>
      </c>
      <c r="C15" s="53"/>
      <c r="D15" s="34">
        <f t="shared" si="1"/>
        <v>0</v>
      </c>
      <c r="E15" s="9"/>
      <c r="F15" s="223" t="s">
        <v>40</v>
      </c>
      <c r="G15" s="214"/>
      <c r="H15" s="224">
        <f>H13-H14</f>
        <v>264165.5</v>
      </c>
      <c r="I15" s="225"/>
      <c r="J15" s="226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89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227">
        <f>1098+438</f>
        <v>1536</v>
      </c>
      <c r="I16" s="227"/>
      <c r="J16" s="22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89"/>
      <c r="B17" s="11" t="s">
        <v>114</v>
      </c>
      <c r="C17" s="53"/>
      <c r="D17" s="52">
        <f t="shared" si="1"/>
        <v>0</v>
      </c>
      <c r="E17" s="9"/>
      <c r="F17" s="62"/>
      <c r="G17" s="74" t="s">
        <v>45</v>
      </c>
      <c r="H17" s="200"/>
      <c r="I17" s="200"/>
      <c r="J17" s="200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89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200"/>
      <c r="I18" s="200"/>
      <c r="J18" s="200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89"/>
      <c r="B19" s="17" t="s">
        <v>118</v>
      </c>
      <c r="C19" s="53"/>
      <c r="D19" s="52">
        <f t="shared" si="1"/>
        <v>0</v>
      </c>
      <c r="E19" s="9"/>
      <c r="F19" s="62"/>
      <c r="G19" s="76" t="s">
        <v>50</v>
      </c>
      <c r="H19" s="313"/>
      <c r="I19" s="313"/>
      <c r="J19" s="313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89"/>
      <c r="B20" s="50" t="s">
        <v>108</v>
      </c>
      <c r="C20" s="53"/>
      <c r="D20" s="16">
        <f t="shared" si="1"/>
        <v>0</v>
      </c>
      <c r="E20" s="9"/>
      <c r="F20" s="63"/>
      <c r="G20" s="78" t="s">
        <v>124</v>
      </c>
      <c r="H20" s="227">
        <v>626</v>
      </c>
      <c r="I20" s="227"/>
      <c r="J20" s="227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89"/>
      <c r="B21" s="17" t="s">
        <v>130</v>
      </c>
      <c r="C21" s="53"/>
      <c r="D21" s="52">
        <f t="shared" si="1"/>
        <v>0</v>
      </c>
      <c r="E21" s="9"/>
      <c r="F21" s="77" t="s">
        <v>99</v>
      </c>
      <c r="G21" s="92" t="s">
        <v>98</v>
      </c>
      <c r="H21" s="246" t="s">
        <v>13</v>
      </c>
      <c r="I21" s="247"/>
      <c r="J21" s="248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89"/>
      <c r="B22" s="50" t="s">
        <v>104</v>
      </c>
      <c r="C22" s="53"/>
      <c r="D22" s="52">
        <f t="shared" si="1"/>
        <v>0</v>
      </c>
      <c r="E22" s="9"/>
      <c r="F22" s="85"/>
      <c r="G22" s="81"/>
      <c r="H22" s="249"/>
      <c r="I22" s="249"/>
      <c r="J22" s="249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89"/>
      <c r="B23" s="17" t="s">
        <v>107</v>
      </c>
      <c r="C23" s="53"/>
      <c r="D23" s="52">
        <f t="shared" si="1"/>
        <v>0</v>
      </c>
      <c r="E23" s="9"/>
      <c r="F23" s="86"/>
      <c r="G23" s="87"/>
      <c r="H23" s="299"/>
      <c r="I23" s="255"/>
      <c r="J23" s="255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89"/>
      <c r="B24" s="17" t="s">
        <v>101</v>
      </c>
      <c r="C24" s="53"/>
      <c r="D24" s="52">
        <f t="shared" si="1"/>
        <v>0</v>
      </c>
      <c r="E24" s="9"/>
      <c r="F24" s="42"/>
      <c r="G24" s="41"/>
      <c r="H24" s="299"/>
      <c r="I24" s="255"/>
      <c r="J24" s="255"/>
      <c r="L24" s="51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89"/>
      <c r="B25" s="17" t="s">
        <v>117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52" t="s">
        <v>13</v>
      </c>
      <c r="I25" s="253"/>
      <c r="J25" s="254"/>
      <c r="L25" s="51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89"/>
      <c r="B26" s="17" t="s">
        <v>105</v>
      </c>
      <c r="C26" s="53"/>
      <c r="D26" s="52">
        <f t="shared" si="1"/>
        <v>0</v>
      </c>
      <c r="E26" s="9"/>
      <c r="F26" s="72"/>
      <c r="G26" s="65"/>
      <c r="H26" s="300"/>
      <c r="I26" s="301"/>
      <c r="J26" s="302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89"/>
      <c r="B27" s="17" t="s">
        <v>109</v>
      </c>
      <c r="C27" s="53"/>
      <c r="D27" s="48">
        <f t="shared" si="1"/>
        <v>0</v>
      </c>
      <c r="E27" s="9"/>
      <c r="F27" s="88"/>
      <c r="G27" s="89"/>
      <c r="H27" s="303"/>
      <c r="I27" s="304"/>
      <c r="J27" s="305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90"/>
      <c r="B28" s="50" t="s">
        <v>97</v>
      </c>
      <c r="C28" s="53">
        <v>9</v>
      </c>
      <c r="D28" s="52">
        <f t="shared" si="1"/>
        <v>7065</v>
      </c>
      <c r="E28" s="9"/>
      <c r="F28" s="60"/>
      <c r="G28" s="68"/>
      <c r="H28" s="258"/>
      <c r="I28" s="259"/>
      <c r="J28" s="260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28" t="s">
        <v>36</v>
      </c>
      <c r="B29" s="229"/>
      <c r="C29" s="230"/>
      <c r="D29" s="234">
        <f>SUM(D6:D28)</f>
        <v>306218</v>
      </c>
      <c r="E29" s="9"/>
      <c r="F29" s="236" t="s">
        <v>55</v>
      </c>
      <c r="G29" s="237"/>
      <c r="H29" s="240">
        <f>H15-H16-H17-H18-H19-H20-H22-H23-H24+H26+H27</f>
        <v>262003.5</v>
      </c>
      <c r="I29" s="241"/>
      <c r="J29" s="242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231"/>
      <c r="B30" s="232"/>
      <c r="C30" s="233"/>
      <c r="D30" s="235"/>
      <c r="E30" s="9"/>
      <c r="F30" s="238"/>
      <c r="G30" s="239"/>
      <c r="H30" s="243"/>
      <c r="I30" s="244"/>
      <c r="J30" s="245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5" t="s">
        <v>58</v>
      </c>
      <c r="B32" s="176"/>
      <c r="C32" s="176"/>
      <c r="D32" s="177"/>
      <c r="E32" s="11"/>
      <c r="F32" s="261" t="s">
        <v>59</v>
      </c>
      <c r="G32" s="262"/>
      <c r="H32" s="262"/>
      <c r="I32" s="262"/>
      <c r="J32" s="263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21" t="s">
        <v>63</v>
      </c>
      <c r="H33" s="261" t="s">
        <v>13</v>
      </c>
      <c r="I33" s="262"/>
      <c r="J33" s="263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88" t="s">
        <v>65</v>
      </c>
      <c r="B34" s="29" t="s">
        <v>66</v>
      </c>
      <c r="C34" s="56">
        <v>1</v>
      </c>
      <c r="D34" s="33">
        <f>C34*120</f>
        <v>120</v>
      </c>
      <c r="E34" s="9"/>
      <c r="F34" s="15">
        <v>1000</v>
      </c>
      <c r="G34" s="82">
        <v>204</v>
      </c>
      <c r="H34" s="264">
        <f>F34*G34</f>
        <v>204000</v>
      </c>
      <c r="I34" s="265"/>
      <c r="J34" s="266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89"/>
      <c r="B35" s="30" t="s">
        <v>68</v>
      </c>
      <c r="C35" s="57"/>
      <c r="D35" s="33">
        <f>C35*84</f>
        <v>0</v>
      </c>
      <c r="E35" s="9"/>
      <c r="F35" s="64">
        <v>500</v>
      </c>
      <c r="G35" s="45">
        <v>67</v>
      </c>
      <c r="H35" s="264">
        <f>F35*G35</f>
        <v>33500</v>
      </c>
      <c r="I35" s="265"/>
      <c r="J35" s="266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90"/>
      <c r="B36" s="29" t="s">
        <v>70</v>
      </c>
      <c r="C36" s="53">
        <v>4</v>
      </c>
      <c r="D36" s="15">
        <f>C36*1.5</f>
        <v>6</v>
      </c>
      <c r="E36" s="9"/>
      <c r="F36" s="15">
        <v>200</v>
      </c>
      <c r="G36" s="41">
        <v>5</v>
      </c>
      <c r="H36" s="264">
        <f t="shared" ref="H36:H39" si="2">F36*G36</f>
        <v>1000</v>
      </c>
      <c r="I36" s="265"/>
      <c r="J36" s="266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88" t="s">
        <v>72</v>
      </c>
      <c r="B37" s="31" t="s">
        <v>66</v>
      </c>
      <c r="C37" s="58">
        <v>351</v>
      </c>
      <c r="D37" s="15">
        <f>C37*111</f>
        <v>38961</v>
      </c>
      <c r="E37" s="9"/>
      <c r="F37" s="15">
        <v>100</v>
      </c>
      <c r="G37" s="43">
        <v>197</v>
      </c>
      <c r="H37" s="264">
        <f t="shared" si="2"/>
        <v>19700</v>
      </c>
      <c r="I37" s="265"/>
      <c r="J37" s="266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89"/>
      <c r="B38" s="32" t="s">
        <v>68</v>
      </c>
      <c r="C38" s="59">
        <v>11</v>
      </c>
      <c r="D38" s="15">
        <f>C38*84</f>
        <v>924</v>
      </c>
      <c r="E38" s="9"/>
      <c r="F38" s="33">
        <v>50</v>
      </c>
      <c r="G38" s="43">
        <v>73</v>
      </c>
      <c r="H38" s="264">
        <f t="shared" si="2"/>
        <v>3650</v>
      </c>
      <c r="I38" s="265"/>
      <c r="J38" s="266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90"/>
      <c r="B39" s="32" t="s">
        <v>70</v>
      </c>
      <c r="C39" s="57">
        <v>1</v>
      </c>
      <c r="D39" s="34">
        <f>C39*4.5</f>
        <v>4.5</v>
      </c>
      <c r="E39" s="9"/>
      <c r="F39" s="15">
        <v>20</v>
      </c>
      <c r="G39" s="41">
        <v>4</v>
      </c>
      <c r="H39" s="264">
        <f t="shared" si="2"/>
        <v>80</v>
      </c>
      <c r="I39" s="265"/>
      <c r="J39" s="266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88" t="s">
        <v>76</v>
      </c>
      <c r="B40" s="30" t="s">
        <v>66</v>
      </c>
      <c r="C40" s="70">
        <v>7</v>
      </c>
      <c r="D40" s="15">
        <f>C40*111</f>
        <v>777</v>
      </c>
      <c r="E40" s="9"/>
      <c r="F40" s="15">
        <v>10</v>
      </c>
      <c r="G40" s="46"/>
      <c r="H40" s="264"/>
      <c r="I40" s="265"/>
      <c r="J40" s="266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89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264"/>
      <c r="I41" s="265"/>
      <c r="J41" s="266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90"/>
      <c r="B42" s="30" t="s">
        <v>70</v>
      </c>
      <c r="C42" s="71">
        <v>8</v>
      </c>
      <c r="D42" s="15">
        <f>C42*2.25</f>
        <v>18</v>
      </c>
      <c r="E42" s="9"/>
      <c r="F42" s="43" t="s">
        <v>79</v>
      </c>
      <c r="G42" s="264">
        <v>451</v>
      </c>
      <c r="H42" s="265"/>
      <c r="I42" s="265"/>
      <c r="J42" s="266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67" t="s">
        <v>81</v>
      </c>
      <c r="C43" s="71"/>
      <c r="D43" s="15"/>
      <c r="E43" s="9"/>
      <c r="F43" s="65" t="s">
        <v>82</v>
      </c>
      <c r="G43" s="123" t="s">
        <v>83</v>
      </c>
      <c r="H43" s="270" t="s">
        <v>13</v>
      </c>
      <c r="I43" s="271"/>
      <c r="J43" s="272"/>
      <c r="K43" s="24"/>
      <c r="P43" s="4"/>
      <c r="Q43" s="4"/>
      <c r="R43" s="5"/>
    </row>
    <row r="44" spans="1:18" ht="15.75" x14ac:dyDescent="0.25">
      <c r="A44" s="268"/>
      <c r="B44" s="30" t="s">
        <v>66</v>
      </c>
      <c r="C44" s="53"/>
      <c r="D44" s="15">
        <f>C44*120</f>
        <v>0</v>
      </c>
      <c r="E44" s="9"/>
      <c r="F44" s="41"/>
      <c r="G44" s="84"/>
      <c r="H44" s="255"/>
      <c r="I44" s="255"/>
      <c r="J44" s="255"/>
      <c r="K44" s="24"/>
      <c r="P44" s="4"/>
      <c r="Q44" s="4"/>
      <c r="R44" s="5"/>
    </row>
    <row r="45" spans="1:18" ht="15.75" x14ac:dyDescent="0.25">
      <c r="A45" s="268"/>
      <c r="B45" s="30" t="s">
        <v>68</v>
      </c>
      <c r="C45" s="90"/>
      <c r="D45" s="15">
        <f>C45*84</f>
        <v>0</v>
      </c>
      <c r="E45" s="9"/>
      <c r="F45" s="41"/>
      <c r="G45" s="84"/>
      <c r="H45" s="255"/>
      <c r="I45" s="255"/>
      <c r="J45" s="255"/>
      <c r="K45" s="24"/>
      <c r="P45" s="4"/>
      <c r="Q45" s="4"/>
      <c r="R45" s="5"/>
    </row>
    <row r="46" spans="1:18" ht="15.75" x14ac:dyDescent="0.25">
      <c r="A46" s="268"/>
      <c r="B46" s="54" t="s">
        <v>70</v>
      </c>
      <c r="C46" s="91">
        <v>5</v>
      </c>
      <c r="D46" s="15">
        <f>C46*1.5</f>
        <v>7.5</v>
      </c>
      <c r="E46" s="9"/>
      <c r="F46" s="41"/>
      <c r="G46" s="69"/>
      <c r="H46" s="306"/>
      <c r="I46" s="306"/>
      <c r="J46" s="306"/>
      <c r="K46" s="24"/>
      <c r="P46" s="4"/>
      <c r="Q46" s="4"/>
      <c r="R46" s="5"/>
    </row>
    <row r="47" spans="1:18" ht="15.75" x14ac:dyDescent="0.25">
      <c r="A47" s="269"/>
      <c r="B47" s="30"/>
      <c r="C47" s="71"/>
      <c r="D47" s="15"/>
      <c r="E47" s="9"/>
      <c r="F47" s="65"/>
      <c r="G47" s="65"/>
      <c r="H47" s="273"/>
      <c r="I47" s="274"/>
      <c r="J47" s="275"/>
      <c r="K47" s="24"/>
      <c r="P47" s="4"/>
      <c r="Q47" s="4"/>
      <c r="R47" s="5"/>
    </row>
    <row r="48" spans="1:18" ht="15" customHeight="1" x14ac:dyDescent="0.25">
      <c r="A48" s="267" t="s">
        <v>32</v>
      </c>
      <c r="B48" s="30" t="s">
        <v>66</v>
      </c>
      <c r="C48" s="53">
        <v>9</v>
      </c>
      <c r="D48" s="15">
        <f>C48*78</f>
        <v>702</v>
      </c>
      <c r="E48" s="9"/>
      <c r="F48" s="65"/>
      <c r="G48" s="65"/>
      <c r="H48" s="273"/>
      <c r="I48" s="274"/>
      <c r="J48" s="275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68"/>
      <c r="B49" s="32" t="s">
        <v>68</v>
      </c>
      <c r="C49" s="90">
        <v>12</v>
      </c>
      <c r="D49" s="15">
        <f>C49*42</f>
        <v>504</v>
      </c>
      <c r="E49" s="9"/>
      <c r="F49" s="288" t="s">
        <v>86</v>
      </c>
      <c r="G49" s="240">
        <f>H34+H35+H36+H37+H38+H39+H40+H41+G42+H44+H45+H46</f>
        <v>262381</v>
      </c>
      <c r="H49" s="241"/>
      <c r="I49" s="241"/>
      <c r="J49" s="242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68"/>
      <c r="B50" s="35" t="s">
        <v>70</v>
      </c>
      <c r="C50" s="71">
        <v>19</v>
      </c>
      <c r="D50" s="15">
        <f>C50*1.5</f>
        <v>28.5</v>
      </c>
      <c r="E50" s="9"/>
      <c r="F50" s="289"/>
      <c r="G50" s="243"/>
      <c r="H50" s="244"/>
      <c r="I50" s="244"/>
      <c r="J50" s="245"/>
      <c r="K50" s="9"/>
      <c r="P50" s="4"/>
      <c r="Q50" s="4"/>
      <c r="R50" s="5"/>
    </row>
    <row r="51" spans="1:18" ht="15" customHeight="1" x14ac:dyDescent="0.25">
      <c r="A51" s="268"/>
      <c r="B51" s="30"/>
      <c r="C51" s="53"/>
      <c r="D51" s="34"/>
      <c r="E51" s="9"/>
      <c r="F51" s="290" t="s">
        <v>147</v>
      </c>
      <c r="G51" s="307">
        <f>G49-H29</f>
        <v>377.5</v>
      </c>
      <c r="H51" s="308"/>
      <c r="I51" s="308"/>
      <c r="J51" s="309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68"/>
      <c r="B52" s="32"/>
      <c r="C52" s="36"/>
      <c r="D52" s="49"/>
      <c r="E52" s="9"/>
      <c r="F52" s="291"/>
      <c r="G52" s="310"/>
      <c r="H52" s="311"/>
      <c r="I52" s="311"/>
      <c r="J52" s="312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69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236" t="s">
        <v>90</v>
      </c>
      <c r="B54" s="276"/>
      <c r="C54" s="277"/>
      <c r="D54" s="280">
        <f>SUM(D34:D53)</f>
        <v>42052.5</v>
      </c>
      <c r="E54" s="9"/>
      <c r="F54" s="24"/>
      <c r="G54" s="9"/>
      <c r="H54" s="9"/>
      <c r="I54" s="9"/>
      <c r="J54" s="37"/>
    </row>
    <row r="55" spans="1:18" x14ac:dyDescent="0.25">
      <c r="A55" s="238"/>
      <c r="B55" s="278"/>
      <c r="C55" s="279"/>
      <c r="D55" s="281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119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282" t="s">
        <v>91</v>
      </c>
      <c r="B58" s="283"/>
      <c r="C58" s="283"/>
      <c r="D58" s="284"/>
      <c r="E58" s="9"/>
      <c r="F58" s="282" t="s">
        <v>92</v>
      </c>
      <c r="G58" s="283"/>
      <c r="H58" s="283"/>
      <c r="I58" s="283"/>
      <c r="J58" s="284"/>
    </row>
    <row r="59" spans="1:18" x14ac:dyDescent="0.25">
      <c r="A59" s="285"/>
      <c r="B59" s="286"/>
      <c r="C59" s="286"/>
      <c r="D59" s="287"/>
      <c r="E59" s="9"/>
      <c r="F59" s="285"/>
      <c r="G59" s="286"/>
      <c r="H59" s="286"/>
      <c r="I59" s="286"/>
      <c r="J59" s="287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264F3-5965-4407-BBF9-CDFF1E7FB8CE}">
  <dimension ref="A1"/>
  <sheetViews>
    <sheetView workbookViewId="0">
      <selection activeCell="I4" sqref="I4:J5"/>
    </sheetView>
  </sheetViews>
  <sheetFormatPr defaultRowHeight="15" x14ac:dyDescent="0.25"/>
  <sheetData/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0982FC-281C-45DD-AA5C-89588801C942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174" t="s">
        <v>1</v>
      </c>
      <c r="O1" s="174"/>
      <c r="P1" s="126" t="s">
        <v>2</v>
      </c>
      <c r="Q1" s="126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75" t="s">
        <v>7</v>
      </c>
      <c r="B4" s="176"/>
      <c r="C4" s="176"/>
      <c r="D4" s="177"/>
      <c r="E4" s="9"/>
      <c r="F4" s="178" t="s">
        <v>8</v>
      </c>
      <c r="G4" s="180">
        <v>1</v>
      </c>
      <c r="H4" s="182" t="s">
        <v>9</v>
      </c>
      <c r="I4" s="184">
        <v>45787</v>
      </c>
      <c r="J4" s="185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88" t="s">
        <v>7</v>
      </c>
      <c r="B5" s="18" t="s">
        <v>11</v>
      </c>
      <c r="C5" s="12" t="s">
        <v>12</v>
      </c>
      <c r="D5" s="28" t="s">
        <v>13</v>
      </c>
      <c r="E5" s="9"/>
      <c r="F5" s="179"/>
      <c r="G5" s="181"/>
      <c r="H5" s="183"/>
      <c r="I5" s="186"/>
      <c r="J5" s="187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89"/>
      <c r="B6" s="19" t="s">
        <v>15</v>
      </c>
      <c r="C6" s="53">
        <v>693</v>
      </c>
      <c r="D6" s="16">
        <f t="shared" ref="D6:D28" si="1">C6*L6</f>
        <v>510741</v>
      </c>
      <c r="E6" s="9"/>
      <c r="F6" s="191" t="s">
        <v>16</v>
      </c>
      <c r="G6" s="193" t="s">
        <v>128</v>
      </c>
      <c r="H6" s="194"/>
      <c r="I6" s="194"/>
      <c r="J6" s="195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89"/>
      <c r="B7" s="19" t="s">
        <v>18</v>
      </c>
      <c r="C7" s="53">
        <v>3</v>
      </c>
      <c r="D7" s="16">
        <f t="shared" si="1"/>
        <v>2175</v>
      </c>
      <c r="E7" s="9"/>
      <c r="F7" s="192"/>
      <c r="G7" s="196"/>
      <c r="H7" s="197"/>
      <c r="I7" s="197"/>
      <c r="J7" s="198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189"/>
      <c r="B8" s="19" t="s">
        <v>20</v>
      </c>
      <c r="C8" s="53"/>
      <c r="D8" s="16">
        <f t="shared" si="1"/>
        <v>0</v>
      </c>
      <c r="E8" s="9"/>
      <c r="F8" s="199" t="s">
        <v>21</v>
      </c>
      <c r="G8" s="201" t="s">
        <v>113</v>
      </c>
      <c r="H8" s="202"/>
      <c r="I8" s="202"/>
      <c r="J8" s="203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189"/>
      <c r="B9" s="19" t="s">
        <v>23</v>
      </c>
      <c r="C9" s="53">
        <v>60</v>
      </c>
      <c r="D9" s="16">
        <f t="shared" si="1"/>
        <v>42420</v>
      </c>
      <c r="E9" s="9"/>
      <c r="F9" s="192"/>
      <c r="G9" s="204"/>
      <c r="H9" s="205"/>
      <c r="I9" s="205"/>
      <c r="J9" s="206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189"/>
      <c r="B10" s="11" t="s">
        <v>25</v>
      </c>
      <c r="C10" s="53"/>
      <c r="D10" s="16">
        <f t="shared" si="1"/>
        <v>0</v>
      </c>
      <c r="E10" s="9"/>
      <c r="F10" s="191" t="s">
        <v>26</v>
      </c>
      <c r="G10" s="207" t="s">
        <v>132</v>
      </c>
      <c r="H10" s="208"/>
      <c r="I10" s="208"/>
      <c r="J10" s="209"/>
      <c r="K10" s="10"/>
      <c r="L10" s="6">
        <f>R36</f>
        <v>972</v>
      </c>
      <c r="P10" s="4"/>
      <c r="Q10" s="4"/>
      <c r="R10" s="5"/>
    </row>
    <row r="11" spans="1:18" ht="15.75" x14ac:dyDescent="0.25">
      <c r="A11" s="189"/>
      <c r="B11" s="20" t="s">
        <v>28</v>
      </c>
      <c r="C11" s="53"/>
      <c r="D11" s="16">
        <f t="shared" si="1"/>
        <v>0</v>
      </c>
      <c r="E11" s="9"/>
      <c r="F11" s="192"/>
      <c r="G11" s="204"/>
      <c r="H11" s="205"/>
      <c r="I11" s="205"/>
      <c r="J11" s="206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89"/>
      <c r="B12" s="20" t="s">
        <v>30</v>
      </c>
      <c r="C12" s="53">
        <v>1</v>
      </c>
      <c r="D12" s="52">
        <f t="shared" si="1"/>
        <v>952</v>
      </c>
      <c r="E12" s="9"/>
      <c r="F12" s="210" t="s">
        <v>33</v>
      </c>
      <c r="G12" s="211"/>
      <c r="H12" s="211"/>
      <c r="I12" s="211"/>
      <c r="J12" s="212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89"/>
      <c r="B13" s="20" t="s">
        <v>32</v>
      </c>
      <c r="C13" s="53">
        <v>26</v>
      </c>
      <c r="D13" s="52">
        <f t="shared" si="1"/>
        <v>7982</v>
      </c>
      <c r="E13" s="9"/>
      <c r="F13" s="213" t="s">
        <v>36</v>
      </c>
      <c r="G13" s="214"/>
      <c r="H13" s="215">
        <f>D29</f>
        <v>567157</v>
      </c>
      <c r="I13" s="216"/>
      <c r="J13" s="217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89"/>
      <c r="B14" s="17" t="s">
        <v>35</v>
      </c>
      <c r="C14" s="53">
        <v>7</v>
      </c>
      <c r="D14" s="34">
        <f t="shared" si="1"/>
        <v>77</v>
      </c>
      <c r="E14" s="9"/>
      <c r="F14" s="218" t="s">
        <v>39</v>
      </c>
      <c r="G14" s="219"/>
      <c r="H14" s="220">
        <f>D54</f>
        <v>76270.5</v>
      </c>
      <c r="I14" s="221"/>
      <c r="J14" s="222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89"/>
      <c r="B15" s="17" t="s">
        <v>38</v>
      </c>
      <c r="C15" s="53">
        <v>2</v>
      </c>
      <c r="D15" s="34">
        <f t="shared" si="1"/>
        <v>1240</v>
      </c>
      <c r="E15" s="9"/>
      <c r="F15" s="223" t="s">
        <v>40</v>
      </c>
      <c r="G15" s="214"/>
      <c r="H15" s="224">
        <f>H13-H14</f>
        <v>490886.5</v>
      </c>
      <c r="I15" s="225"/>
      <c r="J15" s="226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89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227"/>
      <c r="I16" s="227"/>
      <c r="J16" s="22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89"/>
      <c r="B17" s="11" t="s">
        <v>137</v>
      </c>
      <c r="C17" s="53"/>
      <c r="D17" s="52">
        <f t="shared" si="1"/>
        <v>0</v>
      </c>
      <c r="E17" s="9"/>
      <c r="F17" s="62"/>
      <c r="G17" s="74" t="s">
        <v>45</v>
      </c>
      <c r="H17" s="200"/>
      <c r="I17" s="200"/>
      <c r="J17" s="200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89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200"/>
      <c r="I18" s="200"/>
      <c r="J18" s="200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89"/>
      <c r="B19" s="17" t="s">
        <v>140</v>
      </c>
      <c r="C19" s="53"/>
      <c r="D19" s="52">
        <f t="shared" si="1"/>
        <v>0</v>
      </c>
      <c r="E19" s="9"/>
      <c r="F19" s="62"/>
      <c r="G19" s="76" t="s">
        <v>50</v>
      </c>
      <c r="H19" s="200"/>
      <c r="I19" s="200"/>
      <c r="J19" s="200"/>
      <c r="L19" s="6">
        <v>1102</v>
      </c>
      <c r="Q19" s="4"/>
      <c r="R19" s="5">
        <f t="shared" si="0"/>
        <v>0</v>
      </c>
    </row>
    <row r="20" spans="1:18" ht="15.75" x14ac:dyDescent="0.25">
      <c r="A20" s="189"/>
      <c r="B20" s="97" t="s">
        <v>139</v>
      </c>
      <c r="C20" s="53"/>
      <c r="D20" s="16">
        <f t="shared" si="1"/>
        <v>0</v>
      </c>
      <c r="E20" s="9"/>
      <c r="F20" s="63"/>
      <c r="G20" s="78" t="s">
        <v>124</v>
      </c>
      <c r="H20" s="227"/>
      <c r="I20" s="227"/>
      <c r="J20" s="227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89"/>
      <c r="B21" s="17" t="s">
        <v>138</v>
      </c>
      <c r="C21" s="53"/>
      <c r="D21" s="52">
        <f t="shared" si="1"/>
        <v>0</v>
      </c>
      <c r="E21" s="9"/>
      <c r="F21" s="77" t="s">
        <v>99</v>
      </c>
      <c r="G21" s="92" t="s">
        <v>98</v>
      </c>
      <c r="H21" s="246" t="s">
        <v>13</v>
      </c>
      <c r="I21" s="247"/>
      <c r="J21" s="248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89"/>
      <c r="B22" s="50" t="s">
        <v>110</v>
      </c>
      <c r="C22" s="53"/>
      <c r="D22" s="52">
        <f t="shared" si="1"/>
        <v>0</v>
      </c>
      <c r="E22" s="9"/>
      <c r="F22" s="85"/>
      <c r="G22" s="81"/>
      <c r="H22" s="249"/>
      <c r="I22" s="249"/>
      <c r="J22" s="249"/>
      <c r="L22" s="7">
        <v>1142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89"/>
      <c r="B23" s="17" t="s">
        <v>125</v>
      </c>
      <c r="C23" s="53"/>
      <c r="D23" s="52">
        <f t="shared" si="1"/>
        <v>0</v>
      </c>
      <c r="E23" s="9"/>
      <c r="F23" s="85"/>
      <c r="G23" s="87"/>
      <c r="H23" s="250"/>
      <c r="I23" s="251"/>
      <c r="J23" s="251"/>
      <c r="L23" s="51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89"/>
      <c r="B24" s="17" t="s">
        <v>126</v>
      </c>
      <c r="C24" s="53"/>
      <c r="D24" s="52">
        <f t="shared" si="1"/>
        <v>0</v>
      </c>
      <c r="E24" s="9"/>
      <c r="F24" s="85"/>
      <c r="G24" s="87"/>
      <c r="H24" s="250"/>
      <c r="I24" s="251"/>
      <c r="J24" s="251"/>
      <c r="L24" s="51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89"/>
      <c r="B25" s="17" t="s">
        <v>121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52" t="s">
        <v>13</v>
      </c>
      <c r="I25" s="253"/>
      <c r="J25" s="254"/>
      <c r="L25" s="51">
        <f>852/24+1.5</f>
        <v>37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89"/>
      <c r="B26" s="17" t="s">
        <v>112</v>
      </c>
      <c r="C26" s="53"/>
      <c r="D26" s="52">
        <f t="shared" si="1"/>
        <v>0</v>
      </c>
      <c r="E26" s="9"/>
      <c r="F26" s="83"/>
      <c r="G26" s="73"/>
      <c r="H26" s="255"/>
      <c r="I26" s="255"/>
      <c r="J26" s="255"/>
      <c r="L26" s="7">
        <f>500/24+1.5</f>
        <v>22.333333333333332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89"/>
      <c r="B27" s="17" t="s">
        <v>120</v>
      </c>
      <c r="C27" s="53"/>
      <c r="D27" s="48">
        <f t="shared" si="1"/>
        <v>0</v>
      </c>
      <c r="E27" s="9"/>
      <c r="F27" s="79"/>
      <c r="G27" s="124"/>
      <c r="H27" s="256"/>
      <c r="I27" s="257"/>
      <c r="J27" s="257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90"/>
      <c r="B28" s="50" t="s">
        <v>97</v>
      </c>
      <c r="C28" s="53">
        <v>2</v>
      </c>
      <c r="D28" s="52">
        <f t="shared" si="1"/>
        <v>1570</v>
      </c>
      <c r="E28" s="9"/>
      <c r="F28" s="60"/>
      <c r="G28" s="68"/>
      <c r="H28" s="258"/>
      <c r="I28" s="259"/>
      <c r="J28" s="260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28" t="s">
        <v>36</v>
      </c>
      <c r="B29" s="229"/>
      <c r="C29" s="230"/>
      <c r="D29" s="234">
        <f>SUM(D6:D28)</f>
        <v>567157</v>
      </c>
      <c r="E29" s="9"/>
      <c r="F29" s="236" t="s">
        <v>55</v>
      </c>
      <c r="G29" s="237"/>
      <c r="H29" s="240">
        <f>H15-H16-H17-H18-H19-H20-H22-H23-H24+H26+H27+H28</f>
        <v>490886.5</v>
      </c>
      <c r="I29" s="241"/>
      <c r="J29" s="242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231"/>
      <c r="B30" s="232"/>
      <c r="C30" s="233"/>
      <c r="D30" s="235"/>
      <c r="E30" s="9"/>
      <c r="F30" s="238"/>
      <c r="G30" s="239"/>
      <c r="H30" s="243"/>
      <c r="I30" s="244"/>
      <c r="J30" s="245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5" t="s">
        <v>58</v>
      </c>
      <c r="B32" s="176"/>
      <c r="C32" s="176"/>
      <c r="D32" s="177"/>
      <c r="E32" s="11"/>
      <c r="F32" s="261" t="s">
        <v>59</v>
      </c>
      <c r="G32" s="262"/>
      <c r="H32" s="262"/>
      <c r="I32" s="262"/>
      <c r="J32" s="263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27" t="s">
        <v>63</v>
      </c>
      <c r="H33" s="261" t="s">
        <v>13</v>
      </c>
      <c r="I33" s="262"/>
      <c r="J33" s="263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88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44">
        <v>385</v>
      </c>
      <c r="H34" s="264">
        <f t="shared" ref="H34:H39" si="2">F34*G34</f>
        <v>385000</v>
      </c>
      <c r="I34" s="265"/>
      <c r="J34" s="266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89"/>
      <c r="B35" s="30" t="s">
        <v>68</v>
      </c>
      <c r="C35" s="57"/>
      <c r="D35" s="33">
        <f>C35*84</f>
        <v>0</v>
      </c>
      <c r="E35" s="9"/>
      <c r="F35" s="64">
        <v>500</v>
      </c>
      <c r="G35" s="45">
        <v>156</v>
      </c>
      <c r="H35" s="264">
        <f t="shared" si="2"/>
        <v>78000</v>
      </c>
      <c r="I35" s="265"/>
      <c r="J35" s="266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90"/>
      <c r="B36" s="29" t="s">
        <v>70</v>
      </c>
      <c r="C36" s="53"/>
      <c r="D36" s="15">
        <f>C36*1.5</f>
        <v>0</v>
      </c>
      <c r="E36" s="9"/>
      <c r="F36" s="15">
        <v>200</v>
      </c>
      <c r="G36" s="41">
        <v>4</v>
      </c>
      <c r="H36" s="264">
        <f t="shared" si="2"/>
        <v>800</v>
      </c>
      <c r="I36" s="265"/>
      <c r="J36" s="266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88" t="s">
        <v>72</v>
      </c>
      <c r="B37" s="31" t="s">
        <v>66</v>
      </c>
      <c r="C37" s="58">
        <v>649</v>
      </c>
      <c r="D37" s="15">
        <f>C37*111</f>
        <v>72039</v>
      </c>
      <c r="E37" s="9"/>
      <c r="F37" s="15">
        <v>100</v>
      </c>
      <c r="G37" s="43">
        <v>213</v>
      </c>
      <c r="H37" s="264">
        <f t="shared" si="2"/>
        <v>21300</v>
      </c>
      <c r="I37" s="265"/>
      <c r="J37" s="266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89"/>
      <c r="B38" s="32" t="s">
        <v>68</v>
      </c>
      <c r="C38" s="59">
        <v>12</v>
      </c>
      <c r="D38" s="15">
        <f>C38*84</f>
        <v>1008</v>
      </c>
      <c r="E38" s="9"/>
      <c r="F38" s="33">
        <v>50</v>
      </c>
      <c r="G38" s="43">
        <v>90</v>
      </c>
      <c r="H38" s="264">
        <f t="shared" si="2"/>
        <v>4500</v>
      </c>
      <c r="I38" s="265"/>
      <c r="J38" s="266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90"/>
      <c r="B39" s="32" t="s">
        <v>70</v>
      </c>
      <c r="C39" s="57">
        <v>11</v>
      </c>
      <c r="D39" s="34">
        <f>C39*4.5</f>
        <v>49.5</v>
      </c>
      <c r="E39" s="9"/>
      <c r="F39" s="15">
        <v>20</v>
      </c>
      <c r="G39" s="41">
        <v>9</v>
      </c>
      <c r="H39" s="264">
        <f t="shared" si="2"/>
        <v>180</v>
      </c>
      <c r="I39" s="265"/>
      <c r="J39" s="266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88" t="s">
        <v>76</v>
      </c>
      <c r="B40" s="30" t="s">
        <v>66</v>
      </c>
      <c r="C40" s="70">
        <v>9</v>
      </c>
      <c r="D40" s="15">
        <f>C40*111</f>
        <v>999</v>
      </c>
      <c r="E40" s="9"/>
      <c r="F40" s="15">
        <v>10</v>
      </c>
      <c r="G40" s="46"/>
      <c r="H40" s="264"/>
      <c r="I40" s="265"/>
      <c r="J40" s="266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89"/>
      <c r="B41" s="30" t="s">
        <v>68</v>
      </c>
      <c r="C41" s="53">
        <v>1</v>
      </c>
      <c r="D41" s="15">
        <f>C41*84</f>
        <v>84</v>
      </c>
      <c r="E41" s="9"/>
      <c r="F41" s="15">
        <v>5</v>
      </c>
      <c r="G41" s="46"/>
      <c r="H41" s="264"/>
      <c r="I41" s="265"/>
      <c r="J41" s="266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90"/>
      <c r="B42" s="30" t="s">
        <v>70</v>
      </c>
      <c r="C42" s="71">
        <v>20</v>
      </c>
      <c r="D42" s="15">
        <f>C42*2.25</f>
        <v>45</v>
      </c>
      <c r="E42" s="9"/>
      <c r="F42" s="43" t="s">
        <v>79</v>
      </c>
      <c r="G42" s="264">
        <v>350</v>
      </c>
      <c r="H42" s="265"/>
      <c r="I42" s="265"/>
      <c r="J42" s="266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67" t="s">
        <v>81</v>
      </c>
      <c r="C43" s="71"/>
      <c r="D43" s="15"/>
      <c r="E43" s="9"/>
      <c r="F43" s="65" t="s">
        <v>82</v>
      </c>
      <c r="G43" s="124" t="s">
        <v>83</v>
      </c>
      <c r="H43" s="270" t="s">
        <v>13</v>
      </c>
      <c r="I43" s="271"/>
      <c r="J43" s="272"/>
      <c r="K43" s="24"/>
      <c r="O43" t="s">
        <v>103</v>
      </c>
      <c r="P43" s="4">
        <v>1667</v>
      </c>
      <c r="Q43" s="4"/>
      <c r="R43" s="5"/>
    </row>
    <row r="44" spans="1:18" ht="15.75" x14ac:dyDescent="0.25">
      <c r="A44" s="268"/>
      <c r="B44" s="30" t="s">
        <v>66</v>
      </c>
      <c r="C44" s="53">
        <v>1</v>
      </c>
      <c r="D44" s="15">
        <f>C44*120</f>
        <v>120</v>
      </c>
      <c r="E44" s="9"/>
      <c r="F44" s="41"/>
      <c r="G44" s="69"/>
      <c r="H44" s="255"/>
      <c r="I44" s="255"/>
      <c r="J44" s="255"/>
      <c r="K44" s="24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268"/>
      <c r="B45" s="30" t="s">
        <v>68</v>
      </c>
      <c r="C45" s="90">
        <v>1</v>
      </c>
      <c r="D45" s="15">
        <f>C45*84</f>
        <v>84</v>
      </c>
      <c r="E45" s="9"/>
      <c r="F45" s="41"/>
      <c r="G45" s="69"/>
      <c r="H45" s="255"/>
      <c r="I45" s="255"/>
      <c r="J45" s="255"/>
      <c r="K45" s="24"/>
      <c r="P45" s="4"/>
      <c r="Q45" s="4"/>
      <c r="R45" s="5"/>
    </row>
    <row r="46" spans="1:18" ht="15.75" x14ac:dyDescent="0.25">
      <c r="A46" s="268"/>
      <c r="B46" s="54" t="s">
        <v>70</v>
      </c>
      <c r="C46" s="91">
        <v>23</v>
      </c>
      <c r="D46" s="15">
        <f>C46*1.5</f>
        <v>34.5</v>
      </c>
      <c r="E46" s="9"/>
      <c r="F46" s="41"/>
      <c r="G46" s="69"/>
      <c r="H46" s="255"/>
      <c r="I46" s="255"/>
      <c r="J46" s="255"/>
      <c r="K46" s="24"/>
      <c r="P46" s="4"/>
      <c r="Q46" s="4"/>
      <c r="R46" s="5"/>
    </row>
    <row r="47" spans="1:18" ht="15.75" x14ac:dyDescent="0.25">
      <c r="A47" s="269"/>
      <c r="B47" s="30"/>
      <c r="C47" s="71"/>
      <c r="D47" s="15"/>
      <c r="E47" s="9"/>
      <c r="F47" s="65"/>
      <c r="G47" s="65"/>
      <c r="H47" s="273"/>
      <c r="I47" s="274"/>
      <c r="J47" s="275"/>
      <c r="K47" s="24"/>
      <c r="P47" s="4"/>
      <c r="Q47" s="4"/>
      <c r="R47" s="5"/>
    </row>
    <row r="48" spans="1:18" ht="15" customHeight="1" x14ac:dyDescent="0.25">
      <c r="A48" s="267" t="s">
        <v>32</v>
      </c>
      <c r="B48" s="30" t="s">
        <v>66</v>
      </c>
      <c r="C48" s="53">
        <v>20</v>
      </c>
      <c r="D48" s="15">
        <f>C48*78</f>
        <v>1560</v>
      </c>
      <c r="E48" s="9"/>
      <c r="F48" s="65"/>
      <c r="G48" s="65"/>
      <c r="H48" s="273"/>
      <c r="I48" s="274"/>
      <c r="J48" s="275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68"/>
      <c r="B49" s="32" t="s">
        <v>68</v>
      </c>
      <c r="C49" s="90">
        <v>4</v>
      </c>
      <c r="D49" s="15">
        <f>C49*42</f>
        <v>168</v>
      </c>
      <c r="E49" s="9"/>
      <c r="F49" s="288" t="s">
        <v>86</v>
      </c>
      <c r="G49" s="240">
        <f>H34+H35+H36+H37+H38+H39+H40+H41+G42+H44+H45+H46</f>
        <v>490130</v>
      </c>
      <c r="H49" s="241"/>
      <c r="I49" s="241"/>
      <c r="J49" s="242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68"/>
      <c r="B50" s="35" t="s">
        <v>70</v>
      </c>
      <c r="C50" s="71">
        <v>53</v>
      </c>
      <c r="D50" s="15">
        <f>C50*1.5</f>
        <v>79.5</v>
      </c>
      <c r="E50" s="9"/>
      <c r="F50" s="289"/>
      <c r="G50" s="243"/>
      <c r="H50" s="244"/>
      <c r="I50" s="244"/>
      <c r="J50" s="245"/>
      <c r="K50" s="9"/>
      <c r="P50" s="4"/>
      <c r="Q50" s="4"/>
      <c r="R50" s="5"/>
    </row>
    <row r="51" spans="1:18" ht="15" customHeight="1" x14ac:dyDescent="0.25">
      <c r="A51" s="268"/>
      <c r="B51" s="30"/>
      <c r="C51" s="13"/>
      <c r="D51" s="34"/>
      <c r="E51" s="9"/>
      <c r="F51" s="290" t="s">
        <v>135</v>
      </c>
      <c r="G51" s="292">
        <f>G49-H29</f>
        <v>-756.5</v>
      </c>
      <c r="H51" s="293"/>
      <c r="I51" s="293"/>
      <c r="J51" s="294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68"/>
      <c r="B52" s="32"/>
      <c r="C52" s="36"/>
      <c r="D52" s="49"/>
      <c r="E52" s="9"/>
      <c r="F52" s="291"/>
      <c r="G52" s="295"/>
      <c r="H52" s="296"/>
      <c r="I52" s="296"/>
      <c r="J52" s="297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69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236" t="s">
        <v>90</v>
      </c>
      <c r="B54" s="276"/>
      <c r="C54" s="277"/>
      <c r="D54" s="280">
        <f>SUM(D34:D53)</f>
        <v>76270.5</v>
      </c>
      <c r="E54" s="9"/>
      <c r="F54" s="24"/>
      <c r="G54" s="9"/>
      <c r="H54" s="9"/>
      <c r="I54" s="9"/>
      <c r="J54" s="37"/>
      <c r="O54" t="s">
        <v>102</v>
      </c>
      <c r="P54" s="4">
        <v>1582</v>
      </c>
      <c r="R54" s="3">
        <v>1582</v>
      </c>
    </row>
    <row r="55" spans="1:18" x14ac:dyDescent="0.25">
      <c r="A55" s="238"/>
      <c r="B55" s="278"/>
      <c r="C55" s="279"/>
      <c r="D55" s="281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129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282" t="s">
        <v>91</v>
      </c>
      <c r="B58" s="283"/>
      <c r="C58" s="283"/>
      <c r="D58" s="284"/>
      <c r="E58" s="9"/>
      <c r="F58" s="282" t="s">
        <v>92</v>
      </c>
      <c r="G58" s="283"/>
      <c r="H58" s="283"/>
      <c r="I58" s="283"/>
      <c r="J58" s="284"/>
    </row>
    <row r="59" spans="1:18" x14ac:dyDescent="0.25">
      <c r="A59" s="285"/>
      <c r="B59" s="286"/>
      <c r="C59" s="286"/>
      <c r="D59" s="287"/>
      <c r="E59" s="9"/>
      <c r="F59" s="285"/>
      <c r="G59" s="286"/>
      <c r="H59" s="286"/>
      <c r="I59" s="286"/>
      <c r="J59" s="287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AC3303-34AF-47F8-AD22-4332ECC00C9F}">
  <dimension ref="A1:R59"/>
  <sheetViews>
    <sheetView zoomScaleNormal="100" zoomScaleSheetLayoutView="85" workbookViewId="0">
      <selection activeCell="H20" sqref="H20:J20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174" t="s">
        <v>1</v>
      </c>
      <c r="O1" s="174"/>
      <c r="P1" s="126" t="s">
        <v>2</v>
      </c>
      <c r="Q1" s="126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75" t="s">
        <v>7</v>
      </c>
      <c r="B4" s="176"/>
      <c r="C4" s="176"/>
      <c r="D4" s="177"/>
      <c r="E4" s="9"/>
      <c r="F4" s="178" t="s">
        <v>8</v>
      </c>
      <c r="G4" s="180">
        <v>2</v>
      </c>
      <c r="H4" s="182" t="s">
        <v>9</v>
      </c>
      <c r="I4" s="184">
        <v>45787</v>
      </c>
      <c r="J4" s="185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88" t="s">
        <v>7</v>
      </c>
      <c r="B5" s="18" t="s">
        <v>11</v>
      </c>
      <c r="C5" s="12" t="s">
        <v>12</v>
      </c>
      <c r="D5" s="28" t="s">
        <v>13</v>
      </c>
      <c r="E5" s="9"/>
      <c r="F5" s="179"/>
      <c r="G5" s="181"/>
      <c r="H5" s="183"/>
      <c r="I5" s="186"/>
      <c r="J5" s="187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89"/>
      <c r="B6" s="19" t="s">
        <v>15</v>
      </c>
      <c r="C6" s="53">
        <v>197</v>
      </c>
      <c r="D6" s="16">
        <f t="shared" ref="D6:D28" si="1">C6*L6</f>
        <v>145189</v>
      </c>
      <c r="E6" s="9"/>
      <c r="F6" s="191" t="s">
        <v>16</v>
      </c>
      <c r="G6" s="193" t="s">
        <v>127</v>
      </c>
      <c r="H6" s="194"/>
      <c r="I6" s="194"/>
      <c r="J6" s="195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89"/>
      <c r="B7" s="19" t="s">
        <v>18</v>
      </c>
      <c r="C7" s="53">
        <v>5</v>
      </c>
      <c r="D7" s="16">
        <f t="shared" si="1"/>
        <v>3625</v>
      </c>
      <c r="E7" s="9"/>
      <c r="F7" s="192"/>
      <c r="G7" s="196"/>
      <c r="H7" s="197"/>
      <c r="I7" s="197"/>
      <c r="J7" s="198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189"/>
      <c r="B8" s="19" t="s">
        <v>20</v>
      </c>
      <c r="C8" s="53"/>
      <c r="D8" s="16">
        <f t="shared" si="1"/>
        <v>0</v>
      </c>
      <c r="E8" s="9"/>
      <c r="F8" s="199" t="s">
        <v>21</v>
      </c>
      <c r="G8" s="201" t="s">
        <v>115</v>
      </c>
      <c r="H8" s="202"/>
      <c r="I8" s="202"/>
      <c r="J8" s="203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189"/>
      <c r="B9" s="19" t="s">
        <v>23</v>
      </c>
      <c r="C9" s="53">
        <v>30</v>
      </c>
      <c r="D9" s="16">
        <f t="shared" si="1"/>
        <v>21210</v>
      </c>
      <c r="E9" s="9"/>
      <c r="F9" s="192"/>
      <c r="G9" s="204"/>
      <c r="H9" s="205"/>
      <c r="I9" s="205"/>
      <c r="J9" s="206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189"/>
      <c r="B10" s="11" t="s">
        <v>25</v>
      </c>
      <c r="C10" s="53"/>
      <c r="D10" s="16">
        <f t="shared" si="1"/>
        <v>0</v>
      </c>
      <c r="E10" s="9"/>
      <c r="F10" s="191" t="s">
        <v>26</v>
      </c>
      <c r="G10" s="207" t="s">
        <v>116</v>
      </c>
      <c r="H10" s="208"/>
      <c r="I10" s="208"/>
      <c r="J10" s="209"/>
      <c r="K10" s="10"/>
      <c r="L10" s="6">
        <f>R36</f>
        <v>972</v>
      </c>
      <c r="P10" s="4"/>
      <c r="Q10" s="4"/>
      <c r="R10" s="5"/>
    </row>
    <row r="11" spans="1:18" ht="15.75" x14ac:dyDescent="0.25">
      <c r="A11" s="189"/>
      <c r="B11" s="20" t="s">
        <v>28</v>
      </c>
      <c r="C11" s="53">
        <v>1</v>
      </c>
      <c r="D11" s="16">
        <f t="shared" si="1"/>
        <v>1125</v>
      </c>
      <c r="E11" s="9"/>
      <c r="F11" s="192"/>
      <c r="G11" s="204"/>
      <c r="H11" s="205"/>
      <c r="I11" s="205"/>
      <c r="J11" s="206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89"/>
      <c r="B12" s="20" t="s">
        <v>30</v>
      </c>
      <c r="C12" s="53"/>
      <c r="D12" s="52">
        <f t="shared" si="1"/>
        <v>0</v>
      </c>
      <c r="E12" s="9"/>
      <c r="F12" s="210" t="s">
        <v>33</v>
      </c>
      <c r="G12" s="211"/>
      <c r="H12" s="211"/>
      <c r="I12" s="211"/>
      <c r="J12" s="212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89"/>
      <c r="B13" s="20" t="s">
        <v>32</v>
      </c>
      <c r="C13" s="53">
        <v>9</v>
      </c>
      <c r="D13" s="52">
        <f t="shared" si="1"/>
        <v>2763</v>
      </c>
      <c r="E13" s="9"/>
      <c r="F13" s="213" t="s">
        <v>36</v>
      </c>
      <c r="G13" s="214"/>
      <c r="H13" s="215">
        <f>D29</f>
        <v>181043</v>
      </c>
      <c r="I13" s="216"/>
      <c r="J13" s="217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89"/>
      <c r="B14" s="17" t="s">
        <v>35</v>
      </c>
      <c r="C14" s="53">
        <v>6</v>
      </c>
      <c r="D14" s="34">
        <f t="shared" si="1"/>
        <v>66</v>
      </c>
      <c r="E14" s="9"/>
      <c r="F14" s="218" t="s">
        <v>39</v>
      </c>
      <c r="G14" s="219"/>
      <c r="H14" s="220">
        <f>D54</f>
        <v>26847</v>
      </c>
      <c r="I14" s="221"/>
      <c r="J14" s="222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89"/>
      <c r="B15" s="17" t="s">
        <v>38</v>
      </c>
      <c r="C15" s="53"/>
      <c r="D15" s="34">
        <f t="shared" si="1"/>
        <v>0</v>
      </c>
      <c r="E15" s="9"/>
      <c r="F15" s="223" t="s">
        <v>40</v>
      </c>
      <c r="G15" s="214"/>
      <c r="H15" s="224">
        <f>H13-H14</f>
        <v>154196</v>
      </c>
      <c r="I15" s="225"/>
      <c r="J15" s="226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89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227"/>
      <c r="I16" s="227"/>
      <c r="J16" s="22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89"/>
      <c r="B17" s="11" t="s">
        <v>93</v>
      </c>
      <c r="C17" s="53"/>
      <c r="D17" s="52">
        <f t="shared" si="1"/>
        <v>0</v>
      </c>
      <c r="E17" s="9"/>
      <c r="F17" s="62"/>
      <c r="G17" s="74" t="s">
        <v>45</v>
      </c>
      <c r="H17" s="200"/>
      <c r="I17" s="200"/>
      <c r="J17" s="200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89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200"/>
      <c r="I18" s="200"/>
      <c r="J18" s="200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89"/>
      <c r="B19" s="17" t="s">
        <v>96</v>
      </c>
      <c r="C19" s="53"/>
      <c r="D19" s="52">
        <f t="shared" si="1"/>
        <v>0</v>
      </c>
      <c r="E19" s="9"/>
      <c r="F19" s="62"/>
      <c r="G19" s="76" t="s">
        <v>50</v>
      </c>
      <c r="H19" s="298"/>
      <c r="I19" s="298"/>
      <c r="J19" s="298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89"/>
      <c r="B20" s="50" t="s">
        <v>131</v>
      </c>
      <c r="C20" s="53"/>
      <c r="D20" s="16">
        <f t="shared" si="1"/>
        <v>0</v>
      </c>
      <c r="E20" s="9"/>
      <c r="F20" s="63"/>
      <c r="G20" s="78" t="s">
        <v>124</v>
      </c>
      <c r="H20" s="227">
        <f>626*7+674+626*4</f>
        <v>7560</v>
      </c>
      <c r="I20" s="227"/>
      <c r="J20" s="227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89"/>
      <c r="B21" s="17" t="s">
        <v>130</v>
      </c>
      <c r="C21" s="53"/>
      <c r="D21" s="52">
        <f t="shared" si="1"/>
        <v>0</v>
      </c>
      <c r="E21" s="9"/>
      <c r="F21" s="77" t="s">
        <v>99</v>
      </c>
      <c r="G21" s="92" t="s">
        <v>98</v>
      </c>
      <c r="H21" s="246" t="s">
        <v>13</v>
      </c>
      <c r="I21" s="247"/>
      <c r="J21" s="248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89"/>
      <c r="B22" s="50" t="s">
        <v>104</v>
      </c>
      <c r="C22" s="53"/>
      <c r="D22" s="52">
        <f t="shared" si="1"/>
        <v>0</v>
      </c>
      <c r="E22" s="9"/>
      <c r="F22" s="80"/>
      <c r="G22" s="81"/>
      <c r="H22" s="249"/>
      <c r="I22" s="249"/>
      <c r="J22" s="249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89"/>
      <c r="B23" s="17" t="s">
        <v>107</v>
      </c>
      <c r="C23" s="53"/>
      <c r="D23" s="52">
        <f t="shared" si="1"/>
        <v>0</v>
      </c>
      <c r="E23" s="9"/>
      <c r="F23" s="28"/>
      <c r="G23" s="41"/>
      <c r="H23" s="299"/>
      <c r="I23" s="255"/>
      <c r="J23" s="255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89"/>
      <c r="B24" s="17" t="s">
        <v>133</v>
      </c>
      <c r="C24" s="53"/>
      <c r="D24" s="52">
        <f t="shared" si="1"/>
        <v>0</v>
      </c>
      <c r="E24" s="9"/>
      <c r="F24" s="42"/>
      <c r="G24" s="41"/>
      <c r="H24" s="299"/>
      <c r="I24" s="255"/>
      <c r="J24" s="255"/>
      <c r="L24" s="51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89"/>
      <c r="B25" s="17" t="s">
        <v>134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52" t="s">
        <v>13</v>
      </c>
      <c r="I25" s="253"/>
      <c r="J25" s="254"/>
      <c r="L25" s="51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89"/>
      <c r="B26" s="17" t="s">
        <v>105</v>
      </c>
      <c r="C26" s="53"/>
      <c r="D26" s="52">
        <f t="shared" si="1"/>
        <v>0</v>
      </c>
      <c r="E26" s="9"/>
      <c r="F26" s="72"/>
      <c r="G26" s="13"/>
      <c r="H26" s="300"/>
      <c r="I26" s="301"/>
      <c r="J26" s="302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89"/>
      <c r="B27" s="17" t="s">
        <v>109</v>
      </c>
      <c r="C27" s="53"/>
      <c r="D27" s="48">
        <f t="shared" si="1"/>
        <v>0</v>
      </c>
      <c r="E27" s="9"/>
      <c r="F27" s="67"/>
      <c r="G27" s="67"/>
      <c r="H27" s="303"/>
      <c r="I27" s="304"/>
      <c r="J27" s="305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90"/>
      <c r="B28" s="50" t="s">
        <v>97</v>
      </c>
      <c r="C28" s="53">
        <v>9</v>
      </c>
      <c r="D28" s="52">
        <f t="shared" si="1"/>
        <v>7065</v>
      </c>
      <c r="E28" s="9"/>
      <c r="F28" s="60"/>
      <c r="G28" s="68"/>
      <c r="H28" s="258"/>
      <c r="I28" s="259"/>
      <c r="J28" s="260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28" t="s">
        <v>36</v>
      </c>
      <c r="B29" s="229"/>
      <c r="C29" s="230"/>
      <c r="D29" s="234">
        <f>SUM(D6:D28)</f>
        <v>181043</v>
      </c>
      <c r="E29" s="9"/>
      <c r="F29" s="236" t="s">
        <v>55</v>
      </c>
      <c r="G29" s="237"/>
      <c r="H29" s="240">
        <f>H15-H16-H17-H18-H19-H20-H22-H23-H24+H26+H27</f>
        <v>146636</v>
      </c>
      <c r="I29" s="241"/>
      <c r="J29" s="242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231"/>
      <c r="B30" s="232"/>
      <c r="C30" s="233"/>
      <c r="D30" s="235"/>
      <c r="E30" s="9"/>
      <c r="F30" s="238"/>
      <c r="G30" s="239"/>
      <c r="H30" s="243"/>
      <c r="I30" s="244"/>
      <c r="J30" s="245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5" t="s">
        <v>58</v>
      </c>
      <c r="B32" s="176"/>
      <c r="C32" s="176"/>
      <c r="D32" s="177"/>
      <c r="E32" s="11"/>
      <c r="F32" s="261" t="s">
        <v>59</v>
      </c>
      <c r="G32" s="262"/>
      <c r="H32" s="262"/>
      <c r="I32" s="262"/>
      <c r="J32" s="263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27" t="s">
        <v>63</v>
      </c>
      <c r="H33" s="261" t="s">
        <v>13</v>
      </c>
      <c r="I33" s="262"/>
      <c r="J33" s="263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88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82">
        <v>113</v>
      </c>
      <c r="H34" s="264">
        <f>F34*G34</f>
        <v>113000</v>
      </c>
      <c r="I34" s="265"/>
      <c r="J34" s="266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89"/>
      <c r="B35" s="30" t="s">
        <v>68</v>
      </c>
      <c r="C35" s="57"/>
      <c r="D35" s="33">
        <f>C35*84</f>
        <v>0</v>
      </c>
      <c r="E35" s="9"/>
      <c r="F35" s="64">
        <v>500</v>
      </c>
      <c r="G35" s="45">
        <v>36</v>
      </c>
      <c r="H35" s="264">
        <f t="shared" ref="H35:H39" si="2">F35*G35</f>
        <v>18000</v>
      </c>
      <c r="I35" s="265"/>
      <c r="J35" s="266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90"/>
      <c r="B36" s="29" t="s">
        <v>70</v>
      </c>
      <c r="C36" s="53"/>
      <c r="D36" s="15">
        <f>C36*1.5</f>
        <v>0</v>
      </c>
      <c r="E36" s="9"/>
      <c r="F36" s="15">
        <v>200</v>
      </c>
      <c r="G36" s="41">
        <v>1</v>
      </c>
      <c r="H36" s="264">
        <f t="shared" si="2"/>
        <v>200</v>
      </c>
      <c r="I36" s="265"/>
      <c r="J36" s="266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88" t="s">
        <v>72</v>
      </c>
      <c r="B37" s="31" t="s">
        <v>66</v>
      </c>
      <c r="C37" s="58">
        <v>212</v>
      </c>
      <c r="D37" s="15">
        <f>C37*111</f>
        <v>23532</v>
      </c>
      <c r="E37" s="9"/>
      <c r="F37" s="15">
        <v>100</v>
      </c>
      <c r="G37" s="43">
        <v>80</v>
      </c>
      <c r="H37" s="264">
        <f t="shared" si="2"/>
        <v>8000</v>
      </c>
      <c r="I37" s="265"/>
      <c r="J37" s="266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89"/>
      <c r="B38" s="32" t="s">
        <v>68</v>
      </c>
      <c r="C38" s="59">
        <v>21</v>
      </c>
      <c r="D38" s="15">
        <f>C38*84</f>
        <v>1764</v>
      </c>
      <c r="E38" s="9"/>
      <c r="F38" s="33">
        <v>50</v>
      </c>
      <c r="G38" s="43">
        <v>125</v>
      </c>
      <c r="H38" s="264">
        <f t="shared" si="2"/>
        <v>6250</v>
      </c>
      <c r="I38" s="265"/>
      <c r="J38" s="266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90"/>
      <c r="B39" s="32" t="s">
        <v>70</v>
      </c>
      <c r="C39" s="57">
        <v>2</v>
      </c>
      <c r="D39" s="34">
        <f>C39*4.5</f>
        <v>9</v>
      </c>
      <c r="E39" s="9"/>
      <c r="F39" s="15">
        <v>20</v>
      </c>
      <c r="G39" s="41"/>
      <c r="H39" s="264">
        <f t="shared" si="2"/>
        <v>0</v>
      </c>
      <c r="I39" s="265"/>
      <c r="J39" s="266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88" t="s">
        <v>76</v>
      </c>
      <c r="B40" s="30" t="s">
        <v>66</v>
      </c>
      <c r="C40" s="70">
        <v>7</v>
      </c>
      <c r="D40" s="15">
        <f>C40*111</f>
        <v>777</v>
      </c>
      <c r="E40" s="9"/>
      <c r="F40" s="15">
        <v>10</v>
      </c>
      <c r="G40" s="46"/>
      <c r="H40" s="264"/>
      <c r="I40" s="265"/>
      <c r="J40" s="266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89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264"/>
      <c r="I41" s="265"/>
      <c r="J41" s="266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90"/>
      <c r="B42" s="30" t="s">
        <v>70</v>
      </c>
      <c r="C42" s="71"/>
      <c r="D42" s="15">
        <f>C42*2.25</f>
        <v>0</v>
      </c>
      <c r="E42" s="9"/>
      <c r="F42" s="43" t="s">
        <v>79</v>
      </c>
      <c r="G42" s="264">
        <v>145</v>
      </c>
      <c r="H42" s="265"/>
      <c r="I42" s="265"/>
      <c r="J42" s="266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67" t="s">
        <v>81</v>
      </c>
      <c r="C43" s="71"/>
      <c r="D43" s="15"/>
      <c r="E43" s="9"/>
      <c r="F43" s="65" t="s">
        <v>82</v>
      </c>
      <c r="G43" s="124" t="s">
        <v>83</v>
      </c>
      <c r="H43" s="270" t="s">
        <v>13</v>
      </c>
      <c r="I43" s="271"/>
      <c r="J43" s="272"/>
      <c r="K43" s="24"/>
      <c r="P43" s="4"/>
      <c r="Q43" s="4"/>
      <c r="R43" s="5"/>
    </row>
    <row r="44" spans="1:18" ht="15.75" x14ac:dyDescent="0.25">
      <c r="A44" s="268"/>
      <c r="B44" s="30" t="s">
        <v>66</v>
      </c>
      <c r="C44" s="53">
        <v>1</v>
      </c>
      <c r="D44" s="15">
        <f>C44*120</f>
        <v>120</v>
      </c>
      <c r="E44" s="9"/>
      <c r="F44" s="41"/>
      <c r="G44" s="69"/>
      <c r="H44" s="255"/>
      <c r="I44" s="255"/>
      <c r="J44" s="255"/>
      <c r="K44" s="24"/>
      <c r="P44" s="4"/>
      <c r="Q44" s="4"/>
      <c r="R44" s="5"/>
    </row>
    <row r="45" spans="1:18" ht="15.75" x14ac:dyDescent="0.25">
      <c r="A45" s="268"/>
      <c r="B45" s="30" t="s">
        <v>68</v>
      </c>
      <c r="C45" s="90"/>
      <c r="D45" s="15">
        <f>C45*84</f>
        <v>0</v>
      </c>
      <c r="E45" s="9"/>
      <c r="F45" s="41"/>
      <c r="G45" s="69"/>
      <c r="H45" s="255"/>
      <c r="I45" s="255"/>
      <c r="J45" s="255"/>
      <c r="K45" s="24"/>
      <c r="P45" s="4"/>
      <c r="Q45" s="4"/>
      <c r="R45" s="5"/>
    </row>
    <row r="46" spans="1:18" ht="15.75" x14ac:dyDescent="0.25">
      <c r="A46" s="268"/>
      <c r="B46" s="54" t="s">
        <v>70</v>
      </c>
      <c r="C46" s="91">
        <v>8</v>
      </c>
      <c r="D46" s="15">
        <f>C46*1.5</f>
        <v>12</v>
      </c>
      <c r="E46" s="9"/>
      <c r="F46" s="41"/>
      <c r="G46" s="125"/>
      <c r="H46" s="306"/>
      <c r="I46" s="306"/>
      <c r="J46" s="306"/>
      <c r="K46" s="24"/>
      <c r="P46" s="4"/>
      <c r="Q46" s="4"/>
      <c r="R46" s="5"/>
    </row>
    <row r="47" spans="1:18" ht="15.75" x14ac:dyDescent="0.25">
      <c r="A47" s="269"/>
      <c r="B47" s="30"/>
      <c r="C47" s="71"/>
      <c r="D47" s="15"/>
      <c r="E47" s="9"/>
      <c r="F47" s="65"/>
      <c r="G47" s="65"/>
      <c r="H47" s="273"/>
      <c r="I47" s="274"/>
      <c r="J47" s="275"/>
      <c r="K47" s="24"/>
      <c r="P47" s="4"/>
      <c r="Q47" s="4"/>
      <c r="R47" s="5"/>
    </row>
    <row r="48" spans="1:18" ht="15" customHeight="1" x14ac:dyDescent="0.25">
      <c r="A48" s="267" t="s">
        <v>32</v>
      </c>
      <c r="B48" s="30" t="s">
        <v>66</v>
      </c>
      <c r="C48" s="53">
        <v>5</v>
      </c>
      <c r="D48" s="15">
        <f>C48*78</f>
        <v>390</v>
      </c>
      <c r="E48" s="9"/>
      <c r="F48" s="65"/>
      <c r="G48" s="65"/>
      <c r="H48" s="273"/>
      <c r="I48" s="274"/>
      <c r="J48" s="275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68"/>
      <c r="B49" s="32" t="s">
        <v>68</v>
      </c>
      <c r="C49" s="90">
        <v>5</v>
      </c>
      <c r="D49" s="15">
        <f>C49*42</f>
        <v>210</v>
      </c>
      <c r="E49" s="9"/>
      <c r="F49" s="288" t="s">
        <v>86</v>
      </c>
      <c r="G49" s="240">
        <f>H34+H35+H36+H37+H38+H39+H40+H41+G42+H44+H45+H46</f>
        <v>145595</v>
      </c>
      <c r="H49" s="241"/>
      <c r="I49" s="241"/>
      <c r="J49" s="242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68"/>
      <c r="B50" s="35" t="s">
        <v>70</v>
      </c>
      <c r="C50" s="71">
        <v>22</v>
      </c>
      <c r="D50" s="15">
        <f>C50*1.5</f>
        <v>33</v>
      </c>
      <c r="E50" s="9"/>
      <c r="F50" s="289"/>
      <c r="G50" s="243"/>
      <c r="H50" s="244"/>
      <c r="I50" s="244"/>
      <c r="J50" s="245"/>
      <c r="K50" s="9"/>
      <c r="P50" s="4"/>
      <c r="Q50" s="4"/>
      <c r="R50" s="5"/>
    </row>
    <row r="51" spans="1:18" ht="15" customHeight="1" x14ac:dyDescent="0.25">
      <c r="A51" s="268"/>
      <c r="B51" s="30"/>
      <c r="C51" s="13"/>
      <c r="D51" s="34"/>
      <c r="E51" s="9"/>
      <c r="F51" s="290" t="s">
        <v>167</v>
      </c>
      <c r="G51" s="314">
        <f>G49-H29</f>
        <v>-1041</v>
      </c>
      <c r="H51" s="315"/>
      <c r="I51" s="315"/>
      <c r="J51" s="316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68"/>
      <c r="B52" s="32"/>
      <c r="C52" s="36"/>
      <c r="D52" s="49"/>
      <c r="E52" s="9"/>
      <c r="F52" s="291"/>
      <c r="G52" s="317"/>
      <c r="H52" s="318"/>
      <c r="I52" s="318"/>
      <c r="J52" s="319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69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236" t="s">
        <v>90</v>
      </c>
      <c r="B54" s="276"/>
      <c r="C54" s="277"/>
      <c r="D54" s="280">
        <f>SUM(D34:D53)</f>
        <v>26847</v>
      </c>
      <c r="E54" s="9"/>
      <c r="F54" s="24"/>
      <c r="G54" s="9"/>
      <c r="H54" s="9"/>
      <c r="I54" s="9"/>
      <c r="J54" s="37"/>
    </row>
    <row r="55" spans="1:18" x14ac:dyDescent="0.25">
      <c r="A55" s="238"/>
      <c r="B55" s="278"/>
      <c r="C55" s="279"/>
      <c r="D55" s="281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136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282" t="s">
        <v>91</v>
      </c>
      <c r="B58" s="283"/>
      <c r="C58" s="283"/>
      <c r="D58" s="284"/>
      <c r="E58" s="9"/>
      <c r="F58" s="282" t="s">
        <v>92</v>
      </c>
      <c r="G58" s="283"/>
      <c r="H58" s="283"/>
      <c r="I58" s="283"/>
      <c r="J58" s="284"/>
    </row>
    <row r="59" spans="1:18" x14ac:dyDescent="0.25">
      <c r="A59" s="285"/>
      <c r="B59" s="286"/>
      <c r="C59" s="286"/>
      <c r="D59" s="287"/>
      <c r="E59" s="9"/>
      <c r="F59" s="285"/>
      <c r="G59" s="286"/>
      <c r="H59" s="286"/>
      <c r="I59" s="286"/>
      <c r="J59" s="287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2A97E-85F4-440C-B30F-AD46C29D0F1F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s="8" t="s">
        <v>0</v>
      </c>
      <c r="B1" s="8"/>
      <c r="C1" s="8"/>
      <c r="D1" s="8"/>
      <c r="N1" s="174" t="s">
        <v>1</v>
      </c>
      <c r="O1" s="174"/>
      <c r="P1" s="126" t="s">
        <v>2</v>
      </c>
      <c r="Q1" s="126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75" t="s">
        <v>7</v>
      </c>
      <c r="B4" s="176"/>
      <c r="C4" s="176"/>
      <c r="D4" s="177"/>
      <c r="E4" s="9"/>
      <c r="F4" s="178" t="s">
        <v>8</v>
      </c>
      <c r="G4" s="180">
        <v>3</v>
      </c>
      <c r="H4" s="182" t="s">
        <v>9</v>
      </c>
      <c r="I4" s="184">
        <v>45787</v>
      </c>
      <c r="J4" s="185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88" t="s">
        <v>7</v>
      </c>
      <c r="B5" s="18" t="s">
        <v>11</v>
      </c>
      <c r="C5" s="12" t="s">
        <v>12</v>
      </c>
      <c r="D5" s="28" t="s">
        <v>13</v>
      </c>
      <c r="E5" s="9"/>
      <c r="F5" s="179"/>
      <c r="G5" s="181"/>
      <c r="H5" s="183"/>
      <c r="I5" s="186"/>
      <c r="J5" s="187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89"/>
      <c r="B6" s="19" t="s">
        <v>15</v>
      </c>
      <c r="C6" s="53">
        <v>576</v>
      </c>
      <c r="D6" s="16">
        <f t="shared" ref="D6:D28" si="1">C6*L6</f>
        <v>424512</v>
      </c>
      <c r="E6" s="9"/>
      <c r="F6" s="191" t="s">
        <v>16</v>
      </c>
      <c r="G6" s="193" t="s">
        <v>111</v>
      </c>
      <c r="H6" s="194"/>
      <c r="I6" s="194"/>
      <c r="J6" s="195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89"/>
      <c r="B7" s="19" t="s">
        <v>18</v>
      </c>
      <c r="C7" s="53">
        <v>11</v>
      </c>
      <c r="D7" s="16">
        <f t="shared" si="1"/>
        <v>7975</v>
      </c>
      <c r="E7" s="9"/>
      <c r="F7" s="192"/>
      <c r="G7" s="196"/>
      <c r="H7" s="197"/>
      <c r="I7" s="197"/>
      <c r="J7" s="198"/>
      <c r="K7" s="10"/>
      <c r="L7" s="6">
        <f>R41</f>
        <v>725</v>
      </c>
      <c r="P7" s="4"/>
      <c r="Q7" s="4"/>
      <c r="R7" s="5"/>
    </row>
    <row r="8" spans="1:19" ht="14.45" customHeight="1" x14ac:dyDescent="0.25">
      <c r="A8" s="189"/>
      <c r="B8" s="19" t="s">
        <v>20</v>
      </c>
      <c r="C8" s="53"/>
      <c r="D8" s="16">
        <f t="shared" si="1"/>
        <v>0</v>
      </c>
      <c r="E8" s="9"/>
      <c r="F8" s="199" t="s">
        <v>21</v>
      </c>
      <c r="G8" s="201" t="s">
        <v>122</v>
      </c>
      <c r="H8" s="202"/>
      <c r="I8" s="202"/>
      <c r="J8" s="203"/>
      <c r="K8" s="10"/>
      <c r="L8" s="6">
        <f>R40</f>
        <v>1033</v>
      </c>
      <c r="P8" s="4"/>
      <c r="Q8" s="4"/>
      <c r="R8" s="5"/>
    </row>
    <row r="9" spans="1:19" ht="14.45" customHeight="1" x14ac:dyDescent="0.25">
      <c r="A9" s="189"/>
      <c r="B9" s="19" t="s">
        <v>23</v>
      </c>
      <c r="C9" s="53">
        <v>75</v>
      </c>
      <c r="D9" s="16">
        <f t="shared" si="1"/>
        <v>53025</v>
      </c>
      <c r="E9" s="9"/>
      <c r="F9" s="192"/>
      <c r="G9" s="204"/>
      <c r="H9" s="205"/>
      <c r="I9" s="205"/>
      <c r="J9" s="206"/>
      <c r="K9" s="10"/>
      <c r="L9" s="6">
        <f>R38</f>
        <v>707</v>
      </c>
      <c r="P9" s="4"/>
      <c r="Q9" s="4"/>
      <c r="R9" s="5"/>
    </row>
    <row r="10" spans="1:19" ht="14.45" customHeight="1" x14ac:dyDescent="0.25">
      <c r="A10" s="189"/>
      <c r="B10" s="11" t="s">
        <v>25</v>
      </c>
      <c r="C10" s="53">
        <v>1</v>
      </c>
      <c r="D10" s="16">
        <f t="shared" si="1"/>
        <v>972</v>
      </c>
      <c r="E10" s="9"/>
      <c r="F10" s="191" t="s">
        <v>26</v>
      </c>
      <c r="G10" s="207" t="s">
        <v>123</v>
      </c>
      <c r="H10" s="208"/>
      <c r="I10" s="208"/>
      <c r="J10" s="209"/>
      <c r="K10" s="10"/>
      <c r="L10" s="6">
        <f>R36</f>
        <v>972</v>
      </c>
      <c r="P10" s="4"/>
      <c r="Q10" s="4"/>
      <c r="R10" s="5"/>
    </row>
    <row r="11" spans="1:19" ht="15.75" x14ac:dyDescent="0.25">
      <c r="A11" s="189"/>
      <c r="B11" s="20" t="s">
        <v>28</v>
      </c>
      <c r="C11" s="53">
        <v>3</v>
      </c>
      <c r="D11" s="16">
        <f t="shared" si="1"/>
        <v>3375</v>
      </c>
      <c r="E11" s="9"/>
      <c r="F11" s="192"/>
      <c r="G11" s="204"/>
      <c r="H11" s="205"/>
      <c r="I11" s="205"/>
      <c r="J11" s="206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89"/>
      <c r="B12" s="20" t="s">
        <v>30</v>
      </c>
      <c r="C12" s="53">
        <f>3+2+1</f>
        <v>6</v>
      </c>
      <c r="D12" s="52">
        <f t="shared" si="1"/>
        <v>5712</v>
      </c>
      <c r="E12" s="9"/>
      <c r="F12" s="210" t="s">
        <v>33</v>
      </c>
      <c r="G12" s="211"/>
      <c r="H12" s="211"/>
      <c r="I12" s="211"/>
      <c r="J12" s="212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89"/>
      <c r="B13" s="20" t="s">
        <v>32</v>
      </c>
      <c r="C13" s="53">
        <v>27</v>
      </c>
      <c r="D13" s="52">
        <f t="shared" si="1"/>
        <v>8289</v>
      </c>
      <c r="E13" s="9"/>
      <c r="F13" s="213" t="s">
        <v>36</v>
      </c>
      <c r="G13" s="214"/>
      <c r="H13" s="215">
        <f>D29</f>
        <v>514065</v>
      </c>
      <c r="I13" s="216"/>
      <c r="J13" s="217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89"/>
      <c r="B14" s="17" t="s">
        <v>35</v>
      </c>
      <c r="C14" s="53"/>
      <c r="D14" s="34">
        <f t="shared" si="1"/>
        <v>0</v>
      </c>
      <c r="E14" s="9"/>
      <c r="F14" s="218" t="s">
        <v>39</v>
      </c>
      <c r="G14" s="219"/>
      <c r="H14" s="220">
        <f>D54</f>
        <v>74187.75</v>
      </c>
      <c r="I14" s="221"/>
      <c r="J14" s="222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89"/>
      <c r="B15" s="17" t="s">
        <v>38</v>
      </c>
      <c r="C15" s="53"/>
      <c r="D15" s="34">
        <f t="shared" si="1"/>
        <v>0</v>
      </c>
      <c r="E15" s="9"/>
      <c r="F15" s="223" t="s">
        <v>40</v>
      </c>
      <c r="G15" s="214"/>
      <c r="H15" s="224">
        <f>H13-H14</f>
        <v>439877.25</v>
      </c>
      <c r="I15" s="225"/>
      <c r="J15" s="226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89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227">
        <f>1854+1326+750</f>
        <v>3930</v>
      </c>
      <c r="I16" s="227"/>
      <c r="J16" s="22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89"/>
      <c r="B17" s="11" t="s">
        <v>114</v>
      </c>
      <c r="C17" s="53"/>
      <c r="D17" s="52">
        <f t="shared" si="1"/>
        <v>0</v>
      </c>
      <c r="E17" s="9"/>
      <c r="F17" s="62"/>
      <c r="G17" s="74" t="s">
        <v>45</v>
      </c>
      <c r="H17" s="200"/>
      <c r="I17" s="200"/>
      <c r="J17" s="200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89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200"/>
      <c r="I18" s="200"/>
      <c r="J18" s="200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89"/>
      <c r="B19" s="17" t="s">
        <v>118</v>
      </c>
      <c r="C19" s="53"/>
      <c r="D19" s="52">
        <f t="shared" si="1"/>
        <v>0</v>
      </c>
      <c r="E19" s="9"/>
      <c r="F19" s="62"/>
      <c r="G19" s="76" t="s">
        <v>50</v>
      </c>
      <c r="H19" s="313"/>
      <c r="I19" s="313"/>
      <c r="J19" s="313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89"/>
      <c r="B20" s="50" t="s">
        <v>108</v>
      </c>
      <c r="C20" s="53"/>
      <c r="D20" s="16">
        <f t="shared" si="1"/>
        <v>0</v>
      </c>
      <c r="E20" s="9"/>
      <c r="F20" s="63"/>
      <c r="G20" s="78" t="s">
        <v>124</v>
      </c>
      <c r="H20" s="227">
        <f>674+626*9</f>
        <v>6308</v>
      </c>
      <c r="I20" s="227"/>
      <c r="J20" s="227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89"/>
      <c r="B21" s="17" t="s">
        <v>130</v>
      </c>
      <c r="C21" s="53"/>
      <c r="D21" s="52">
        <f t="shared" si="1"/>
        <v>0</v>
      </c>
      <c r="E21" s="9"/>
      <c r="F21" s="77" t="s">
        <v>99</v>
      </c>
      <c r="G21" s="92" t="s">
        <v>98</v>
      </c>
      <c r="H21" s="246" t="s">
        <v>13</v>
      </c>
      <c r="I21" s="247"/>
      <c r="J21" s="248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89"/>
      <c r="B22" s="50" t="s">
        <v>104</v>
      </c>
      <c r="C22" s="53"/>
      <c r="D22" s="52">
        <f t="shared" si="1"/>
        <v>0</v>
      </c>
      <c r="E22" s="9"/>
      <c r="F22" s="85"/>
      <c r="G22" s="81"/>
      <c r="H22" s="249"/>
      <c r="I22" s="249"/>
      <c r="J22" s="249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89"/>
      <c r="B23" s="17" t="s">
        <v>107</v>
      </c>
      <c r="C23" s="53"/>
      <c r="D23" s="52">
        <f t="shared" si="1"/>
        <v>0</v>
      </c>
      <c r="E23" s="9"/>
      <c r="F23" s="86"/>
      <c r="G23" s="87"/>
      <c r="H23" s="299"/>
      <c r="I23" s="255"/>
      <c r="J23" s="255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89"/>
      <c r="B24" s="17" t="s">
        <v>101</v>
      </c>
      <c r="C24" s="53"/>
      <c r="D24" s="52">
        <f t="shared" si="1"/>
        <v>0</v>
      </c>
      <c r="E24" s="9"/>
      <c r="F24" s="42"/>
      <c r="G24" s="41"/>
      <c r="H24" s="299"/>
      <c r="I24" s="255"/>
      <c r="J24" s="255"/>
      <c r="L24" s="51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89"/>
      <c r="B25" s="17" t="s">
        <v>117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52" t="s">
        <v>13</v>
      </c>
      <c r="I25" s="253"/>
      <c r="J25" s="254"/>
      <c r="L25" s="51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89"/>
      <c r="B26" s="17" t="s">
        <v>105</v>
      </c>
      <c r="C26" s="53"/>
      <c r="D26" s="52">
        <f t="shared" si="1"/>
        <v>0</v>
      </c>
      <c r="E26" s="9"/>
      <c r="F26" s="72"/>
      <c r="G26" s="65"/>
      <c r="H26" s="300"/>
      <c r="I26" s="301"/>
      <c r="J26" s="302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89"/>
      <c r="B27" s="17" t="s">
        <v>109</v>
      </c>
      <c r="C27" s="53"/>
      <c r="D27" s="48">
        <f t="shared" si="1"/>
        <v>0</v>
      </c>
      <c r="E27" s="9"/>
      <c r="F27" s="88"/>
      <c r="G27" s="89"/>
      <c r="H27" s="303"/>
      <c r="I27" s="304"/>
      <c r="J27" s="305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90"/>
      <c r="B28" s="50" t="s">
        <v>97</v>
      </c>
      <c r="C28" s="53">
        <v>13</v>
      </c>
      <c r="D28" s="52">
        <f t="shared" si="1"/>
        <v>10205</v>
      </c>
      <c r="E28" s="9"/>
      <c r="F28" s="60"/>
      <c r="G28" s="68"/>
      <c r="H28" s="258"/>
      <c r="I28" s="259"/>
      <c r="J28" s="260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28" t="s">
        <v>36</v>
      </c>
      <c r="B29" s="229"/>
      <c r="C29" s="230"/>
      <c r="D29" s="234">
        <f>SUM(D6:D28)</f>
        <v>514065</v>
      </c>
      <c r="E29" s="9"/>
      <c r="F29" s="236" t="s">
        <v>55</v>
      </c>
      <c r="G29" s="237"/>
      <c r="H29" s="240">
        <f>H15-H16-H17-H18-H19-H20-H22-H23-H24+H26+H27</f>
        <v>429639.25</v>
      </c>
      <c r="I29" s="241"/>
      <c r="J29" s="242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231"/>
      <c r="B30" s="232"/>
      <c r="C30" s="233"/>
      <c r="D30" s="235"/>
      <c r="E30" s="9"/>
      <c r="F30" s="238"/>
      <c r="G30" s="239"/>
      <c r="H30" s="243"/>
      <c r="I30" s="244"/>
      <c r="J30" s="245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5" t="s">
        <v>58</v>
      </c>
      <c r="B32" s="176"/>
      <c r="C32" s="176"/>
      <c r="D32" s="177"/>
      <c r="E32" s="11"/>
      <c r="F32" s="261" t="s">
        <v>59</v>
      </c>
      <c r="G32" s="262"/>
      <c r="H32" s="262"/>
      <c r="I32" s="262"/>
      <c r="J32" s="263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27" t="s">
        <v>63</v>
      </c>
      <c r="H33" s="261" t="s">
        <v>13</v>
      </c>
      <c r="I33" s="262"/>
      <c r="J33" s="263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88" t="s">
        <v>65</v>
      </c>
      <c r="B34" s="29" t="s">
        <v>66</v>
      </c>
      <c r="C34" s="56">
        <v>2</v>
      </c>
      <c r="D34" s="33">
        <f>C34*120</f>
        <v>240</v>
      </c>
      <c r="E34" s="9"/>
      <c r="F34" s="15">
        <v>1000</v>
      </c>
      <c r="G34" s="82">
        <v>254</v>
      </c>
      <c r="H34" s="264">
        <f>F34*G34</f>
        <v>254000</v>
      </c>
      <c r="I34" s="265"/>
      <c r="J34" s="266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89"/>
      <c r="B35" s="30" t="s">
        <v>68</v>
      </c>
      <c r="C35" s="57"/>
      <c r="D35" s="33">
        <f>C35*84</f>
        <v>0</v>
      </c>
      <c r="E35" s="9"/>
      <c r="F35" s="64">
        <v>500</v>
      </c>
      <c r="G35" s="45">
        <v>48</v>
      </c>
      <c r="H35" s="264">
        <f>F35*G35</f>
        <v>24000</v>
      </c>
      <c r="I35" s="265"/>
      <c r="J35" s="266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90"/>
      <c r="B36" s="29" t="s">
        <v>70</v>
      </c>
      <c r="C36" s="53"/>
      <c r="D36" s="15">
        <f>C36*1.5</f>
        <v>0</v>
      </c>
      <c r="E36" s="9"/>
      <c r="F36" s="15">
        <v>200</v>
      </c>
      <c r="G36" s="41">
        <v>2</v>
      </c>
      <c r="H36" s="264">
        <f t="shared" ref="H36:H39" si="2">F36*G36</f>
        <v>400</v>
      </c>
      <c r="I36" s="265"/>
      <c r="J36" s="266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88" t="s">
        <v>72</v>
      </c>
      <c r="B37" s="31" t="s">
        <v>66</v>
      </c>
      <c r="C37" s="58">
        <v>634</v>
      </c>
      <c r="D37" s="15">
        <f>C37*111</f>
        <v>70374</v>
      </c>
      <c r="E37" s="9"/>
      <c r="F37" s="15">
        <v>100</v>
      </c>
      <c r="G37" s="43">
        <v>161</v>
      </c>
      <c r="H37" s="264">
        <f t="shared" si="2"/>
        <v>16100</v>
      </c>
      <c r="I37" s="265"/>
      <c r="J37" s="266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89"/>
      <c r="B38" s="32" t="s">
        <v>68</v>
      </c>
      <c r="C38" s="59"/>
      <c r="D38" s="15">
        <f>C38*84</f>
        <v>0</v>
      </c>
      <c r="E38" s="9"/>
      <c r="F38" s="33">
        <v>50</v>
      </c>
      <c r="G38" s="43">
        <v>28</v>
      </c>
      <c r="H38" s="264">
        <f t="shared" si="2"/>
        <v>1400</v>
      </c>
      <c r="I38" s="265"/>
      <c r="J38" s="266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90"/>
      <c r="B39" s="32" t="s">
        <v>70</v>
      </c>
      <c r="C39" s="57">
        <v>2</v>
      </c>
      <c r="D39" s="34">
        <f>C39*4.5</f>
        <v>9</v>
      </c>
      <c r="E39" s="9"/>
      <c r="F39" s="15">
        <v>20</v>
      </c>
      <c r="G39" s="41"/>
      <c r="H39" s="264">
        <f t="shared" si="2"/>
        <v>0</v>
      </c>
      <c r="I39" s="265"/>
      <c r="J39" s="266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88" t="s">
        <v>76</v>
      </c>
      <c r="B40" s="30" t="s">
        <v>66</v>
      </c>
      <c r="C40" s="70">
        <v>12</v>
      </c>
      <c r="D40" s="15">
        <f>C40*111</f>
        <v>1332</v>
      </c>
      <c r="E40" s="9"/>
      <c r="F40" s="15">
        <v>10</v>
      </c>
      <c r="G40" s="46"/>
      <c r="H40" s="264"/>
      <c r="I40" s="265"/>
      <c r="J40" s="266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89"/>
      <c r="B41" s="30" t="s">
        <v>68</v>
      </c>
      <c r="C41" s="53">
        <v>1</v>
      </c>
      <c r="D41" s="15">
        <f>C41*84</f>
        <v>84</v>
      </c>
      <c r="E41" s="9"/>
      <c r="F41" s="15">
        <v>5</v>
      </c>
      <c r="G41" s="46"/>
      <c r="H41" s="264"/>
      <c r="I41" s="265"/>
      <c r="J41" s="266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90"/>
      <c r="B42" s="30" t="s">
        <v>70</v>
      </c>
      <c r="C42" s="71">
        <v>9</v>
      </c>
      <c r="D42" s="15">
        <f>C42*2.25</f>
        <v>20.25</v>
      </c>
      <c r="E42" s="9"/>
      <c r="F42" s="43" t="s">
        <v>79</v>
      </c>
      <c r="G42" s="264">
        <v>100</v>
      </c>
      <c r="H42" s="265"/>
      <c r="I42" s="265"/>
      <c r="J42" s="266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67" t="s">
        <v>81</v>
      </c>
      <c r="C43" s="71"/>
      <c r="D43" s="15"/>
      <c r="E43" s="9"/>
      <c r="F43" s="65" t="s">
        <v>82</v>
      </c>
      <c r="G43" s="124" t="s">
        <v>83</v>
      </c>
      <c r="H43" s="270" t="s">
        <v>13</v>
      </c>
      <c r="I43" s="271"/>
      <c r="J43" s="272"/>
      <c r="K43" s="24"/>
      <c r="P43" s="4"/>
      <c r="Q43" s="4"/>
      <c r="R43" s="5"/>
    </row>
    <row r="44" spans="1:18" ht="15.75" x14ac:dyDescent="0.25">
      <c r="A44" s="268"/>
      <c r="B44" s="30" t="s">
        <v>66</v>
      </c>
      <c r="C44" s="53">
        <v>6</v>
      </c>
      <c r="D44" s="15">
        <f>C44*120</f>
        <v>720</v>
      </c>
      <c r="E44" s="9"/>
      <c r="F44" s="41" t="s">
        <v>154</v>
      </c>
      <c r="G44" s="84" t="s">
        <v>173</v>
      </c>
      <c r="H44" s="255">
        <v>133984</v>
      </c>
      <c r="I44" s="255"/>
      <c r="J44" s="255"/>
      <c r="K44" s="24"/>
      <c r="P44" s="4"/>
      <c r="Q44" s="4"/>
      <c r="R44" s="5"/>
    </row>
    <row r="45" spans="1:18" ht="15.75" x14ac:dyDescent="0.25">
      <c r="A45" s="268"/>
      <c r="B45" s="30" t="s">
        <v>68</v>
      </c>
      <c r="C45" s="90">
        <v>1</v>
      </c>
      <c r="D45" s="15">
        <f>C45*84</f>
        <v>84</v>
      </c>
      <c r="E45" s="9"/>
      <c r="F45" s="41"/>
      <c r="G45" s="84"/>
      <c r="H45" s="255"/>
      <c r="I45" s="255"/>
      <c r="J45" s="255"/>
      <c r="K45" s="24"/>
      <c r="P45" s="4"/>
      <c r="Q45" s="4"/>
      <c r="R45" s="5"/>
    </row>
    <row r="46" spans="1:18" ht="15.75" x14ac:dyDescent="0.25">
      <c r="A46" s="268"/>
      <c r="B46" s="54" t="s">
        <v>70</v>
      </c>
      <c r="C46" s="91">
        <v>10</v>
      </c>
      <c r="D46" s="15">
        <f>C46*1.5</f>
        <v>15</v>
      </c>
      <c r="E46" s="9"/>
      <c r="F46" s="41"/>
      <c r="G46" s="69"/>
      <c r="H46" s="306"/>
      <c r="I46" s="306"/>
      <c r="J46" s="306"/>
      <c r="K46" s="24"/>
      <c r="P46" s="4"/>
      <c r="Q46" s="4"/>
      <c r="R46" s="5"/>
    </row>
    <row r="47" spans="1:18" ht="15.75" x14ac:dyDescent="0.25">
      <c r="A47" s="269"/>
      <c r="B47" s="30"/>
      <c r="C47" s="71"/>
      <c r="D47" s="15"/>
      <c r="E47" s="9"/>
      <c r="F47" s="65"/>
      <c r="G47" s="65"/>
      <c r="H47" s="273"/>
      <c r="I47" s="274"/>
      <c r="J47" s="275"/>
      <c r="K47" s="24"/>
      <c r="P47" s="4"/>
      <c r="Q47" s="4"/>
      <c r="R47" s="5"/>
    </row>
    <row r="48" spans="1:18" ht="15" customHeight="1" x14ac:dyDescent="0.25">
      <c r="A48" s="267" t="s">
        <v>32</v>
      </c>
      <c r="B48" s="30" t="s">
        <v>66</v>
      </c>
      <c r="C48" s="53">
        <v>13</v>
      </c>
      <c r="D48" s="15">
        <f>C48*78</f>
        <v>1014</v>
      </c>
      <c r="E48" s="9"/>
      <c r="F48" s="65"/>
      <c r="G48" s="65"/>
      <c r="H48" s="273"/>
      <c r="I48" s="274"/>
      <c r="J48" s="275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68"/>
      <c r="B49" s="32" t="s">
        <v>68</v>
      </c>
      <c r="C49" s="90">
        <v>7</v>
      </c>
      <c r="D49" s="15">
        <f>C49*42</f>
        <v>294</v>
      </c>
      <c r="E49" s="9"/>
      <c r="F49" s="288" t="s">
        <v>86</v>
      </c>
      <c r="G49" s="240">
        <f>H34+H35+H36+H37+H38+H39+H40+H41+G42+H44+H45+H46</f>
        <v>429984</v>
      </c>
      <c r="H49" s="241"/>
      <c r="I49" s="241"/>
      <c r="J49" s="242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68"/>
      <c r="B50" s="35" t="s">
        <v>70</v>
      </c>
      <c r="C50" s="71">
        <v>1</v>
      </c>
      <c r="D50" s="15">
        <f>C50*1.5</f>
        <v>1.5</v>
      </c>
      <c r="E50" s="9"/>
      <c r="F50" s="289"/>
      <c r="G50" s="243"/>
      <c r="H50" s="244"/>
      <c r="I50" s="244"/>
      <c r="J50" s="245"/>
      <c r="K50" s="9"/>
      <c r="P50" s="4"/>
      <c r="Q50" s="4"/>
      <c r="R50" s="5"/>
    </row>
    <row r="51" spans="1:18" ht="15" customHeight="1" x14ac:dyDescent="0.25">
      <c r="A51" s="268"/>
      <c r="B51" s="30"/>
      <c r="C51" s="53"/>
      <c r="D51" s="34"/>
      <c r="E51" s="9"/>
      <c r="F51" s="290" t="s">
        <v>147</v>
      </c>
      <c r="G51" s="307">
        <f>G49-H29</f>
        <v>344.75</v>
      </c>
      <c r="H51" s="308"/>
      <c r="I51" s="308"/>
      <c r="J51" s="309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68"/>
      <c r="B52" s="32"/>
      <c r="C52" s="36"/>
      <c r="D52" s="49"/>
      <c r="E52" s="9"/>
      <c r="F52" s="291"/>
      <c r="G52" s="310"/>
      <c r="H52" s="311"/>
      <c r="I52" s="311"/>
      <c r="J52" s="312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69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236" t="s">
        <v>90</v>
      </c>
      <c r="B54" s="276"/>
      <c r="C54" s="277"/>
      <c r="D54" s="280">
        <f>SUM(D34:D53)</f>
        <v>74187.75</v>
      </c>
      <c r="E54" s="9"/>
      <c r="F54" s="24"/>
      <c r="G54" s="9"/>
      <c r="H54" s="9"/>
      <c r="I54" s="9"/>
      <c r="J54" s="37"/>
    </row>
    <row r="55" spans="1:18" x14ac:dyDescent="0.25">
      <c r="A55" s="238"/>
      <c r="B55" s="278"/>
      <c r="C55" s="279"/>
      <c r="D55" s="281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119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282" t="s">
        <v>91</v>
      </c>
      <c r="B58" s="283"/>
      <c r="C58" s="283"/>
      <c r="D58" s="284"/>
      <c r="E58" s="9"/>
      <c r="F58" s="282" t="s">
        <v>92</v>
      </c>
      <c r="G58" s="283"/>
      <c r="H58" s="283"/>
      <c r="I58" s="283"/>
      <c r="J58" s="284"/>
    </row>
    <row r="59" spans="1:18" x14ac:dyDescent="0.25">
      <c r="A59" s="285"/>
      <c r="B59" s="286"/>
      <c r="C59" s="286"/>
      <c r="D59" s="287"/>
      <c r="E59" s="9"/>
      <c r="F59" s="285"/>
      <c r="G59" s="286"/>
      <c r="H59" s="286"/>
      <c r="I59" s="286"/>
      <c r="J59" s="287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DC8C8-A77E-4BAF-A6BD-A17D80F2F67B}">
  <dimension ref="A1"/>
  <sheetViews>
    <sheetView workbookViewId="0">
      <selection activeCell="I4" sqref="I4:J5"/>
    </sheetView>
  </sheetViews>
  <sheetFormatPr defaultRowHeight="15" x14ac:dyDescent="0.25"/>
  <sheetData/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2D01C-1AD2-461C-B1FF-5E5BA9BE6209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174" t="s">
        <v>1</v>
      </c>
      <c r="O1" s="174"/>
      <c r="P1" s="130" t="s">
        <v>2</v>
      </c>
      <c r="Q1" s="130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75" t="s">
        <v>7</v>
      </c>
      <c r="B4" s="176"/>
      <c r="C4" s="176"/>
      <c r="D4" s="177"/>
      <c r="E4" s="9"/>
      <c r="F4" s="178" t="s">
        <v>8</v>
      </c>
      <c r="G4" s="180">
        <v>1</v>
      </c>
      <c r="H4" s="182" t="s">
        <v>9</v>
      </c>
      <c r="I4" s="184">
        <v>45790</v>
      </c>
      <c r="J4" s="185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88" t="s">
        <v>7</v>
      </c>
      <c r="B5" s="18" t="s">
        <v>11</v>
      </c>
      <c r="C5" s="12" t="s">
        <v>12</v>
      </c>
      <c r="D5" s="28" t="s">
        <v>13</v>
      </c>
      <c r="E5" s="9"/>
      <c r="F5" s="179"/>
      <c r="G5" s="181"/>
      <c r="H5" s="183"/>
      <c r="I5" s="186"/>
      <c r="J5" s="187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89"/>
      <c r="B6" s="19" t="s">
        <v>15</v>
      </c>
      <c r="C6" s="53">
        <v>360</v>
      </c>
      <c r="D6" s="16">
        <f t="shared" ref="D6:D28" si="1">C6*L6</f>
        <v>265320</v>
      </c>
      <c r="E6" s="9"/>
      <c r="F6" s="191" t="s">
        <v>16</v>
      </c>
      <c r="G6" s="193" t="s">
        <v>128</v>
      </c>
      <c r="H6" s="194"/>
      <c r="I6" s="194"/>
      <c r="J6" s="195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89"/>
      <c r="B7" s="19" t="s">
        <v>18</v>
      </c>
      <c r="C7" s="53">
        <v>6</v>
      </c>
      <c r="D7" s="16">
        <f t="shared" si="1"/>
        <v>4350</v>
      </c>
      <c r="E7" s="9"/>
      <c r="F7" s="192"/>
      <c r="G7" s="196"/>
      <c r="H7" s="197"/>
      <c r="I7" s="197"/>
      <c r="J7" s="198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189"/>
      <c r="B8" s="19" t="s">
        <v>20</v>
      </c>
      <c r="C8" s="53"/>
      <c r="D8" s="16">
        <f t="shared" si="1"/>
        <v>0</v>
      </c>
      <c r="E8" s="9"/>
      <c r="F8" s="199" t="s">
        <v>21</v>
      </c>
      <c r="G8" s="201" t="s">
        <v>113</v>
      </c>
      <c r="H8" s="202"/>
      <c r="I8" s="202"/>
      <c r="J8" s="203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189"/>
      <c r="B9" s="19" t="s">
        <v>23</v>
      </c>
      <c r="C9" s="53">
        <v>35</v>
      </c>
      <c r="D9" s="16">
        <f t="shared" si="1"/>
        <v>24745</v>
      </c>
      <c r="E9" s="9"/>
      <c r="F9" s="192"/>
      <c r="G9" s="204"/>
      <c r="H9" s="205"/>
      <c r="I9" s="205"/>
      <c r="J9" s="206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189"/>
      <c r="B10" s="11" t="s">
        <v>25</v>
      </c>
      <c r="C10" s="53">
        <v>2</v>
      </c>
      <c r="D10" s="16">
        <f t="shared" si="1"/>
        <v>1944</v>
      </c>
      <c r="E10" s="9"/>
      <c r="F10" s="191" t="s">
        <v>26</v>
      </c>
      <c r="G10" s="207" t="s">
        <v>132</v>
      </c>
      <c r="H10" s="208"/>
      <c r="I10" s="208"/>
      <c r="J10" s="209"/>
      <c r="K10" s="10"/>
      <c r="L10" s="6">
        <f>R36</f>
        <v>972</v>
      </c>
      <c r="P10" s="4"/>
      <c r="Q10" s="4"/>
      <c r="R10" s="5"/>
    </row>
    <row r="11" spans="1:18" ht="15.75" x14ac:dyDescent="0.25">
      <c r="A11" s="189"/>
      <c r="B11" s="20" t="s">
        <v>28</v>
      </c>
      <c r="C11" s="53"/>
      <c r="D11" s="16">
        <f t="shared" si="1"/>
        <v>0</v>
      </c>
      <c r="E11" s="9"/>
      <c r="F11" s="192"/>
      <c r="G11" s="204"/>
      <c r="H11" s="205"/>
      <c r="I11" s="205"/>
      <c r="J11" s="206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89"/>
      <c r="B12" s="20" t="s">
        <v>30</v>
      </c>
      <c r="C12" s="53">
        <f>1</f>
        <v>1</v>
      </c>
      <c r="D12" s="52">
        <f t="shared" si="1"/>
        <v>952</v>
      </c>
      <c r="E12" s="9"/>
      <c r="F12" s="210" t="s">
        <v>33</v>
      </c>
      <c r="G12" s="211"/>
      <c r="H12" s="211"/>
      <c r="I12" s="211"/>
      <c r="J12" s="212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89"/>
      <c r="B13" s="20" t="s">
        <v>32</v>
      </c>
      <c r="C13" s="53">
        <v>16</v>
      </c>
      <c r="D13" s="52">
        <f t="shared" si="1"/>
        <v>4912</v>
      </c>
      <c r="E13" s="9"/>
      <c r="F13" s="213" t="s">
        <v>36</v>
      </c>
      <c r="G13" s="214"/>
      <c r="H13" s="215">
        <f>D29</f>
        <v>307223</v>
      </c>
      <c r="I13" s="216"/>
      <c r="J13" s="217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89"/>
      <c r="B14" s="17" t="s">
        <v>35</v>
      </c>
      <c r="C14" s="53">
        <v>6</v>
      </c>
      <c r="D14" s="34">
        <f t="shared" si="1"/>
        <v>66</v>
      </c>
      <c r="E14" s="9"/>
      <c r="F14" s="218" t="s">
        <v>39</v>
      </c>
      <c r="G14" s="219"/>
      <c r="H14" s="220">
        <f>D54</f>
        <v>62829.75</v>
      </c>
      <c r="I14" s="221"/>
      <c r="J14" s="222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89"/>
      <c r="B15" s="17" t="s">
        <v>38</v>
      </c>
      <c r="C15" s="53"/>
      <c r="D15" s="34">
        <f t="shared" si="1"/>
        <v>0</v>
      </c>
      <c r="E15" s="9"/>
      <c r="F15" s="223" t="s">
        <v>40</v>
      </c>
      <c r="G15" s="214"/>
      <c r="H15" s="224">
        <f>H13-H14</f>
        <v>244393.25</v>
      </c>
      <c r="I15" s="225"/>
      <c r="J15" s="226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89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227"/>
      <c r="I16" s="227"/>
      <c r="J16" s="22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89"/>
      <c r="B17" s="11" t="s">
        <v>137</v>
      </c>
      <c r="C17" s="53"/>
      <c r="D17" s="52">
        <f t="shared" si="1"/>
        <v>0</v>
      </c>
      <c r="E17" s="9"/>
      <c r="F17" s="62"/>
      <c r="G17" s="74" t="s">
        <v>45</v>
      </c>
      <c r="H17" s="200"/>
      <c r="I17" s="200"/>
      <c r="J17" s="200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89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200"/>
      <c r="I18" s="200"/>
      <c r="J18" s="200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89"/>
      <c r="B19" s="17" t="s">
        <v>140</v>
      </c>
      <c r="C19" s="53"/>
      <c r="D19" s="52">
        <f t="shared" si="1"/>
        <v>0</v>
      </c>
      <c r="E19" s="9"/>
      <c r="F19" s="62"/>
      <c r="G19" s="76" t="s">
        <v>50</v>
      </c>
      <c r="H19" s="200"/>
      <c r="I19" s="200"/>
      <c r="J19" s="200"/>
      <c r="L19" s="6">
        <v>1102</v>
      </c>
      <c r="Q19" s="4"/>
      <c r="R19" s="5">
        <f t="shared" si="0"/>
        <v>0</v>
      </c>
    </row>
    <row r="20" spans="1:18" ht="15.75" x14ac:dyDescent="0.25">
      <c r="A20" s="189"/>
      <c r="B20" s="97" t="s">
        <v>139</v>
      </c>
      <c r="C20" s="53"/>
      <c r="D20" s="16">
        <f t="shared" si="1"/>
        <v>0</v>
      </c>
      <c r="E20" s="9"/>
      <c r="F20" s="63"/>
      <c r="G20" s="78" t="s">
        <v>124</v>
      </c>
      <c r="H20" s="227"/>
      <c r="I20" s="227"/>
      <c r="J20" s="227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89"/>
      <c r="B21" s="17" t="s">
        <v>138</v>
      </c>
      <c r="C21" s="53"/>
      <c r="D21" s="52">
        <f t="shared" si="1"/>
        <v>0</v>
      </c>
      <c r="E21" s="9"/>
      <c r="F21" s="77" t="s">
        <v>99</v>
      </c>
      <c r="G21" s="92" t="s">
        <v>98</v>
      </c>
      <c r="H21" s="246" t="s">
        <v>13</v>
      </c>
      <c r="I21" s="247"/>
      <c r="J21" s="248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89"/>
      <c r="B22" s="50" t="s">
        <v>175</v>
      </c>
      <c r="C22" s="53">
        <f>1+1</f>
        <v>2</v>
      </c>
      <c r="D22" s="52">
        <f t="shared" si="1"/>
        <v>3164</v>
      </c>
      <c r="E22" s="9"/>
      <c r="F22" s="85" t="s">
        <v>152</v>
      </c>
      <c r="G22" s="81">
        <v>2023</v>
      </c>
      <c r="H22" s="249">
        <v>49305</v>
      </c>
      <c r="I22" s="249"/>
      <c r="J22" s="249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89"/>
      <c r="B23" s="17" t="s">
        <v>174</v>
      </c>
      <c r="C23" s="53">
        <v>1</v>
      </c>
      <c r="D23" s="52">
        <f t="shared" si="1"/>
        <v>1770</v>
      </c>
      <c r="E23" s="9"/>
      <c r="F23" s="85"/>
      <c r="G23" s="87"/>
      <c r="H23" s="250"/>
      <c r="I23" s="251"/>
      <c r="J23" s="251"/>
      <c r="L23" s="51">
        <v>1770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89"/>
      <c r="B24" s="17" t="s">
        <v>126</v>
      </c>
      <c r="C24" s="53"/>
      <c r="D24" s="52">
        <f t="shared" si="1"/>
        <v>0</v>
      </c>
      <c r="E24" s="9"/>
      <c r="F24" s="85"/>
      <c r="G24" s="87"/>
      <c r="H24" s="250"/>
      <c r="I24" s="251"/>
      <c r="J24" s="251"/>
      <c r="L24" s="51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89"/>
      <c r="B25" s="17" t="s">
        <v>121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52" t="s">
        <v>13</v>
      </c>
      <c r="I25" s="253"/>
      <c r="J25" s="254"/>
      <c r="L25" s="51">
        <f>852/24+1.5</f>
        <v>37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89"/>
      <c r="B26" s="17" t="s">
        <v>112</v>
      </c>
      <c r="C26" s="53"/>
      <c r="D26" s="52">
        <f t="shared" si="1"/>
        <v>0</v>
      </c>
      <c r="E26" s="9"/>
      <c r="F26" s="83" t="s">
        <v>152</v>
      </c>
      <c r="G26" s="73">
        <v>2010</v>
      </c>
      <c r="H26" s="255">
        <v>74340</v>
      </c>
      <c r="I26" s="255"/>
      <c r="J26" s="255"/>
      <c r="L26" s="7">
        <f>500/24+1.5</f>
        <v>22.333333333333332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89"/>
      <c r="B27" s="17" t="s">
        <v>120</v>
      </c>
      <c r="C27" s="53"/>
      <c r="D27" s="48">
        <f t="shared" si="1"/>
        <v>0</v>
      </c>
      <c r="E27" s="9"/>
      <c r="F27" s="79"/>
      <c r="G27" s="128"/>
      <c r="H27" s="256"/>
      <c r="I27" s="257"/>
      <c r="J27" s="257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90"/>
      <c r="B28" s="50" t="s">
        <v>97</v>
      </c>
      <c r="C28" s="53"/>
      <c r="D28" s="52">
        <f t="shared" si="1"/>
        <v>0</v>
      </c>
      <c r="E28" s="9"/>
      <c r="F28" s="60"/>
      <c r="G28" s="68"/>
      <c r="H28" s="258"/>
      <c r="I28" s="259"/>
      <c r="J28" s="260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28" t="s">
        <v>36</v>
      </c>
      <c r="B29" s="229"/>
      <c r="C29" s="230"/>
      <c r="D29" s="234">
        <f>SUM(D6:D28)</f>
        <v>307223</v>
      </c>
      <c r="E29" s="9"/>
      <c r="F29" s="236" t="s">
        <v>55</v>
      </c>
      <c r="G29" s="237"/>
      <c r="H29" s="240">
        <f>H15-H16-H17-H18-H19-H20-H22-H23-H24+H26+H27+H28</f>
        <v>269428.25</v>
      </c>
      <c r="I29" s="241"/>
      <c r="J29" s="242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231"/>
      <c r="B30" s="232"/>
      <c r="C30" s="233"/>
      <c r="D30" s="235"/>
      <c r="E30" s="9"/>
      <c r="F30" s="238"/>
      <c r="G30" s="239"/>
      <c r="H30" s="243"/>
      <c r="I30" s="244"/>
      <c r="J30" s="245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5" t="s">
        <v>58</v>
      </c>
      <c r="B32" s="176"/>
      <c r="C32" s="176"/>
      <c r="D32" s="177"/>
      <c r="E32" s="11"/>
      <c r="F32" s="261" t="s">
        <v>59</v>
      </c>
      <c r="G32" s="262"/>
      <c r="H32" s="262"/>
      <c r="I32" s="262"/>
      <c r="J32" s="263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31" t="s">
        <v>63</v>
      </c>
      <c r="H33" s="261" t="s">
        <v>13</v>
      </c>
      <c r="I33" s="262"/>
      <c r="J33" s="263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88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44">
        <v>257</v>
      </c>
      <c r="H34" s="264">
        <f t="shared" ref="H34:H39" si="2">F34*G34</f>
        <v>257000</v>
      </c>
      <c r="I34" s="265"/>
      <c r="J34" s="266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89"/>
      <c r="B35" s="30" t="s">
        <v>68</v>
      </c>
      <c r="C35" s="57"/>
      <c r="D35" s="33">
        <f>C35*84</f>
        <v>0</v>
      </c>
      <c r="E35" s="9"/>
      <c r="F35" s="64">
        <v>500</v>
      </c>
      <c r="G35" s="45">
        <v>29</v>
      </c>
      <c r="H35" s="264">
        <f t="shared" si="2"/>
        <v>14500</v>
      </c>
      <c r="I35" s="265"/>
      <c r="J35" s="266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90"/>
      <c r="B36" s="29" t="s">
        <v>70</v>
      </c>
      <c r="C36" s="53">
        <v>4</v>
      </c>
      <c r="D36" s="15">
        <f>C36*1.5</f>
        <v>6</v>
      </c>
      <c r="E36" s="9"/>
      <c r="F36" s="15">
        <v>200</v>
      </c>
      <c r="G36" s="41"/>
      <c r="H36" s="264">
        <f t="shared" si="2"/>
        <v>0</v>
      </c>
      <c r="I36" s="265"/>
      <c r="J36" s="266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88" t="s">
        <v>72</v>
      </c>
      <c r="B37" s="31" t="s">
        <v>66</v>
      </c>
      <c r="C37" s="58">
        <v>548</v>
      </c>
      <c r="D37" s="15">
        <f>C37*111</f>
        <v>60828</v>
      </c>
      <c r="E37" s="9"/>
      <c r="F37" s="15">
        <v>100</v>
      </c>
      <c r="G37" s="43">
        <v>93</v>
      </c>
      <c r="H37" s="264">
        <f t="shared" si="2"/>
        <v>9300</v>
      </c>
      <c r="I37" s="265"/>
      <c r="J37" s="266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89"/>
      <c r="B38" s="32" t="s">
        <v>68</v>
      </c>
      <c r="C38" s="59">
        <v>8</v>
      </c>
      <c r="D38" s="15">
        <f>C38*84</f>
        <v>672</v>
      </c>
      <c r="E38" s="9"/>
      <c r="F38" s="33">
        <v>50</v>
      </c>
      <c r="G38" s="43">
        <v>48</v>
      </c>
      <c r="H38" s="264">
        <f t="shared" si="2"/>
        <v>2400</v>
      </c>
      <c r="I38" s="265"/>
      <c r="J38" s="266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90"/>
      <c r="B39" s="32" t="s">
        <v>70</v>
      </c>
      <c r="C39" s="57">
        <v>4</v>
      </c>
      <c r="D39" s="34">
        <f>C39*4.5</f>
        <v>18</v>
      </c>
      <c r="E39" s="9"/>
      <c r="F39" s="15">
        <v>20</v>
      </c>
      <c r="G39" s="41">
        <v>2</v>
      </c>
      <c r="H39" s="264">
        <f t="shared" si="2"/>
        <v>40</v>
      </c>
      <c r="I39" s="265"/>
      <c r="J39" s="266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88" t="s">
        <v>76</v>
      </c>
      <c r="B40" s="30" t="s">
        <v>66</v>
      </c>
      <c r="C40" s="70">
        <v>3</v>
      </c>
      <c r="D40" s="15">
        <f>C40*111</f>
        <v>333</v>
      </c>
      <c r="E40" s="9"/>
      <c r="F40" s="15">
        <v>10</v>
      </c>
      <c r="G40" s="46"/>
      <c r="H40" s="264"/>
      <c r="I40" s="265"/>
      <c r="J40" s="266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89"/>
      <c r="B41" s="30" t="s">
        <v>68</v>
      </c>
      <c r="C41" s="53">
        <v>1</v>
      </c>
      <c r="D41" s="15">
        <f>C41*84</f>
        <v>84</v>
      </c>
      <c r="E41" s="9"/>
      <c r="F41" s="15">
        <v>5</v>
      </c>
      <c r="G41" s="46"/>
      <c r="H41" s="264"/>
      <c r="I41" s="265"/>
      <c r="J41" s="266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90"/>
      <c r="B42" s="30" t="s">
        <v>70</v>
      </c>
      <c r="C42" s="71">
        <v>9</v>
      </c>
      <c r="D42" s="15">
        <f>C42*2.25</f>
        <v>20.25</v>
      </c>
      <c r="E42" s="9"/>
      <c r="F42" s="43" t="s">
        <v>79</v>
      </c>
      <c r="G42" s="264">
        <v>184</v>
      </c>
      <c r="H42" s="265"/>
      <c r="I42" s="265"/>
      <c r="J42" s="266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67" t="s">
        <v>81</v>
      </c>
      <c r="C43" s="71"/>
      <c r="D43" s="15"/>
      <c r="E43" s="9"/>
      <c r="F43" s="65" t="s">
        <v>82</v>
      </c>
      <c r="G43" s="128" t="s">
        <v>83</v>
      </c>
      <c r="H43" s="270" t="s">
        <v>13</v>
      </c>
      <c r="I43" s="271"/>
      <c r="J43" s="272"/>
      <c r="K43" s="24"/>
      <c r="O43" t="s">
        <v>103</v>
      </c>
      <c r="P43" s="4">
        <v>1667</v>
      </c>
      <c r="Q43" s="4"/>
      <c r="R43" s="5"/>
    </row>
    <row r="44" spans="1:18" ht="15.75" x14ac:dyDescent="0.25">
      <c r="A44" s="268"/>
      <c r="B44" s="30" t="s">
        <v>66</v>
      </c>
      <c r="C44" s="53"/>
      <c r="D44" s="15">
        <f>C44*120</f>
        <v>0</v>
      </c>
      <c r="E44" s="9"/>
      <c r="F44" s="41"/>
      <c r="G44" s="69"/>
      <c r="H44" s="255"/>
      <c r="I44" s="255"/>
      <c r="J44" s="255"/>
      <c r="K44" s="24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268"/>
      <c r="B45" s="30" t="s">
        <v>68</v>
      </c>
      <c r="C45" s="90">
        <v>1</v>
      </c>
      <c r="D45" s="15">
        <f>C45*84</f>
        <v>84</v>
      </c>
      <c r="E45" s="9"/>
      <c r="F45" s="41"/>
      <c r="G45" s="69"/>
      <c r="H45" s="255"/>
      <c r="I45" s="255"/>
      <c r="J45" s="255"/>
      <c r="K45" s="24"/>
      <c r="P45" s="4"/>
      <c r="Q45" s="4"/>
      <c r="R45" s="5"/>
    </row>
    <row r="46" spans="1:18" ht="15.75" x14ac:dyDescent="0.25">
      <c r="A46" s="268"/>
      <c r="B46" s="54" t="s">
        <v>70</v>
      </c>
      <c r="C46" s="91">
        <v>21</v>
      </c>
      <c r="D46" s="15">
        <f>C46*1.5</f>
        <v>31.5</v>
      </c>
      <c r="E46" s="9"/>
      <c r="F46" s="41"/>
      <c r="G46" s="69"/>
      <c r="H46" s="255"/>
      <c r="I46" s="255"/>
      <c r="J46" s="255"/>
      <c r="K46" s="24"/>
      <c r="P46" s="4"/>
      <c r="Q46" s="4"/>
      <c r="R46" s="5"/>
    </row>
    <row r="47" spans="1:18" ht="15.75" x14ac:dyDescent="0.25">
      <c r="A47" s="269"/>
      <c r="B47" s="30"/>
      <c r="C47" s="71"/>
      <c r="D47" s="15"/>
      <c r="E47" s="9"/>
      <c r="F47" s="65"/>
      <c r="G47" s="65"/>
      <c r="H47" s="273"/>
      <c r="I47" s="274"/>
      <c r="J47" s="275"/>
      <c r="K47" s="24"/>
      <c r="P47" s="4"/>
      <c r="Q47" s="4"/>
      <c r="R47" s="5"/>
    </row>
    <row r="48" spans="1:18" ht="15" customHeight="1" x14ac:dyDescent="0.25">
      <c r="A48" s="267" t="s">
        <v>32</v>
      </c>
      <c r="B48" s="30" t="s">
        <v>66</v>
      </c>
      <c r="C48" s="53">
        <v>8</v>
      </c>
      <c r="D48" s="15">
        <f>C48*78</f>
        <v>624</v>
      </c>
      <c r="E48" s="9"/>
      <c r="F48" s="65"/>
      <c r="G48" s="65"/>
      <c r="H48" s="273"/>
      <c r="I48" s="274"/>
      <c r="J48" s="275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68"/>
      <c r="B49" s="32" t="s">
        <v>68</v>
      </c>
      <c r="C49" s="90">
        <v>2</v>
      </c>
      <c r="D49" s="15">
        <f>C49*42</f>
        <v>84</v>
      </c>
      <c r="E49" s="9"/>
      <c r="F49" s="288" t="s">
        <v>86</v>
      </c>
      <c r="G49" s="240">
        <f>H34+H35+H36+H37+H38+H39+H40+H41+G42+H44+H45+H46</f>
        <v>283424</v>
      </c>
      <c r="H49" s="241"/>
      <c r="I49" s="241"/>
      <c r="J49" s="242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68"/>
      <c r="B50" s="35" t="s">
        <v>70</v>
      </c>
      <c r="C50" s="71">
        <v>30</v>
      </c>
      <c r="D50" s="15">
        <f>C50*1.5</f>
        <v>45</v>
      </c>
      <c r="E50" s="9"/>
      <c r="F50" s="289"/>
      <c r="G50" s="243"/>
      <c r="H50" s="244"/>
      <c r="I50" s="244"/>
      <c r="J50" s="245"/>
      <c r="K50" s="9"/>
      <c r="P50" s="4"/>
      <c r="Q50" s="4"/>
      <c r="R50" s="5"/>
    </row>
    <row r="51" spans="1:18" ht="15" customHeight="1" x14ac:dyDescent="0.25">
      <c r="A51" s="268"/>
      <c r="B51" s="30"/>
      <c r="C51" s="13"/>
      <c r="D51" s="34"/>
      <c r="E51" s="9"/>
      <c r="F51" s="290" t="s">
        <v>147</v>
      </c>
      <c r="G51" s="320">
        <f>G49-H29</f>
        <v>13995.75</v>
      </c>
      <c r="H51" s="321"/>
      <c r="I51" s="321"/>
      <c r="J51" s="322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68"/>
      <c r="B52" s="32"/>
      <c r="C52" s="36"/>
      <c r="D52" s="49"/>
      <c r="E52" s="9"/>
      <c r="F52" s="291"/>
      <c r="G52" s="323"/>
      <c r="H52" s="324"/>
      <c r="I52" s="324"/>
      <c r="J52" s="325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69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236" t="s">
        <v>90</v>
      </c>
      <c r="B54" s="276"/>
      <c r="C54" s="277"/>
      <c r="D54" s="280">
        <f>SUM(D34:D53)</f>
        <v>62829.75</v>
      </c>
      <c r="E54" s="9"/>
      <c r="F54" s="24"/>
      <c r="G54" s="9"/>
      <c r="H54" s="9"/>
      <c r="I54" s="9"/>
      <c r="J54" s="37"/>
      <c r="O54" t="s">
        <v>102</v>
      </c>
      <c r="P54" s="4">
        <v>1582</v>
      </c>
      <c r="R54" s="3">
        <v>1582</v>
      </c>
    </row>
    <row r="55" spans="1:18" x14ac:dyDescent="0.25">
      <c r="A55" s="238"/>
      <c r="B55" s="278"/>
      <c r="C55" s="279"/>
      <c r="D55" s="281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129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282" t="s">
        <v>91</v>
      </c>
      <c r="B58" s="283"/>
      <c r="C58" s="283"/>
      <c r="D58" s="284"/>
      <c r="E58" s="9"/>
      <c r="F58" s="282" t="s">
        <v>92</v>
      </c>
      <c r="G58" s="283"/>
      <c r="H58" s="283"/>
      <c r="I58" s="283"/>
      <c r="J58" s="284"/>
    </row>
    <row r="59" spans="1:18" x14ac:dyDescent="0.25">
      <c r="A59" s="285"/>
      <c r="B59" s="286"/>
      <c r="C59" s="286"/>
      <c r="D59" s="287"/>
      <c r="E59" s="9"/>
      <c r="F59" s="285"/>
      <c r="G59" s="286"/>
      <c r="H59" s="286"/>
      <c r="I59" s="286"/>
      <c r="J59" s="287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9E2E2-28A8-42E1-8AE5-95F903D4C3CE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174" t="s">
        <v>1</v>
      </c>
      <c r="O1" s="174"/>
      <c r="P1" s="93" t="s">
        <v>2</v>
      </c>
      <c r="Q1" s="93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75" t="s">
        <v>7</v>
      </c>
      <c r="B4" s="176"/>
      <c r="C4" s="176"/>
      <c r="D4" s="177"/>
      <c r="E4" s="9"/>
      <c r="F4" s="178" t="s">
        <v>8</v>
      </c>
      <c r="G4" s="180">
        <v>2</v>
      </c>
      <c r="H4" s="182" t="s">
        <v>9</v>
      </c>
      <c r="I4" s="184">
        <v>45778</v>
      </c>
      <c r="J4" s="185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88" t="s">
        <v>7</v>
      </c>
      <c r="B5" s="18" t="s">
        <v>11</v>
      </c>
      <c r="C5" s="12" t="s">
        <v>12</v>
      </c>
      <c r="D5" s="28" t="s">
        <v>13</v>
      </c>
      <c r="E5" s="9"/>
      <c r="F5" s="179"/>
      <c r="G5" s="181"/>
      <c r="H5" s="183"/>
      <c r="I5" s="186"/>
      <c r="J5" s="187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89"/>
      <c r="B6" s="19" t="s">
        <v>15</v>
      </c>
      <c r="C6" s="53">
        <v>170</v>
      </c>
      <c r="D6" s="16">
        <f t="shared" ref="D6:D28" si="1">C6*L6</f>
        <v>125290</v>
      </c>
      <c r="E6" s="9"/>
      <c r="F6" s="191" t="s">
        <v>16</v>
      </c>
      <c r="G6" s="193" t="s">
        <v>127</v>
      </c>
      <c r="H6" s="194"/>
      <c r="I6" s="194"/>
      <c r="J6" s="195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89"/>
      <c r="B7" s="19" t="s">
        <v>18</v>
      </c>
      <c r="C7" s="53">
        <v>1</v>
      </c>
      <c r="D7" s="16">
        <f t="shared" si="1"/>
        <v>725</v>
      </c>
      <c r="E7" s="9"/>
      <c r="F7" s="192"/>
      <c r="G7" s="196"/>
      <c r="H7" s="197"/>
      <c r="I7" s="197"/>
      <c r="J7" s="198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189"/>
      <c r="B8" s="19" t="s">
        <v>20</v>
      </c>
      <c r="C8" s="53"/>
      <c r="D8" s="16">
        <f t="shared" si="1"/>
        <v>0</v>
      </c>
      <c r="E8" s="9"/>
      <c r="F8" s="199" t="s">
        <v>21</v>
      </c>
      <c r="G8" s="201" t="s">
        <v>115</v>
      </c>
      <c r="H8" s="202"/>
      <c r="I8" s="202"/>
      <c r="J8" s="203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189"/>
      <c r="B9" s="19" t="s">
        <v>23</v>
      </c>
      <c r="C9" s="53">
        <v>34</v>
      </c>
      <c r="D9" s="16">
        <f t="shared" si="1"/>
        <v>24038</v>
      </c>
      <c r="E9" s="9"/>
      <c r="F9" s="192"/>
      <c r="G9" s="204"/>
      <c r="H9" s="205"/>
      <c r="I9" s="205"/>
      <c r="J9" s="206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189"/>
      <c r="B10" s="11" t="s">
        <v>25</v>
      </c>
      <c r="C10" s="53"/>
      <c r="D10" s="16">
        <f t="shared" si="1"/>
        <v>0</v>
      </c>
      <c r="E10" s="9"/>
      <c r="F10" s="191" t="s">
        <v>26</v>
      </c>
      <c r="G10" s="207" t="s">
        <v>116</v>
      </c>
      <c r="H10" s="208"/>
      <c r="I10" s="208"/>
      <c r="J10" s="209"/>
      <c r="K10" s="10"/>
      <c r="L10" s="6">
        <f>R36</f>
        <v>972</v>
      </c>
      <c r="P10" s="4"/>
      <c r="Q10" s="4"/>
      <c r="R10" s="5"/>
    </row>
    <row r="11" spans="1:18" ht="15.75" x14ac:dyDescent="0.25">
      <c r="A11" s="189"/>
      <c r="B11" s="20" t="s">
        <v>28</v>
      </c>
      <c r="C11" s="53"/>
      <c r="D11" s="16">
        <f t="shared" si="1"/>
        <v>0</v>
      </c>
      <c r="E11" s="9"/>
      <c r="F11" s="192"/>
      <c r="G11" s="204"/>
      <c r="H11" s="205"/>
      <c r="I11" s="205"/>
      <c r="J11" s="206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89"/>
      <c r="B12" s="20" t="s">
        <v>30</v>
      </c>
      <c r="C12" s="53">
        <f>1+2</f>
        <v>3</v>
      </c>
      <c r="D12" s="52">
        <f t="shared" si="1"/>
        <v>2856</v>
      </c>
      <c r="E12" s="9"/>
      <c r="F12" s="210" t="s">
        <v>33</v>
      </c>
      <c r="G12" s="211"/>
      <c r="H12" s="211"/>
      <c r="I12" s="211"/>
      <c r="J12" s="212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89"/>
      <c r="B13" s="20" t="s">
        <v>32</v>
      </c>
      <c r="C13" s="53">
        <v>5</v>
      </c>
      <c r="D13" s="52">
        <f t="shared" si="1"/>
        <v>1535</v>
      </c>
      <c r="E13" s="9"/>
      <c r="F13" s="213" t="s">
        <v>36</v>
      </c>
      <c r="G13" s="214"/>
      <c r="H13" s="215">
        <f>D29</f>
        <v>155284</v>
      </c>
      <c r="I13" s="216"/>
      <c r="J13" s="217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89"/>
      <c r="B14" s="17" t="s">
        <v>35</v>
      </c>
      <c r="C14" s="53">
        <v>5</v>
      </c>
      <c r="D14" s="34">
        <f t="shared" si="1"/>
        <v>55</v>
      </c>
      <c r="E14" s="9"/>
      <c r="F14" s="218" t="s">
        <v>39</v>
      </c>
      <c r="G14" s="219"/>
      <c r="H14" s="220">
        <f>D54</f>
        <v>23328</v>
      </c>
      <c r="I14" s="221"/>
      <c r="J14" s="222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89"/>
      <c r="B15" s="17" t="s">
        <v>38</v>
      </c>
      <c r="C15" s="53"/>
      <c r="D15" s="34">
        <f t="shared" si="1"/>
        <v>0</v>
      </c>
      <c r="E15" s="9"/>
      <c r="F15" s="223" t="s">
        <v>40</v>
      </c>
      <c r="G15" s="214"/>
      <c r="H15" s="224">
        <f>H13-H14</f>
        <v>131956</v>
      </c>
      <c r="I15" s="225"/>
      <c r="J15" s="226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89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227">
        <v>664</v>
      </c>
      <c r="I16" s="227"/>
      <c r="J16" s="22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89"/>
      <c r="B17" s="11" t="s">
        <v>93</v>
      </c>
      <c r="C17" s="53"/>
      <c r="D17" s="52">
        <f t="shared" si="1"/>
        <v>0</v>
      </c>
      <c r="E17" s="9"/>
      <c r="F17" s="62"/>
      <c r="G17" s="74" t="s">
        <v>45</v>
      </c>
      <c r="H17" s="200"/>
      <c r="I17" s="200"/>
      <c r="J17" s="200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89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200"/>
      <c r="I18" s="200"/>
      <c r="J18" s="200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89"/>
      <c r="B19" s="17" t="s">
        <v>96</v>
      </c>
      <c r="C19" s="53"/>
      <c r="D19" s="52">
        <f t="shared" si="1"/>
        <v>0</v>
      </c>
      <c r="E19" s="9"/>
      <c r="F19" s="62"/>
      <c r="G19" s="76" t="s">
        <v>50</v>
      </c>
      <c r="H19" s="298"/>
      <c r="I19" s="298"/>
      <c r="J19" s="298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89"/>
      <c r="B20" s="50" t="s">
        <v>131</v>
      </c>
      <c r="C20" s="53"/>
      <c r="D20" s="16">
        <f t="shared" si="1"/>
        <v>0</v>
      </c>
      <c r="E20" s="9"/>
      <c r="F20" s="63"/>
      <c r="G20" s="78" t="s">
        <v>124</v>
      </c>
      <c r="H20" s="200"/>
      <c r="I20" s="200"/>
      <c r="J20" s="200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89"/>
      <c r="B21" s="17" t="s">
        <v>130</v>
      </c>
      <c r="C21" s="53"/>
      <c r="D21" s="52">
        <f t="shared" si="1"/>
        <v>0</v>
      </c>
      <c r="E21" s="9"/>
      <c r="F21" s="77" t="s">
        <v>99</v>
      </c>
      <c r="G21" s="92" t="s">
        <v>98</v>
      </c>
      <c r="H21" s="246" t="s">
        <v>13</v>
      </c>
      <c r="I21" s="247"/>
      <c r="J21" s="248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89"/>
      <c r="B22" s="50" t="s">
        <v>104</v>
      </c>
      <c r="C22" s="53"/>
      <c r="D22" s="52">
        <f t="shared" si="1"/>
        <v>0</v>
      </c>
      <c r="E22" s="9"/>
      <c r="F22" s="80"/>
      <c r="G22" s="81"/>
      <c r="H22" s="249"/>
      <c r="I22" s="249"/>
      <c r="J22" s="249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89"/>
      <c r="B23" s="17" t="s">
        <v>107</v>
      </c>
      <c r="C23" s="53"/>
      <c r="D23" s="52">
        <f t="shared" si="1"/>
        <v>0</v>
      </c>
      <c r="E23" s="9"/>
      <c r="F23" s="28"/>
      <c r="G23" s="41"/>
      <c r="H23" s="299"/>
      <c r="I23" s="255"/>
      <c r="J23" s="255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89"/>
      <c r="B24" s="17" t="s">
        <v>133</v>
      </c>
      <c r="C24" s="53"/>
      <c r="D24" s="52">
        <f t="shared" si="1"/>
        <v>0</v>
      </c>
      <c r="E24" s="9"/>
      <c r="F24" s="42"/>
      <c r="G24" s="41"/>
      <c r="H24" s="299"/>
      <c r="I24" s="255"/>
      <c r="J24" s="255"/>
      <c r="L24" s="51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89"/>
      <c r="B25" s="17" t="s">
        <v>134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52" t="s">
        <v>13</v>
      </c>
      <c r="I25" s="253"/>
      <c r="J25" s="254"/>
      <c r="L25" s="51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89"/>
      <c r="B26" s="17" t="s">
        <v>105</v>
      </c>
      <c r="C26" s="53"/>
      <c r="D26" s="52">
        <f t="shared" si="1"/>
        <v>0</v>
      </c>
      <c r="E26" s="9"/>
      <c r="F26" s="72"/>
      <c r="G26" s="13"/>
      <c r="H26" s="300"/>
      <c r="I26" s="301"/>
      <c r="J26" s="302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89"/>
      <c r="B27" s="17" t="s">
        <v>109</v>
      </c>
      <c r="C27" s="53"/>
      <c r="D27" s="48">
        <f t="shared" si="1"/>
        <v>0</v>
      </c>
      <c r="E27" s="9"/>
      <c r="F27" s="67"/>
      <c r="G27" s="67"/>
      <c r="H27" s="303"/>
      <c r="I27" s="304"/>
      <c r="J27" s="305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90"/>
      <c r="B28" s="50" t="s">
        <v>97</v>
      </c>
      <c r="C28" s="53">
        <v>1</v>
      </c>
      <c r="D28" s="52">
        <f t="shared" si="1"/>
        <v>785</v>
      </c>
      <c r="E28" s="9"/>
      <c r="F28" s="60"/>
      <c r="G28" s="68"/>
      <c r="H28" s="258"/>
      <c r="I28" s="259"/>
      <c r="J28" s="260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28" t="s">
        <v>36</v>
      </c>
      <c r="B29" s="229"/>
      <c r="C29" s="230"/>
      <c r="D29" s="234">
        <f>SUM(D6:D28)</f>
        <v>155284</v>
      </c>
      <c r="E29" s="9"/>
      <c r="F29" s="236" t="s">
        <v>55</v>
      </c>
      <c r="G29" s="237"/>
      <c r="H29" s="240">
        <f>H15-H16-H17-H18-H19-H20-H22-H23-H24+H26+H27</f>
        <v>131292</v>
      </c>
      <c r="I29" s="241"/>
      <c r="J29" s="242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231"/>
      <c r="B30" s="232"/>
      <c r="C30" s="233"/>
      <c r="D30" s="235"/>
      <c r="E30" s="9"/>
      <c r="F30" s="238"/>
      <c r="G30" s="239"/>
      <c r="H30" s="243"/>
      <c r="I30" s="244"/>
      <c r="J30" s="245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5" t="s">
        <v>58</v>
      </c>
      <c r="B32" s="176"/>
      <c r="C32" s="176"/>
      <c r="D32" s="177"/>
      <c r="E32" s="11"/>
      <c r="F32" s="261" t="s">
        <v>59</v>
      </c>
      <c r="G32" s="262"/>
      <c r="H32" s="262"/>
      <c r="I32" s="262"/>
      <c r="J32" s="263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94" t="s">
        <v>63</v>
      </c>
      <c r="H33" s="261" t="s">
        <v>13</v>
      </c>
      <c r="I33" s="262"/>
      <c r="J33" s="263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88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82">
        <v>126</v>
      </c>
      <c r="H34" s="264">
        <f>F34*G34</f>
        <v>126000</v>
      </c>
      <c r="I34" s="265"/>
      <c r="J34" s="266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89"/>
      <c r="B35" s="30" t="s">
        <v>68</v>
      </c>
      <c r="C35" s="57"/>
      <c r="D35" s="33">
        <f>C35*84</f>
        <v>0</v>
      </c>
      <c r="E35" s="9"/>
      <c r="F35" s="64">
        <v>500</v>
      </c>
      <c r="G35" s="45">
        <v>10</v>
      </c>
      <c r="H35" s="264">
        <f t="shared" ref="H35:H39" si="2">F35*G35</f>
        <v>5000</v>
      </c>
      <c r="I35" s="265"/>
      <c r="J35" s="266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90"/>
      <c r="B36" s="29" t="s">
        <v>70</v>
      </c>
      <c r="C36" s="53"/>
      <c r="D36" s="15">
        <f>C36*1.5</f>
        <v>0</v>
      </c>
      <c r="E36" s="9"/>
      <c r="F36" s="15">
        <v>200</v>
      </c>
      <c r="G36" s="41"/>
      <c r="H36" s="264">
        <f t="shared" si="2"/>
        <v>0</v>
      </c>
      <c r="I36" s="265"/>
      <c r="J36" s="266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88" t="s">
        <v>72</v>
      </c>
      <c r="B37" s="31" t="s">
        <v>66</v>
      </c>
      <c r="C37" s="58">
        <v>199</v>
      </c>
      <c r="D37" s="15">
        <f>C37*111</f>
        <v>22089</v>
      </c>
      <c r="E37" s="9"/>
      <c r="F37" s="15">
        <v>100</v>
      </c>
      <c r="G37" s="43">
        <v>4</v>
      </c>
      <c r="H37" s="264">
        <f t="shared" si="2"/>
        <v>400</v>
      </c>
      <c r="I37" s="265"/>
      <c r="J37" s="266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89"/>
      <c r="B38" s="32" t="s">
        <v>68</v>
      </c>
      <c r="C38" s="59">
        <v>4</v>
      </c>
      <c r="D38" s="15">
        <f>C38*84</f>
        <v>336</v>
      </c>
      <c r="E38" s="9"/>
      <c r="F38" s="33">
        <v>50</v>
      </c>
      <c r="G38" s="43">
        <v>1</v>
      </c>
      <c r="H38" s="264">
        <f t="shared" si="2"/>
        <v>50</v>
      </c>
      <c r="I38" s="265"/>
      <c r="J38" s="266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90"/>
      <c r="B39" s="32" t="s">
        <v>70</v>
      </c>
      <c r="C39" s="57">
        <v>2</v>
      </c>
      <c r="D39" s="34">
        <f>C39*4.5</f>
        <v>9</v>
      </c>
      <c r="E39" s="9"/>
      <c r="F39" s="15">
        <v>20</v>
      </c>
      <c r="G39" s="41"/>
      <c r="H39" s="264">
        <f t="shared" si="2"/>
        <v>0</v>
      </c>
      <c r="I39" s="265"/>
      <c r="J39" s="266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88" t="s">
        <v>76</v>
      </c>
      <c r="B40" s="30" t="s">
        <v>66</v>
      </c>
      <c r="C40" s="70">
        <v>1</v>
      </c>
      <c r="D40" s="15">
        <f>C40*111</f>
        <v>111</v>
      </c>
      <c r="E40" s="9"/>
      <c r="F40" s="15">
        <v>10</v>
      </c>
      <c r="G40" s="46"/>
      <c r="H40" s="264"/>
      <c r="I40" s="265"/>
      <c r="J40" s="266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89"/>
      <c r="B41" s="30" t="s">
        <v>68</v>
      </c>
      <c r="C41" s="53">
        <v>1</v>
      </c>
      <c r="D41" s="15">
        <f>C41*84</f>
        <v>84</v>
      </c>
      <c r="E41" s="9"/>
      <c r="F41" s="15">
        <v>5</v>
      </c>
      <c r="G41" s="46"/>
      <c r="H41" s="264"/>
      <c r="I41" s="265"/>
      <c r="J41" s="266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90"/>
      <c r="B42" s="30" t="s">
        <v>70</v>
      </c>
      <c r="C42" s="71">
        <v>4</v>
      </c>
      <c r="D42" s="15">
        <f>C42*2.25</f>
        <v>9</v>
      </c>
      <c r="E42" s="9"/>
      <c r="F42" s="43" t="s">
        <v>79</v>
      </c>
      <c r="G42" s="264">
        <v>21</v>
      </c>
      <c r="H42" s="265"/>
      <c r="I42" s="265"/>
      <c r="J42" s="266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67" t="s">
        <v>81</v>
      </c>
      <c r="C43" s="71"/>
      <c r="D43" s="15"/>
      <c r="E43" s="9"/>
      <c r="F43" s="65" t="s">
        <v>82</v>
      </c>
      <c r="G43" s="96" t="s">
        <v>83</v>
      </c>
      <c r="H43" s="270" t="s">
        <v>13</v>
      </c>
      <c r="I43" s="271"/>
      <c r="J43" s="272"/>
      <c r="K43" s="24"/>
      <c r="P43" s="4"/>
      <c r="Q43" s="4"/>
      <c r="R43" s="5"/>
    </row>
    <row r="44" spans="1:18" ht="15.75" x14ac:dyDescent="0.25">
      <c r="A44" s="268"/>
      <c r="B44" s="30" t="s">
        <v>66</v>
      </c>
      <c r="C44" s="53">
        <v>3</v>
      </c>
      <c r="D44" s="15">
        <f>C44*120</f>
        <v>360</v>
      </c>
      <c r="E44" s="9"/>
      <c r="F44" s="41"/>
      <c r="G44" s="69"/>
      <c r="H44" s="255"/>
      <c r="I44" s="255"/>
      <c r="J44" s="255"/>
      <c r="K44" s="24"/>
      <c r="P44" s="4"/>
      <c r="Q44" s="4"/>
      <c r="R44" s="5"/>
    </row>
    <row r="45" spans="1:18" ht="15.75" x14ac:dyDescent="0.25">
      <c r="A45" s="268"/>
      <c r="B45" s="30" t="s">
        <v>68</v>
      </c>
      <c r="C45" s="90"/>
      <c r="D45" s="15">
        <f>C45*84</f>
        <v>0</v>
      </c>
      <c r="E45" s="9"/>
      <c r="F45" s="41"/>
      <c r="G45" s="69"/>
      <c r="H45" s="255"/>
      <c r="I45" s="255"/>
      <c r="J45" s="255"/>
      <c r="K45" s="24"/>
      <c r="P45" s="4"/>
      <c r="Q45" s="4"/>
      <c r="R45" s="5"/>
    </row>
    <row r="46" spans="1:18" ht="15.75" x14ac:dyDescent="0.25">
      <c r="A46" s="268"/>
      <c r="B46" s="54" t="s">
        <v>70</v>
      </c>
      <c r="C46" s="91">
        <v>2</v>
      </c>
      <c r="D46" s="15">
        <f>C46*1.5</f>
        <v>3</v>
      </c>
      <c r="E46" s="9"/>
      <c r="F46" s="41"/>
      <c r="G46" s="95"/>
      <c r="H46" s="306"/>
      <c r="I46" s="306"/>
      <c r="J46" s="306"/>
      <c r="K46" s="24"/>
      <c r="P46" s="4"/>
      <c r="Q46" s="4"/>
      <c r="R46" s="5"/>
    </row>
    <row r="47" spans="1:18" ht="15.75" x14ac:dyDescent="0.25">
      <c r="A47" s="269"/>
      <c r="B47" s="30"/>
      <c r="C47" s="71"/>
      <c r="D47" s="15"/>
      <c r="E47" s="9"/>
      <c r="F47" s="65"/>
      <c r="G47" s="65"/>
      <c r="H47" s="273"/>
      <c r="I47" s="274"/>
      <c r="J47" s="275"/>
      <c r="K47" s="24"/>
      <c r="P47" s="4"/>
      <c r="Q47" s="4"/>
      <c r="R47" s="5"/>
    </row>
    <row r="48" spans="1:18" ht="15" customHeight="1" x14ac:dyDescent="0.25">
      <c r="A48" s="267" t="s">
        <v>32</v>
      </c>
      <c r="B48" s="30" t="s">
        <v>66</v>
      </c>
      <c r="C48" s="53">
        <v>2</v>
      </c>
      <c r="D48" s="15">
        <f>C48*78</f>
        <v>156</v>
      </c>
      <c r="E48" s="9"/>
      <c r="F48" s="65"/>
      <c r="G48" s="65"/>
      <c r="H48" s="273"/>
      <c r="I48" s="274"/>
      <c r="J48" s="275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68"/>
      <c r="B49" s="32" t="s">
        <v>68</v>
      </c>
      <c r="C49" s="90">
        <v>4</v>
      </c>
      <c r="D49" s="15">
        <f>C49*42</f>
        <v>168</v>
      </c>
      <c r="E49" s="9"/>
      <c r="F49" s="288" t="s">
        <v>86</v>
      </c>
      <c r="G49" s="240">
        <f>H34+H35+H36+H37+H38+H39+H40+H41+G42+H44+H45+H46</f>
        <v>131471</v>
      </c>
      <c r="H49" s="241"/>
      <c r="I49" s="241"/>
      <c r="J49" s="242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68"/>
      <c r="B50" s="35" t="s">
        <v>70</v>
      </c>
      <c r="C50" s="71">
        <v>2</v>
      </c>
      <c r="D50" s="15">
        <f>C50*1.5</f>
        <v>3</v>
      </c>
      <c r="E50" s="9"/>
      <c r="F50" s="289"/>
      <c r="G50" s="243"/>
      <c r="H50" s="244"/>
      <c r="I50" s="244"/>
      <c r="J50" s="245"/>
      <c r="K50" s="9"/>
      <c r="P50" s="4"/>
      <c r="Q50" s="4"/>
      <c r="R50" s="5"/>
    </row>
    <row r="51" spans="1:18" ht="15" customHeight="1" x14ac:dyDescent="0.25">
      <c r="A51" s="268"/>
      <c r="B51" s="30"/>
      <c r="C51" s="13"/>
      <c r="D51" s="34"/>
      <c r="E51" s="9"/>
      <c r="F51" s="290" t="s">
        <v>144</v>
      </c>
      <c r="G51" s="307">
        <f>G49-H29</f>
        <v>179</v>
      </c>
      <c r="H51" s="308"/>
      <c r="I51" s="308"/>
      <c r="J51" s="309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68"/>
      <c r="B52" s="32"/>
      <c r="C52" s="36"/>
      <c r="D52" s="49"/>
      <c r="E52" s="9"/>
      <c r="F52" s="291"/>
      <c r="G52" s="310"/>
      <c r="H52" s="311"/>
      <c r="I52" s="311"/>
      <c r="J52" s="312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69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236" t="s">
        <v>90</v>
      </c>
      <c r="B54" s="276"/>
      <c r="C54" s="277"/>
      <c r="D54" s="280">
        <f>SUM(D34:D53)</f>
        <v>23328</v>
      </c>
      <c r="E54" s="9"/>
      <c r="F54" s="24"/>
      <c r="G54" s="9"/>
      <c r="H54" s="9"/>
      <c r="I54" s="9"/>
      <c r="J54" s="37"/>
    </row>
    <row r="55" spans="1:18" x14ac:dyDescent="0.25">
      <c r="A55" s="238"/>
      <c r="B55" s="278"/>
      <c r="C55" s="279"/>
      <c r="D55" s="281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136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282" t="s">
        <v>91</v>
      </c>
      <c r="B58" s="283"/>
      <c r="C58" s="283"/>
      <c r="D58" s="284"/>
      <c r="E58" s="9"/>
      <c r="F58" s="282" t="s">
        <v>92</v>
      </c>
      <c r="G58" s="283"/>
      <c r="H58" s="283"/>
      <c r="I58" s="283"/>
      <c r="J58" s="284"/>
    </row>
    <row r="59" spans="1:18" x14ac:dyDescent="0.25">
      <c r="A59" s="285"/>
      <c r="B59" s="286"/>
      <c r="C59" s="286"/>
      <c r="D59" s="287"/>
      <c r="E59" s="9"/>
      <c r="F59" s="285"/>
      <c r="G59" s="286"/>
      <c r="H59" s="286"/>
      <c r="I59" s="286"/>
      <c r="J59" s="287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7B770-7BD5-43E9-8788-4E82072B1115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174" t="s">
        <v>1</v>
      </c>
      <c r="O1" s="174"/>
      <c r="P1" s="130" t="s">
        <v>2</v>
      </c>
      <c r="Q1" s="130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75" t="s">
        <v>7</v>
      </c>
      <c r="B4" s="176"/>
      <c r="C4" s="176"/>
      <c r="D4" s="177"/>
      <c r="E4" s="9"/>
      <c r="F4" s="178" t="s">
        <v>8</v>
      </c>
      <c r="G4" s="180">
        <v>2</v>
      </c>
      <c r="H4" s="182" t="s">
        <v>9</v>
      </c>
      <c r="I4" s="184">
        <v>45790</v>
      </c>
      <c r="J4" s="185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88" t="s">
        <v>7</v>
      </c>
      <c r="B5" s="18" t="s">
        <v>11</v>
      </c>
      <c r="C5" s="12" t="s">
        <v>12</v>
      </c>
      <c r="D5" s="28" t="s">
        <v>13</v>
      </c>
      <c r="E5" s="9"/>
      <c r="F5" s="179"/>
      <c r="G5" s="181"/>
      <c r="H5" s="183"/>
      <c r="I5" s="186"/>
      <c r="J5" s="187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89"/>
      <c r="B6" s="19" t="s">
        <v>15</v>
      </c>
      <c r="C6" s="53">
        <v>667</v>
      </c>
      <c r="D6" s="16">
        <f t="shared" ref="D6:D28" si="1">C6*L6</f>
        <v>491579</v>
      </c>
      <c r="E6" s="9"/>
      <c r="F6" s="191" t="s">
        <v>16</v>
      </c>
      <c r="G6" s="193" t="s">
        <v>127</v>
      </c>
      <c r="H6" s="194"/>
      <c r="I6" s="194"/>
      <c r="J6" s="195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89"/>
      <c r="B7" s="19" t="s">
        <v>18</v>
      </c>
      <c r="C7" s="53">
        <v>20</v>
      </c>
      <c r="D7" s="16">
        <f t="shared" si="1"/>
        <v>14500</v>
      </c>
      <c r="E7" s="9"/>
      <c r="F7" s="192"/>
      <c r="G7" s="196"/>
      <c r="H7" s="197"/>
      <c r="I7" s="197"/>
      <c r="J7" s="198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189"/>
      <c r="B8" s="19" t="s">
        <v>20</v>
      </c>
      <c r="C8" s="53">
        <v>1</v>
      </c>
      <c r="D8" s="16">
        <f t="shared" si="1"/>
        <v>1033</v>
      </c>
      <c r="E8" s="9"/>
      <c r="F8" s="199" t="s">
        <v>21</v>
      </c>
      <c r="G8" s="201" t="s">
        <v>115</v>
      </c>
      <c r="H8" s="202"/>
      <c r="I8" s="202"/>
      <c r="J8" s="203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189"/>
      <c r="B9" s="19" t="s">
        <v>23</v>
      </c>
      <c r="C9" s="53">
        <v>52</v>
      </c>
      <c r="D9" s="16">
        <f t="shared" si="1"/>
        <v>36764</v>
      </c>
      <c r="E9" s="9"/>
      <c r="F9" s="192"/>
      <c r="G9" s="204"/>
      <c r="H9" s="205"/>
      <c r="I9" s="205"/>
      <c r="J9" s="206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189"/>
      <c r="B10" s="11" t="s">
        <v>25</v>
      </c>
      <c r="C10" s="53"/>
      <c r="D10" s="16">
        <f t="shared" si="1"/>
        <v>0</v>
      </c>
      <c r="E10" s="9"/>
      <c r="F10" s="191" t="s">
        <v>26</v>
      </c>
      <c r="G10" s="207" t="s">
        <v>116</v>
      </c>
      <c r="H10" s="208"/>
      <c r="I10" s="208"/>
      <c r="J10" s="209"/>
      <c r="K10" s="10"/>
      <c r="L10" s="6">
        <f>R36</f>
        <v>972</v>
      </c>
      <c r="P10" s="4"/>
      <c r="Q10" s="4"/>
      <c r="R10" s="5"/>
    </row>
    <row r="11" spans="1:18" ht="15.75" x14ac:dyDescent="0.25">
      <c r="A11" s="189"/>
      <c r="B11" s="20" t="s">
        <v>28</v>
      </c>
      <c r="C11" s="53"/>
      <c r="D11" s="16">
        <f t="shared" si="1"/>
        <v>0</v>
      </c>
      <c r="E11" s="9"/>
      <c r="F11" s="192"/>
      <c r="G11" s="204"/>
      <c r="H11" s="205"/>
      <c r="I11" s="205"/>
      <c r="J11" s="206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89"/>
      <c r="B12" s="20" t="s">
        <v>30</v>
      </c>
      <c r="C12" s="53"/>
      <c r="D12" s="52">
        <f t="shared" si="1"/>
        <v>0</v>
      </c>
      <c r="E12" s="9"/>
      <c r="F12" s="210" t="s">
        <v>33</v>
      </c>
      <c r="G12" s="211"/>
      <c r="H12" s="211"/>
      <c r="I12" s="211"/>
      <c r="J12" s="212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89"/>
      <c r="B13" s="20" t="s">
        <v>32</v>
      </c>
      <c r="C13" s="53">
        <v>30</v>
      </c>
      <c r="D13" s="52">
        <f t="shared" si="1"/>
        <v>9210</v>
      </c>
      <c r="E13" s="9"/>
      <c r="F13" s="213" t="s">
        <v>36</v>
      </c>
      <c r="G13" s="214"/>
      <c r="H13" s="215">
        <f>D29</f>
        <v>554047</v>
      </c>
      <c r="I13" s="216"/>
      <c r="J13" s="217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89"/>
      <c r="B14" s="17" t="s">
        <v>35</v>
      </c>
      <c r="C14" s="53">
        <v>16</v>
      </c>
      <c r="D14" s="34">
        <f t="shared" si="1"/>
        <v>176</v>
      </c>
      <c r="E14" s="9"/>
      <c r="F14" s="218" t="s">
        <v>39</v>
      </c>
      <c r="G14" s="219"/>
      <c r="H14" s="220">
        <f>D54</f>
        <v>87681</v>
      </c>
      <c r="I14" s="221"/>
      <c r="J14" s="222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89"/>
      <c r="B15" s="17" t="s">
        <v>38</v>
      </c>
      <c r="C15" s="53"/>
      <c r="D15" s="34">
        <f t="shared" si="1"/>
        <v>0</v>
      </c>
      <c r="E15" s="9"/>
      <c r="F15" s="223" t="s">
        <v>40</v>
      </c>
      <c r="G15" s="214"/>
      <c r="H15" s="224">
        <f>H13-H14</f>
        <v>466366</v>
      </c>
      <c r="I15" s="225"/>
      <c r="J15" s="226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89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227">
        <f>3204+3969</f>
        <v>7173</v>
      </c>
      <c r="I16" s="227"/>
      <c r="J16" s="22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89"/>
      <c r="B17" s="11" t="s">
        <v>93</v>
      </c>
      <c r="C17" s="53"/>
      <c r="D17" s="52">
        <f t="shared" si="1"/>
        <v>0</v>
      </c>
      <c r="E17" s="9"/>
      <c r="F17" s="62"/>
      <c r="G17" s="74" t="s">
        <v>45</v>
      </c>
      <c r="H17" s="200"/>
      <c r="I17" s="200"/>
      <c r="J17" s="200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89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200"/>
      <c r="I18" s="200"/>
      <c r="J18" s="200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89"/>
      <c r="B19" s="17" t="s">
        <v>96</v>
      </c>
      <c r="C19" s="53"/>
      <c r="D19" s="52">
        <f t="shared" si="1"/>
        <v>0</v>
      </c>
      <c r="E19" s="9"/>
      <c r="F19" s="62"/>
      <c r="G19" s="76" t="s">
        <v>50</v>
      </c>
      <c r="H19" s="298"/>
      <c r="I19" s="298"/>
      <c r="J19" s="298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89"/>
      <c r="B20" s="50" t="s">
        <v>131</v>
      </c>
      <c r="C20" s="53"/>
      <c r="D20" s="16">
        <f t="shared" si="1"/>
        <v>0</v>
      </c>
      <c r="E20" s="9"/>
      <c r="F20" s="63"/>
      <c r="G20" s="78" t="s">
        <v>124</v>
      </c>
      <c r="H20" s="200"/>
      <c r="I20" s="200"/>
      <c r="J20" s="200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89"/>
      <c r="B21" s="17" t="s">
        <v>130</v>
      </c>
      <c r="C21" s="53"/>
      <c r="D21" s="52">
        <f t="shared" si="1"/>
        <v>0</v>
      </c>
      <c r="E21" s="9"/>
      <c r="F21" s="77" t="s">
        <v>99</v>
      </c>
      <c r="G21" s="92" t="s">
        <v>98</v>
      </c>
      <c r="H21" s="246" t="s">
        <v>13</v>
      </c>
      <c r="I21" s="247"/>
      <c r="J21" s="248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89"/>
      <c r="B22" s="50" t="s">
        <v>104</v>
      </c>
      <c r="C22" s="53"/>
      <c r="D22" s="52">
        <f t="shared" si="1"/>
        <v>0</v>
      </c>
      <c r="E22" s="9"/>
      <c r="F22" s="80"/>
      <c r="G22" s="81"/>
      <c r="H22" s="249"/>
      <c r="I22" s="249"/>
      <c r="J22" s="249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89"/>
      <c r="B23" s="17" t="s">
        <v>107</v>
      </c>
      <c r="C23" s="53"/>
      <c r="D23" s="52">
        <f t="shared" si="1"/>
        <v>0</v>
      </c>
      <c r="E23" s="9"/>
      <c r="F23" s="28"/>
      <c r="G23" s="41"/>
      <c r="H23" s="299"/>
      <c r="I23" s="255"/>
      <c r="J23" s="255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89"/>
      <c r="B24" s="17" t="s">
        <v>133</v>
      </c>
      <c r="C24" s="53"/>
      <c r="D24" s="52">
        <f t="shared" si="1"/>
        <v>0</v>
      </c>
      <c r="E24" s="9"/>
      <c r="F24" s="42"/>
      <c r="G24" s="41"/>
      <c r="H24" s="299"/>
      <c r="I24" s="255"/>
      <c r="J24" s="255"/>
      <c r="L24" s="51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89"/>
      <c r="B25" s="17" t="s">
        <v>134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52" t="s">
        <v>13</v>
      </c>
      <c r="I25" s="253"/>
      <c r="J25" s="254"/>
      <c r="L25" s="51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89"/>
      <c r="B26" s="17" t="s">
        <v>105</v>
      </c>
      <c r="C26" s="53"/>
      <c r="D26" s="52">
        <f t="shared" si="1"/>
        <v>0</v>
      </c>
      <c r="E26" s="9"/>
      <c r="F26" s="72"/>
      <c r="G26" s="13"/>
      <c r="H26" s="300"/>
      <c r="I26" s="301"/>
      <c r="J26" s="302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89"/>
      <c r="B27" s="17" t="s">
        <v>109</v>
      </c>
      <c r="C27" s="53"/>
      <c r="D27" s="48">
        <f t="shared" si="1"/>
        <v>0</v>
      </c>
      <c r="E27" s="9"/>
      <c r="F27" s="67"/>
      <c r="G27" s="67"/>
      <c r="H27" s="303"/>
      <c r="I27" s="304"/>
      <c r="J27" s="305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90"/>
      <c r="B28" s="50" t="s">
        <v>97</v>
      </c>
      <c r="C28" s="53">
        <v>1</v>
      </c>
      <c r="D28" s="52">
        <f t="shared" si="1"/>
        <v>785</v>
      </c>
      <c r="E28" s="9"/>
      <c r="F28" s="60"/>
      <c r="G28" s="68"/>
      <c r="H28" s="258"/>
      <c r="I28" s="259"/>
      <c r="J28" s="260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28" t="s">
        <v>36</v>
      </c>
      <c r="B29" s="229"/>
      <c r="C29" s="230"/>
      <c r="D29" s="234">
        <f>SUM(D6:D28)</f>
        <v>554047</v>
      </c>
      <c r="E29" s="9"/>
      <c r="F29" s="236" t="s">
        <v>55</v>
      </c>
      <c r="G29" s="237"/>
      <c r="H29" s="240">
        <f>H15-H16-H17-H18-H19-H20-H22-H23-H24+H26+H27</f>
        <v>459193</v>
      </c>
      <c r="I29" s="241"/>
      <c r="J29" s="242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231"/>
      <c r="B30" s="232"/>
      <c r="C30" s="233"/>
      <c r="D30" s="235"/>
      <c r="E30" s="9"/>
      <c r="F30" s="238"/>
      <c r="G30" s="239"/>
      <c r="H30" s="243"/>
      <c r="I30" s="244"/>
      <c r="J30" s="245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5" t="s">
        <v>58</v>
      </c>
      <c r="B32" s="176"/>
      <c r="C32" s="176"/>
      <c r="D32" s="177"/>
      <c r="E32" s="11"/>
      <c r="F32" s="261" t="s">
        <v>59</v>
      </c>
      <c r="G32" s="262"/>
      <c r="H32" s="262"/>
      <c r="I32" s="262"/>
      <c r="J32" s="263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31" t="s">
        <v>63</v>
      </c>
      <c r="H33" s="261" t="s">
        <v>13</v>
      </c>
      <c r="I33" s="262"/>
      <c r="J33" s="263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88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82">
        <v>447</v>
      </c>
      <c r="H34" s="264">
        <f>F34*G34</f>
        <v>447000</v>
      </c>
      <c r="I34" s="265"/>
      <c r="J34" s="266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89"/>
      <c r="B35" s="30" t="s">
        <v>68</v>
      </c>
      <c r="C35" s="57"/>
      <c r="D35" s="33">
        <f>C35*84</f>
        <v>0</v>
      </c>
      <c r="E35" s="9"/>
      <c r="F35" s="64">
        <v>500</v>
      </c>
      <c r="G35" s="45"/>
      <c r="H35" s="264">
        <f t="shared" ref="H35:H39" si="2">F35*G35</f>
        <v>0</v>
      </c>
      <c r="I35" s="265"/>
      <c r="J35" s="266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90"/>
      <c r="B36" s="29" t="s">
        <v>70</v>
      </c>
      <c r="C36" s="53"/>
      <c r="D36" s="15">
        <f>C36*1.5</f>
        <v>0</v>
      </c>
      <c r="E36" s="9"/>
      <c r="F36" s="15">
        <v>200</v>
      </c>
      <c r="G36" s="41"/>
      <c r="H36" s="264">
        <f t="shared" si="2"/>
        <v>0</v>
      </c>
      <c r="I36" s="265"/>
      <c r="J36" s="266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88" t="s">
        <v>72</v>
      </c>
      <c r="B37" s="31" t="s">
        <v>66</v>
      </c>
      <c r="C37" s="58">
        <v>761</v>
      </c>
      <c r="D37" s="15">
        <f>C37*111</f>
        <v>84471</v>
      </c>
      <c r="E37" s="9"/>
      <c r="F37" s="15">
        <v>100</v>
      </c>
      <c r="G37" s="43">
        <v>129</v>
      </c>
      <c r="H37" s="264">
        <f t="shared" si="2"/>
        <v>12900</v>
      </c>
      <c r="I37" s="265"/>
      <c r="J37" s="266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89"/>
      <c r="B38" s="32" t="s">
        <v>68</v>
      </c>
      <c r="C38" s="59"/>
      <c r="D38" s="15">
        <f>C38*84</f>
        <v>0</v>
      </c>
      <c r="E38" s="9"/>
      <c r="F38" s="33">
        <v>50</v>
      </c>
      <c r="G38" s="43">
        <v>3</v>
      </c>
      <c r="H38" s="264">
        <f t="shared" si="2"/>
        <v>150</v>
      </c>
      <c r="I38" s="265"/>
      <c r="J38" s="266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90"/>
      <c r="B39" s="32" t="s">
        <v>70</v>
      </c>
      <c r="C39" s="57"/>
      <c r="D39" s="34">
        <f>C39*4.5</f>
        <v>0</v>
      </c>
      <c r="E39" s="9"/>
      <c r="F39" s="15">
        <v>20</v>
      </c>
      <c r="G39" s="41"/>
      <c r="H39" s="264">
        <f t="shared" si="2"/>
        <v>0</v>
      </c>
      <c r="I39" s="265"/>
      <c r="J39" s="266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88" t="s">
        <v>76</v>
      </c>
      <c r="B40" s="30" t="s">
        <v>66</v>
      </c>
      <c r="C40" s="70">
        <v>9</v>
      </c>
      <c r="D40" s="15">
        <f>C40*111</f>
        <v>999</v>
      </c>
      <c r="E40" s="9"/>
      <c r="F40" s="15">
        <v>10</v>
      </c>
      <c r="G40" s="46"/>
      <c r="H40" s="264"/>
      <c r="I40" s="265"/>
      <c r="J40" s="266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89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264"/>
      <c r="I41" s="265"/>
      <c r="J41" s="266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90"/>
      <c r="B42" s="30" t="s">
        <v>70</v>
      </c>
      <c r="C42" s="71"/>
      <c r="D42" s="15">
        <f>C42*2.25</f>
        <v>0</v>
      </c>
      <c r="E42" s="9"/>
      <c r="F42" s="43" t="s">
        <v>79</v>
      </c>
      <c r="G42" s="264">
        <v>153</v>
      </c>
      <c r="H42" s="265"/>
      <c r="I42" s="265"/>
      <c r="J42" s="266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67" t="s">
        <v>81</v>
      </c>
      <c r="C43" s="71"/>
      <c r="D43" s="15"/>
      <c r="E43" s="9"/>
      <c r="F43" s="65" t="s">
        <v>82</v>
      </c>
      <c r="G43" s="128" t="s">
        <v>83</v>
      </c>
      <c r="H43" s="270" t="s">
        <v>13</v>
      </c>
      <c r="I43" s="271"/>
      <c r="J43" s="272"/>
      <c r="K43" s="24"/>
      <c r="P43" s="4"/>
      <c r="Q43" s="4"/>
      <c r="R43" s="5"/>
    </row>
    <row r="44" spans="1:18" ht="15.75" x14ac:dyDescent="0.25">
      <c r="A44" s="268"/>
      <c r="B44" s="30" t="s">
        <v>66</v>
      </c>
      <c r="C44" s="53">
        <v>1</v>
      </c>
      <c r="D44" s="15">
        <f>C44*120</f>
        <v>120</v>
      </c>
      <c r="E44" s="9"/>
      <c r="F44" s="41"/>
      <c r="G44" s="69"/>
      <c r="H44" s="255"/>
      <c r="I44" s="255"/>
      <c r="J44" s="255"/>
      <c r="K44" s="24"/>
      <c r="P44" s="4"/>
      <c r="Q44" s="4"/>
      <c r="R44" s="5"/>
    </row>
    <row r="45" spans="1:18" ht="15.75" x14ac:dyDescent="0.25">
      <c r="A45" s="268"/>
      <c r="B45" s="30" t="s">
        <v>68</v>
      </c>
      <c r="C45" s="90"/>
      <c r="D45" s="15">
        <f>C45*84</f>
        <v>0</v>
      </c>
      <c r="E45" s="9"/>
      <c r="F45" s="41"/>
      <c r="G45" s="69"/>
      <c r="H45" s="255"/>
      <c r="I45" s="255"/>
      <c r="J45" s="255"/>
      <c r="K45" s="24"/>
      <c r="P45" s="4"/>
      <c r="Q45" s="4"/>
      <c r="R45" s="5"/>
    </row>
    <row r="46" spans="1:18" ht="15.75" x14ac:dyDescent="0.25">
      <c r="A46" s="268"/>
      <c r="B46" s="54" t="s">
        <v>70</v>
      </c>
      <c r="C46" s="91"/>
      <c r="D46" s="15">
        <f>C46*1.5</f>
        <v>0</v>
      </c>
      <c r="E46" s="9"/>
      <c r="F46" s="41"/>
      <c r="G46" s="129"/>
      <c r="H46" s="306"/>
      <c r="I46" s="306"/>
      <c r="J46" s="306"/>
      <c r="K46" s="24"/>
      <c r="P46" s="4"/>
      <c r="Q46" s="4"/>
      <c r="R46" s="5"/>
    </row>
    <row r="47" spans="1:18" ht="15.75" x14ac:dyDescent="0.25">
      <c r="A47" s="269"/>
      <c r="B47" s="30"/>
      <c r="C47" s="71"/>
      <c r="D47" s="15"/>
      <c r="E47" s="9"/>
      <c r="F47" s="65"/>
      <c r="G47" s="65"/>
      <c r="H47" s="273"/>
      <c r="I47" s="274"/>
      <c r="J47" s="275"/>
      <c r="K47" s="24"/>
      <c r="P47" s="4"/>
      <c r="Q47" s="4"/>
      <c r="R47" s="5"/>
    </row>
    <row r="48" spans="1:18" ht="15" customHeight="1" x14ac:dyDescent="0.25">
      <c r="A48" s="267" t="s">
        <v>32</v>
      </c>
      <c r="B48" s="30" t="s">
        <v>66</v>
      </c>
      <c r="C48" s="53">
        <v>3</v>
      </c>
      <c r="D48" s="15">
        <f>C48*78</f>
        <v>234</v>
      </c>
      <c r="E48" s="9"/>
      <c r="F48" s="65"/>
      <c r="G48" s="65"/>
      <c r="H48" s="273"/>
      <c r="I48" s="274"/>
      <c r="J48" s="275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68"/>
      <c r="B49" s="32" t="s">
        <v>68</v>
      </c>
      <c r="C49" s="90">
        <v>44</v>
      </c>
      <c r="D49" s="15">
        <f>C49*42</f>
        <v>1848</v>
      </c>
      <c r="E49" s="9"/>
      <c r="F49" s="288" t="s">
        <v>86</v>
      </c>
      <c r="G49" s="240">
        <f>H34+H35+H36+H37+H38+H39+H40+H41+G42+H44+H45+H46</f>
        <v>460203</v>
      </c>
      <c r="H49" s="241"/>
      <c r="I49" s="241"/>
      <c r="J49" s="242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68"/>
      <c r="B50" s="35" t="s">
        <v>70</v>
      </c>
      <c r="C50" s="71">
        <v>6</v>
      </c>
      <c r="D50" s="15">
        <f>C50*1.5</f>
        <v>9</v>
      </c>
      <c r="E50" s="9"/>
      <c r="F50" s="289"/>
      <c r="G50" s="243"/>
      <c r="H50" s="244"/>
      <c r="I50" s="244"/>
      <c r="J50" s="245"/>
      <c r="K50" s="9"/>
      <c r="P50" s="4"/>
      <c r="Q50" s="4"/>
      <c r="R50" s="5"/>
    </row>
    <row r="51" spans="1:18" ht="15" customHeight="1" x14ac:dyDescent="0.25">
      <c r="A51" s="268"/>
      <c r="B51" s="30"/>
      <c r="C51" s="13"/>
      <c r="D51" s="34"/>
      <c r="E51" s="9"/>
      <c r="F51" s="290" t="s">
        <v>144</v>
      </c>
      <c r="G51" s="307">
        <f>G49-H29</f>
        <v>1010</v>
      </c>
      <c r="H51" s="308"/>
      <c r="I51" s="308"/>
      <c r="J51" s="309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68"/>
      <c r="B52" s="32"/>
      <c r="C52" s="36"/>
      <c r="D52" s="49"/>
      <c r="E52" s="9"/>
      <c r="F52" s="291"/>
      <c r="G52" s="310"/>
      <c r="H52" s="311"/>
      <c r="I52" s="311"/>
      <c r="J52" s="312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69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236" t="s">
        <v>90</v>
      </c>
      <c r="B54" s="276"/>
      <c r="C54" s="277"/>
      <c r="D54" s="280">
        <f>SUM(D34:D53)</f>
        <v>87681</v>
      </c>
      <c r="E54" s="9"/>
      <c r="F54" s="24"/>
      <c r="G54" s="9"/>
      <c r="H54" s="9"/>
      <c r="I54" s="9"/>
      <c r="J54" s="37"/>
    </row>
    <row r="55" spans="1:18" x14ac:dyDescent="0.25">
      <c r="A55" s="238"/>
      <c r="B55" s="278"/>
      <c r="C55" s="279"/>
      <c r="D55" s="281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136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282" t="s">
        <v>91</v>
      </c>
      <c r="B58" s="283"/>
      <c r="C58" s="283"/>
      <c r="D58" s="284"/>
      <c r="E58" s="9"/>
      <c r="F58" s="282" t="s">
        <v>92</v>
      </c>
      <c r="G58" s="283"/>
      <c r="H58" s="283"/>
      <c r="I58" s="283"/>
      <c r="J58" s="284"/>
    </row>
    <row r="59" spans="1:18" x14ac:dyDescent="0.25">
      <c r="A59" s="285"/>
      <c r="B59" s="286"/>
      <c r="C59" s="286"/>
      <c r="D59" s="287"/>
      <c r="E59" s="9"/>
      <c r="F59" s="285"/>
      <c r="G59" s="286"/>
      <c r="H59" s="286"/>
      <c r="I59" s="286"/>
      <c r="J59" s="287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2E266-EB52-4BE1-BFEA-EF1FF66D4DDF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s="8" t="s">
        <v>0</v>
      </c>
      <c r="B1" s="8"/>
      <c r="C1" s="8"/>
      <c r="D1" s="8"/>
      <c r="N1" s="174" t="s">
        <v>1</v>
      </c>
      <c r="O1" s="174"/>
      <c r="P1" s="130" t="s">
        <v>2</v>
      </c>
      <c r="Q1" s="130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75" t="s">
        <v>7</v>
      </c>
      <c r="B4" s="176"/>
      <c r="C4" s="176"/>
      <c r="D4" s="177"/>
      <c r="E4" s="9"/>
      <c r="F4" s="178" t="s">
        <v>8</v>
      </c>
      <c r="G4" s="180">
        <v>3</v>
      </c>
      <c r="H4" s="182" t="s">
        <v>9</v>
      </c>
      <c r="I4" s="184">
        <v>45790</v>
      </c>
      <c r="J4" s="185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88" t="s">
        <v>7</v>
      </c>
      <c r="B5" s="18" t="s">
        <v>11</v>
      </c>
      <c r="C5" s="12" t="s">
        <v>12</v>
      </c>
      <c r="D5" s="28" t="s">
        <v>13</v>
      </c>
      <c r="E5" s="9"/>
      <c r="F5" s="179"/>
      <c r="G5" s="181"/>
      <c r="H5" s="183"/>
      <c r="I5" s="186"/>
      <c r="J5" s="187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89"/>
      <c r="B6" s="19" t="s">
        <v>15</v>
      </c>
      <c r="C6" s="53">
        <v>1133</v>
      </c>
      <c r="D6" s="16">
        <f t="shared" ref="D6:D28" si="1">C6*L6</f>
        <v>835021</v>
      </c>
      <c r="E6" s="9"/>
      <c r="F6" s="191" t="s">
        <v>16</v>
      </c>
      <c r="G6" s="193" t="s">
        <v>111</v>
      </c>
      <c r="H6" s="194"/>
      <c r="I6" s="194"/>
      <c r="J6" s="195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89"/>
      <c r="B7" s="19" t="s">
        <v>18</v>
      </c>
      <c r="C7" s="53">
        <v>21</v>
      </c>
      <c r="D7" s="16">
        <f t="shared" si="1"/>
        <v>15225</v>
      </c>
      <c r="E7" s="9"/>
      <c r="F7" s="192"/>
      <c r="G7" s="196"/>
      <c r="H7" s="197"/>
      <c r="I7" s="197"/>
      <c r="J7" s="198"/>
      <c r="K7" s="10"/>
      <c r="L7" s="6">
        <f>R41</f>
        <v>725</v>
      </c>
      <c r="P7" s="4"/>
      <c r="Q7" s="4"/>
      <c r="R7" s="5"/>
    </row>
    <row r="8" spans="1:19" ht="14.45" customHeight="1" x14ac:dyDescent="0.25">
      <c r="A8" s="189"/>
      <c r="B8" s="19" t="s">
        <v>20</v>
      </c>
      <c r="C8" s="53"/>
      <c r="D8" s="16">
        <f t="shared" si="1"/>
        <v>0</v>
      </c>
      <c r="E8" s="9"/>
      <c r="F8" s="199" t="s">
        <v>21</v>
      </c>
      <c r="G8" s="201" t="s">
        <v>122</v>
      </c>
      <c r="H8" s="202"/>
      <c r="I8" s="202"/>
      <c r="J8" s="203"/>
      <c r="K8" s="10"/>
      <c r="L8" s="6">
        <f>R40</f>
        <v>1033</v>
      </c>
      <c r="P8" s="4"/>
      <c r="Q8" s="4"/>
      <c r="R8" s="5"/>
    </row>
    <row r="9" spans="1:19" ht="14.45" customHeight="1" x14ac:dyDescent="0.25">
      <c r="A9" s="189"/>
      <c r="B9" s="19" t="s">
        <v>23</v>
      </c>
      <c r="C9" s="53">
        <v>196</v>
      </c>
      <c r="D9" s="16">
        <f t="shared" si="1"/>
        <v>138572</v>
      </c>
      <c r="E9" s="9"/>
      <c r="F9" s="192"/>
      <c r="G9" s="204"/>
      <c r="H9" s="205"/>
      <c r="I9" s="205"/>
      <c r="J9" s="206"/>
      <c r="K9" s="10"/>
      <c r="L9" s="6">
        <f>R38</f>
        <v>707</v>
      </c>
      <c r="P9" s="4"/>
      <c r="Q9" s="4"/>
      <c r="R9" s="5"/>
    </row>
    <row r="10" spans="1:19" ht="14.45" customHeight="1" x14ac:dyDescent="0.25">
      <c r="A10" s="189"/>
      <c r="B10" s="11" t="s">
        <v>25</v>
      </c>
      <c r="C10" s="53">
        <v>3</v>
      </c>
      <c r="D10" s="16">
        <f t="shared" si="1"/>
        <v>2916</v>
      </c>
      <c r="E10" s="9"/>
      <c r="F10" s="191" t="s">
        <v>26</v>
      </c>
      <c r="G10" s="207" t="s">
        <v>123</v>
      </c>
      <c r="H10" s="208"/>
      <c r="I10" s="208"/>
      <c r="J10" s="209"/>
      <c r="K10" s="10"/>
      <c r="L10" s="6">
        <f>R36</f>
        <v>972</v>
      </c>
      <c r="P10" s="4"/>
      <c r="Q10" s="4"/>
      <c r="R10" s="5"/>
    </row>
    <row r="11" spans="1:19" ht="15.75" x14ac:dyDescent="0.25">
      <c r="A11" s="189"/>
      <c r="B11" s="20" t="s">
        <v>28</v>
      </c>
      <c r="C11" s="53">
        <v>4</v>
      </c>
      <c r="D11" s="16">
        <f t="shared" si="1"/>
        <v>4500</v>
      </c>
      <c r="E11" s="9"/>
      <c r="F11" s="192"/>
      <c r="G11" s="204"/>
      <c r="H11" s="205"/>
      <c r="I11" s="205"/>
      <c r="J11" s="206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89"/>
      <c r="B12" s="20" t="s">
        <v>30</v>
      </c>
      <c r="C12" s="53">
        <v>2</v>
      </c>
      <c r="D12" s="52">
        <f t="shared" si="1"/>
        <v>1904</v>
      </c>
      <c r="E12" s="9"/>
      <c r="F12" s="210" t="s">
        <v>33</v>
      </c>
      <c r="G12" s="211"/>
      <c r="H12" s="211"/>
      <c r="I12" s="211"/>
      <c r="J12" s="212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89"/>
      <c r="B13" s="20" t="s">
        <v>32</v>
      </c>
      <c r="C13" s="53">
        <v>52</v>
      </c>
      <c r="D13" s="52">
        <f t="shared" si="1"/>
        <v>15964</v>
      </c>
      <c r="E13" s="9"/>
      <c r="F13" s="213" t="s">
        <v>36</v>
      </c>
      <c r="G13" s="214"/>
      <c r="H13" s="215">
        <f>D29</f>
        <v>1017988</v>
      </c>
      <c r="I13" s="216"/>
      <c r="J13" s="217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89"/>
      <c r="B14" s="17" t="s">
        <v>35</v>
      </c>
      <c r="C14" s="53">
        <v>21</v>
      </c>
      <c r="D14" s="34">
        <f t="shared" si="1"/>
        <v>231</v>
      </c>
      <c r="E14" s="9"/>
      <c r="F14" s="218" t="s">
        <v>39</v>
      </c>
      <c r="G14" s="219"/>
      <c r="H14" s="220">
        <f>D54</f>
        <v>153342</v>
      </c>
      <c r="I14" s="221"/>
      <c r="J14" s="222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89"/>
      <c r="B15" s="17" t="s">
        <v>38</v>
      </c>
      <c r="C15" s="53"/>
      <c r="D15" s="34">
        <f t="shared" si="1"/>
        <v>0</v>
      </c>
      <c r="E15" s="9"/>
      <c r="F15" s="223" t="s">
        <v>40</v>
      </c>
      <c r="G15" s="214"/>
      <c r="H15" s="224">
        <f>H13-H14</f>
        <v>864646</v>
      </c>
      <c r="I15" s="225"/>
      <c r="J15" s="226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89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227">
        <f>2025+774+444+2178+1902+840</f>
        <v>8163</v>
      </c>
      <c r="I16" s="227"/>
      <c r="J16" s="22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89"/>
      <c r="B17" s="11" t="s">
        <v>114</v>
      </c>
      <c r="C17" s="53"/>
      <c r="D17" s="52">
        <f t="shared" si="1"/>
        <v>0</v>
      </c>
      <c r="E17" s="9"/>
      <c r="F17" s="62"/>
      <c r="G17" s="74" t="s">
        <v>45</v>
      </c>
      <c r="H17" s="200"/>
      <c r="I17" s="200"/>
      <c r="J17" s="200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89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200"/>
      <c r="I18" s="200"/>
      <c r="J18" s="200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89"/>
      <c r="B19" s="17" t="s">
        <v>118</v>
      </c>
      <c r="C19" s="53"/>
      <c r="D19" s="52">
        <f t="shared" si="1"/>
        <v>0</v>
      </c>
      <c r="E19" s="9"/>
      <c r="F19" s="62"/>
      <c r="G19" s="76" t="s">
        <v>50</v>
      </c>
      <c r="H19" s="313"/>
      <c r="I19" s="313"/>
      <c r="J19" s="313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89"/>
      <c r="B20" s="50" t="s">
        <v>108</v>
      </c>
      <c r="C20" s="53"/>
      <c r="D20" s="16">
        <f t="shared" si="1"/>
        <v>0</v>
      </c>
      <c r="E20" s="9"/>
      <c r="F20" s="63"/>
      <c r="G20" s="78" t="s">
        <v>124</v>
      </c>
      <c r="H20" s="227"/>
      <c r="I20" s="227"/>
      <c r="J20" s="227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89"/>
      <c r="B21" s="17" t="s">
        <v>145</v>
      </c>
      <c r="C21" s="53">
        <f>1+1</f>
        <v>2</v>
      </c>
      <c r="D21" s="52">
        <f t="shared" si="1"/>
        <v>1300</v>
      </c>
      <c r="E21" s="9"/>
      <c r="F21" s="77" t="s">
        <v>99</v>
      </c>
      <c r="G21" s="92" t="s">
        <v>98</v>
      </c>
      <c r="H21" s="246" t="s">
        <v>13</v>
      </c>
      <c r="I21" s="247"/>
      <c r="J21" s="248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89"/>
      <c r="B22" s="50" t="s">
        <v>104</v>
      </c>
      <c r="C22" s="53"/>
      <c r="D22" s="52">
        <f t="shared" si="1"/>
        <v>0</v>
      </c>
      <c r="E22" s="9"/>
      <c r="F22" s="85"/>
      <c r="G22" s="81"/>
      <c r="H22" s="249"/>
      <c r="I22" s="249"/>
      <c r="J22" s="249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89"/>
      <c r="B23" s="17" t="s">
        <v>107</v>
      </c>
      <c r="C23" s="53"/>
      <c r="D23" s="52">
        <f t="shared" si="1"/>
        <v>0</v>
      </c>
      <c r="E23" s="9"/>
      <c r="F23" s="86"/>
      <c r="G23" s="87"/>
      <c r="H23" s="299"/>
      <c r="I23" s="255"/>
      <c r="J23" s="255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89"/>
      <c r="B24" s="17" t="s">
        <v>101</v>
      </c>
      <c r="C24" s="53"/>
      <c r="D24" s="52">
        <f t="shared" si="1"/>
        <v>0</v>
      </c>
      <c r="E24" s="9"/>
      <c r="F24" s="42"/>
      <c r="G24" s="41"/>
      <c r="H24" s="299"/>
      <c r="I24" s="255"/>
      <c r="J24" s="255"/>
      <c r="L24" s="51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89"/>
      <c r="B25" s="17" t="s">
        <v>117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52" t="s">
        <v>13</v>
      </c>
      <c r="I25" s="253"/>
      <c r="J25" s="254"/>
      <c r="L25" s="51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89"/>
      <c r="B26" s="17" t="s">
        <v>105</v>
      </c>
      <c r="C26" s="53"/>
      <c r="D26" s="52">
        <f t="shared" si="1"/>
        <v>0</v>
      </c>
      <c r="E26" s="9"/>
      <c r="F26" s="72"/>
      <c r="G26" s="65"/>
      <c r="H26" s="300"/>
      <c r="I26" s="301"/>
      <c r="J26" s="302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89"/>
      <c r="B27" s="17" t="s">
        <v>109</v>
      </c>
      <c r="C27" s="53"/>
      <c r="D27" s="48">
        <f t="shared" si="1"/>
        <v>0</v>
      </c>
      <c r="E27" s="9"/>
      <c r="F27" s="88"/>
      <c r="G27" s="89"/>
      <c r="H27" s="303"/>
      <c r="I27" s="304"/>
      <c r="J27" s="305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90"/>
      <c r="B28" s="50" t="s">
        <v>97</v>
      </c>
      <c r="C28" s="53">
        <v>3</v>
      </c>
      <c r="D28" s="52">
        <f t="shared" si="1"/>
        <v>2355</v>
      </c>
      <c r="E28" s="9"/>
      <c r="F28" s="60"/>
      <c r="G28" s="68"/>
      <c r="H28" s="258"/>
      <c r="I28" s="259"/>
      <c r="J28" s="260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28" t="s">
        <v>36</v>
      </c>
      <c r="B29" s="229"/>
      <c r="C29" s="230"/>
      <c r="D29" s="234">
        <f>SUM(D6:D28)</f>
        <v>1017988</v>
      </c>
      <c r="E29" s="9"/>
      <c r="F29" s="236" t="s">
        <v>55</v>
      </c>
      <c r="G29" s="237"/>
      <c r="H29" s="240">
        <f>H15-H16-H17-H18-H19-H20-H22-H23-H24+H26+H27</f>
        <v>856483</v>
      </c>
      <c r="I29" s="241"/>
      <c r="J29" s="242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231"/>
      <c r="B30" s="232"/>
      <c r="C30" s="233"/>
      <c r="D30" s="235"/>
      <c r="E30" s="9"/>
      <c r="F30" s="238"/>
      <c r="G30" s="239"/>
      <c r="H30" s="243"/>
      <c r="I30" s="244"/>
      <c r="J30" s="245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5" t="s">
        <v>58</v>
      </c>
      <c r="B32" s="176"/>
      <c r="C32" s="176"/>
      <c r="D32" s="177"/>
      <c r="E32" s="11"/>
      <c r="F32" s="261" t="s">
        <v>59</v>
      </c>
      <c r="G32" s="262"/>
      <c r="H32" s="262"/>
      <c r="I32" s="262"/>
      <c r="J32" s="263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31" t="s">
        <v>63</v>
      </c>
      <c r="H33" s="261" t="s">
        <v>13</v>
      </c>
      <c r="I33" s="262"/>
      <c r="J33" s="263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88" t="s">
        <v>65</v>
      </c>
      <c r="B34" s="29" t="s">
        <v>66</v>
      </c>
      <c r="C34" s="56">
        <v>2</v>
      </c>
      <c r="D34" s="33">
        <f>C34*120</f>
        <v>240</v>
      </c>
      <c r="E34" s="9"/>
      <c r="F34" s="15">
        <v>1000</v>
      </c>
      <c r="G34" s="82">
        <v>261</v>
      </c>
      <c r="H34" s="264">
        <f>F34*G34</f>
        <v>261000</v>
      </c>
      <c r="I34" s="265"/>
      <c r="J34" s="266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89"/>
      <c r="B35" s="30" t="s">
        <v>68</v>
      </c>
      <c r="C35" s="57">
        <v>1</v>
      </c>
      <c r="D35" s="33">
        <f>C35*84</f>
        <v>84</v>
      </c>
      <c r="E35" s="9"/>
      <c r="F35" s="64">
        <v>500</v>
      </c>
      <c r="G35" s="45">
        <v>269</v>
      </c>
      <c r="H35" s="264">
        <f>F35*G35</f>
        <v>134500</v>
      </c>
      <c r="I35" s="265"/>
      <c r="J35" s="266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90"/>
      <c r="B36" s="29" t="s">
        <v>70</v>
      </c>
      <c r="C36" s="53">
        <v>7</v>
      </c>
      <c r="D36" s="15">
        <f>C36*1.5</f>
        <v>10.5</v>
      </c>
      <c r="E36" s="9"/>
      <c r="F36" s="15">
        <v>200</v>
      </c>
      <c r="G36" s="41">
        <v>29</v>
      </c>
      <c r="H36" s="264">
        <f t="shared" ref="H36:H39" si="2">F36*G36</f>
        <v>5800</v>
      </c>
      <c r="I36" s="265"/>
      <c r="J36" s="266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88" t="s">
        <v>72</v>
      </c>
      <c r="B37" s="31" t="s">
        <v>66</v>
      </c>
      <c r="C37" s="58">
        <v>1326</v>
      </c>
      <c r="D37" s="15">
        <f>C37*111</f>
        <v>147186</v>
      </c>
      <c r="E37" s="9"/>
      <c r="F37" s="15">
        <v>100</v>
      </c>
      <c r="G37" s="43">
        <v>349</v>
      </c>
      <c r="H37" s="264">
        <f t="shared" si="2"/>
        <v>34900</v>
      </c>
      <c r="I37" s="265"/>
      <c r="J37" s="266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89"/>
      <c r="B38" s="32" t="s">
        <v>68</v>
      </c>
      <c r="C38" s="59">
        <v>16</v>
      </c>
      <c r="D38" s="15">
        <f>C38*84</f>
        <v>1344</v>
      </c>
      <c r="E38" s="9"/>
      <c r="F38" s="33">
        <v>50</v>
      </c>
      <c r="G38" s="43">
        <v>104</v>
      </c>
      <c r="H38" s="264">
        <f t="shared" si="2"/>
        <v>5200</v>
      </c>
      <c r="I38" s="265"/>
      <c r="J38" s="266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90"/>
      <c r="B39" s="32" t="s">
        <v>70</v>
      </c>
      <c r="C39" s="57">
        <v>4</v>
      </c>
      <c r="D39" s="34">
        <f>C39*4.5</f>
        <v>18</v>
      </c>
      <c r="E39" s="9"/>
      <c r="F39" s="15">
        <v>20</v>
      </c>
      <c r="G39" s="41">
        <v>2</v>
      </c>
      <c r="H39" s="264">
        <f t="shared" si="2"/>
        <v>40</v>
      </c>
      <c r="I39" s="265"/>
      <c r="J39" s="266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88" t="s">
        <v>76</v>
      </c>
      <c r="B40" s="30" t="s">
        <v>66</v>
      </c>
      <c r="C40" s="70">
        <v>13</v>
      </c>
      <c r="D40" s="15">
        <f>C40*111</f>
        <v>1443</v>
      </c>
      <c r="E40" s="9"/>
      <c r="F40" s="15">
        <v>10</v>
      </c>
      <c r="G40" s="46"/>
      <c r="H40" s="264"/>
      <c r="I40" s="265"/>
      <c r="J40" s="266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89"/>
      <c r="B41" s="30" t="s">
        <v>68</v>
      </c>
      <c r="C41" s="53">
        <v>2</v>
      </c>
      <c r="D41" s="15">
        <f>C41*84</f>
        <v>168</v>
      </c>
      <c r="E41" s="9"/>
      <c r="F41" s="15">
        <v>5</v>
      </c>
      <c r="G41" s="46"/>
      <c r="H41" s="264"/>
      <c r="I41" s="265"/>
      <c r="J41" s="266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90"/>
      <c r="B42" s="30" t="s">
        <v>70</v>
      </c>
      <c r="C42" s="71">
        <v>16</v>
      </c>
      <c r="D42" s="15">
        <f>C42*2.25</f>
        <v>36</v>
      </c>
      <c r="E42" s="9"/>
      <c r="F42" s="43" t="s">
        <v>79</v>
      </c>
      <c r="G42" s="264">
        <v>102</v>
      </c>
      <c r="H42" s="265"/>
      <c r="I42" s="265"/>
      <c r="J42" s="266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67" t="s">
        <v>81</v>
      </c>
      <c r="C43" s="71"/>
      <c r="D43" s="15"/>
      <c r="E43" s="9"/>
      <c r="F43" s="65" t="s">
        <v>82</v>
      </c>
      <c r="G43" s="128" t="s">
        <v>83</v>
      </c>
      <c r="H43" s="270" t="s">
        <v>13</v>
      </c>
      <c r="I43" s="271"/>
      <c r="J43" s="272"/>
      <c r="K43" s="24"/>
      <c r="P43" s="4"/>
      <c r="Q43" s="4"/>
      <c r="R43" s="5"/>
    </row>
    <row r="44" spans="1:18" ht="15.75" x14ac:dyDescent="0.25">
      <c r="A44" s="268"/>
      <c r="B44" s="30" t="s">
        <v>66</v>
      </c>
      <c r="C44" s="53">
        <v>4</v>
      </c>
      <c r="D44" s="15">
        <f>C44*120</f>
        <v>480</v>
      </c>
      <c r="E44" s="9"/>
      <c r="F44" s="41" t="s">
        <v>176</v>
      </c>
      <c r="G44" s="84" t="s">
        <v>177</v>
      </c>
      <c r="H44" s="255">
        <v>191502</v>
      </c>
      <c r="I44" s="255"/>
      <c r="J44" s="255"/>
      <c r="K44" s="24"/>
      <c r="P44" s="4"/>
      <c r="Q44" s="4"/>
      <c r="R44" s="5"/>
    </row>
    <row r="45" spans="1:18" ht="15.75" x14ac:dyDescent="0.25">
      <c r="A45" s="268"/>
      <c r="B45" s="30" t="s">
        <v>68</v>
      </c>
      <c r="C45" s="90"/>
      <c r="D45" s="15">
        <f>C45*84</f>
        <v>0</v>
      </c>
      <c r="E45" s="9"/>
      <c r="F45" s="41" t="s">
        <v>154</v>
      </c>
      <c r="G45" s="84" t="s">
        <v>178</v>
      </c>
      <c r="H45" s="255">
        <v>219798</v>
      </c>
      <c r="I45" s="255"/>
      <c r="J45" s="255"/>
      <c r="K45" s="24"/>
      <c r="P45" s="4"/>
      <c r="Q45" s="4"/>
      <c r="R45" s="5"/>
    </row>
    <row r="46" spans="1:18" ht="15.75" x14ac:dyDescent="0.25">
      <c r="A46" s="268"/>
      <c r="B46" s="54" t="s">
        <v>70</v>
      </c>
      <c r="C46" s="91">
        <v>7</v>
      </c>
      <c r="D46" s="15">
        <f>C46*1.5</f>
        <v>10.5</v>
      </c>
      <c r="E46" s="9"/>
      <c r="F46" s="41"/>
      <c r="G46" s="69"/>
      <c r="H46" s="306"/>
      <c r="I46" s="306"/>
      <c r="J46" s="306"/>
      <c r="K46" s="24"/>
      <c r="P46" s="4"/>
      <c r="Q46" s="4"/>
      <c r="R46" s="5"/>
    </row>
    <row r="47" spans="1:18" ht="15.75" x14ac:dyDescent="0.25">
      <c r="A47" s="269"/>
      <c r="B47" s="30"/>
      <c r="C47" s="71"/>
      <c r="D47" s="15"/>
      <c r="E47" s="9"/>
      <c r="F47" s="65"/>
      <c r="G47" s="65"/>
      <c r="H47" s="273"/>
      <c r="I47" s="274"/>
      <c r="J47" s="275"/>
      <c r="K47" s="24"/>
      <c r="P47" s="4"/>
      <c r="Q47" s="4"/>
      <c r="R47" s="5"/>
    </row>
    <row r="48" spans="1:18" ht="15" customHeight="1" x14ac:dyDescent="0.25">
      <c r="A48" s="267" t="s">
        <v>32</v>
      </c>
      <c r="B48" s="30" t="s">
        <v>66</v>
      </c>
      <c r="C48" s="53">
        <v>22</v>
      </c>
      <c r="D48" s="15">
        <f>C48*78</f>
        <v>1716</v>
      </c>
      <c r="E48" s="9"/>
      <c r="F48" s="65"/>
      <c r="G48" s="65"/>
      <c r="H48" s="273"/>
      <c r="I48" s="274"/>
      <c r="J48" s="275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68"/>
      <c r="B49" s="32" t="s">
        <v>68</v>
      </c>
      <c r="C49" s="90">
        <v>14</v>
      </c>
      <c r="D49" s="15">
        <f>C49*42</f>
        <v>588</v>
      </c>
      <c r="E49" s="9"/>
      <c r="F49" s="288" t="s">
        <v>86</v>
      </c>
      <c r="G49" s="240">
        <f>H34+H35+H36+H37+H38+H39+H40+H41+G42+H44+H45+H46</f>
        <v>852842</v>
      </c>
      <c r="H49" s="241"/>
      <c r="I49" s="241"/>
      <c r="J49" s="242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68"/>
      <c r="B50" s="35" t="s">
        <v>70</v>
      </c>
      <c r="C50" s="71">
        <v>12</v>
      </c>
      <c r="D50" s="15">
        <f>C50*1.5</f>
        <v>18</v>
      </c>
      <c r="E50" s="9"/>
      <c r="F50" s="289"/>
      <c r="G50" s="243"/>
      <c r="H50" s="244"/>
      <c r="I50" s="244"/>
      <c r="J50" s="245"/>
      <c r="K50" s="9"/>
      <c r="P50" s="4"/>
      <c r="Q50" s="4"/>
      <c r="R50" s="5"/>
    </row>
    <row r="51" spans="1:18" ht="15" customHeight="1" x14ac:dyDescent="0.25">
      <c r="A51" s="268"/>
      <c r="B51" s="30"/>
      <c r="C51" s="53"/>
      <c r="D51" s="34"/>
      <c r="E51" s="9"/>
      <c r="F51" s="290" t="s">
        <v>135</v>
      </c>
      <c r="G51" s="314">
        <f>G49-H29</f>
        <v>-3641</v>
      </c>
      <c r="H51" s="315"/>
      <c r="I51" s="315"/>
      <c r="J51" s="316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68"/>
      <c r="B52" s="32"/>
      <c r="C52" s="36"/>
      <c r="D52" s="49"/>
      <c r="E52" s="9"/>
      <c r="F52" s="291"/>
      <c r="G52" s="317"/>
      <c r="H52" s="318"/>
      <c r="I52" s="318"/>
      <c r="J52" s="319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69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236" t="s">
        <v>90</v>
      </c>
      <c r="B54" s="276"/>
      <c r="C54" s="277"/>
      <c r="D54" s="280">
        <f>SUM(D34:D53)</f>
        <v>153342</v>
      </c>
      <c r="E54" s="9"/>
      <c r="F54" s="24"/>
      <c r="G54" s="9"/>
      <c r="H54" s="9"/>
      <c r="I54" s="9"/>
      <c r="J54" s="37"/>
    </row>
    <row r="55" spans="1:18" x14ac:dyDescent="0.25">
      <c r="A55" s="238"/>
      <c r="B55" s="278"/>
      <c r="C55" s="279"/>
      <c r="D55" s="281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119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282" t="s">
        <v>91</v>
      </c>
      <c r="B58" s="283"/>
      <c r="C58" s="283"/>
      <c r="D58" s="284"/>
      <c r="E58" s="9"/>
      <c r="F58" s="282" t="s">
        <v>92</v>
      </c>
      <c r="G58" s="283"/>
      <c r="H58" s="283"/>
      <c r="I58" s="283"/>
      <c r="J58" s="284"/>
    </row>
    <row r="59" spans="1:18" x14ac:dyDescent="0.25">
      <c r="A59" s="285"/>
      <c r="B59" s="286"/>
      <c r="C59" s="286"/>
      <c r="D59" s="287"/>
      <c r="E59" s="9"/>
      <c r="F59" s="285"/>
      <c r="G59" s="286"/>
      <c r="H59" s="286"/>
      <c r="I59" s="286"/>
      <c r="J59" s="287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DE85E-5F27-4202-8158-365CDC2B1BA4}">
  <dimension ref="A1"/>
  <sheetViews>
    <sheetView workbookViewId="0">
      <selection activeCell="I4" sqref="I4:J5"/>
    </sheetView>
  </sheetViews>
  <sheetFormatPr defaultRowHeight="15" x14ac:dyDescent="0.25"/>
  <sheetData/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7D344-8A3F-4BD0-A2A9-00EBDEF104C1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174" t="s">
        <v>1</v>
      </c>
      <c r="O1" s="174"/>
      <c r="P1" s="130" t="s">
        <v>2</v>
      </c>
      <c r="Q1" s="130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75" t="s">
        <v>7</v>
      </c>
      <c r="B4" s="176"/>
      <c r="C4" s="176"/>
      <c r="D4" s="177"/>
      <c r="E4" s="9"/>
      <c r="F4" s="178" t="s">
        <v>8</v>
      </c>
      <c r="G4" s="180">
        <v>1</v>
      </c>
      <c r="H4" s="182" t="s">
        <v>9</v>
      </c>
      <c r="I4" s="184">
        <v>45791</v>
      </c>
      <c r="J4" s="185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88" t="s">
        <v>7</v>
      </c>
      <c r="B5" s="18" t="s">
        <v>11</v>
      </c>
      <c r="C5" s="12" t="s">
        <v>12</v>
      </c>
      <c r="D5" s="28" t="s">
        <v>13</v>
      </c>
      <c r="E5" s="9"/>
      <c r="F5" s="179"/>
      <c r="G5" s="181"/>
      <c r="H5" s="183"/>
      <c r="I5" s="186"/>
      <c r="J5" s="187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89"/>
      <c r="B6" s="19" t="s">
        <v>15</v>
      </c>
      <c r="C6" s="53">
        <v>366</v>
      </c>
      <c r="D6" s="16">
        <f t="shared" ref="D6:D28" si="1">C6*L6</f>
        <v>269742</v>
      </c>
      <c r="E6" s="9"/>
      <c r="F6" s="191" t="s">
        <v>16</v>
      </c>
      <c r="G6" s="193" t="s">
        <v>128</v>
      </c>
      <c r="H6" s="194"/>
      <c r="I6" s="194"/>
      <c r="J6" s="195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89"/>
      <c r="B7" s="19" t="s">
        <v>18</v>
      </c>
      <c r="C7" s="53">
        <v>6</v>
      </c>
      <c r="D7" s="16">
        <f t="shared" si="1"/>
        <v>4350</v>
      </c>
      <c r="E7" s="9"/>
      <c r="F7" s="192"/>
      <c r="G7" s="196"/>
      <c r="H7" s="197"/>
      <c r="I7" s="197"/>
      <c r="J7" s="198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189"/>
      <c r="B8" s="19" t="s">
        <v>20</v>
      </c>
      <c r="C8" s="53">
        <v>50</v>
      </c>
      <c r="D8" s="16">
        <f t="shared" si="1"/>
        <v>51650</v>
      </c>
      <c r="E8" s="9"/>
      <c r="F8" s="199" t="s">
        <v>21</v>
      </c>
      <c r="G8" s="201" t="s">
        <v>113</v>
      </c>
      <c r="H8" s="202"/>
      <c r="I8" s="202"/>
      <c r="J8" s="203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189"/>
      <c r="B9" s="19" t="s">
        <v>23</v>
      </c>
      <c r="C9" s="53">
        <v>2</v>
      </c>
      <c r="D9" s="16">
        <f t="shared" si="1"/>
        <v>1414</v>
      </c>
      <c r="E9" s="9"/>
      <c r="F9" s="192"/>
      <c r="G9" s="204"/>
      <c r="H9" s="205"/>
      <c r="I9" s="205"/>
      <c r="J9" s="206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189"/>
      <c r="B10" s="11" t="s">
        <v>25</v>
      </c>
      <c r="C10" s="53">
        <v>1</v>
      </c>
      <c r="D10" s="16">
        <f t="shared" si="1"/>
        <v>972</v>
      </c>
      <c r="E10" s="9"/>
      <c r="F10" s="191" t="s">
        <v>26</v>
      </c>
      <c r="G10" s="207" t="s">
        <v>132</v>
      </c>
      <c r="H10" s="208"/>
      <c r="I10" s="208"/>
      <c r="J10" s="209"/>
      <c r="K10" s="10"/>
      <c r="L10" s="6">
        <f>R36</f>
        <v>972</v>
      </c>
      <c r="P10" s="4"/>
      <c r="Q10" s="4"/>
      <c r="R10" s="5"/>
    </row>
    <row r="11" spans="1:18" ht="15.75" x14ac:dyDescent="0.25">
      <c r="A11" s="189"/>
      <c r="B11" s="20" t="s">
        <v>28</v>
      </c>
      <c r="C11" s="53"/>
      <c r="D11" s="16">
        <f t="shared" si="1"/>
        <v>0</v>
      </c>
      <c r="E11" s="9"/>
      <c r="F11" s="192"/>
      <c r="G11" s="204"/>
      <c r="H11" s="205"/>
      <c r="I11" s="205"/>
      <c r="J11" s="206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89"/>
      <c r="B12" s="20" t="s">
        <v>30</v>
      </c>
      <c r="C12" s="53">
        <f>1</f>
        <v>1</v>
      </c>
      <c r="D12" s="52">
        <f t="shared" si="1"/>
        <v>952</v>
      </c>
      <c r="E12" s="9"/>
      <c r="F12" s="210" t="s">
        <v>33</v>
      </c>
      <c r="G12" s="211"/>
      <c r="H12" s="211"/>
      <c r="I12" s="211"/>
      <c r="J12" s="212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89"/>
      <c r="B13" s="20" t="s">
        <v>32</v>
      </c>
      <c r="C13" s="53">
        <v>8</v>
      </c>
      <c r="D13" s="52">
        <f t="shared" si="1"/>
        <v>2456</v>
      </c>
      <c r="E13" s="9"/>
      <c r="F13" s="213" t="s">
        <v>36</v>
      </c>
      <c r="G13" s="214"/>
      <c r="H13" s="215">
        <f>D29</f>
        <v>338118</v>
      </c>
      <c r="I13" s="216"/>
      <c r="J13" s="217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89"/>
      <c r="B14" s="17" t="s">
        <v>35</v>
      </c>
      <c r="C14" s="53">
        <v>21</v>
      </c>
      <c r="D14" s="34">
        <f t="shared" si="1"/>
        <v>231</v>
      </c>
      <c r="E14" s="9"/>
      <c r="F14" s="218" t="s">
        <v>39</v>
      </c>
      <c r="G14" s="219"/>
      <c r="H14" s="220">
        <f>D54</f>
        <v>50964</v>
      </c>
      <c r="I14" s="221"/>
      <c r="J14" s="222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89"/>
      <c r="B15" s="17" t="s">
        <v>38</v>
      </c>
      <c r="C15" s="53"/>
      <c r="D15" s="34">
        <f t="shared" si="1"/>
        <v>0</v>
      </c>
      <c r="E15" s="9"/>
      <c r="F15" s="223" t="s">
        <v>40</v>
      </c>
      <c r="G15" s="214"/>
      <c r="H15" s="224">
        <f>H13-H14</f>
        <v>287154</v>
      </c>
      <c r="I15" s="225"/>
      <c r="J15" s="226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89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227">
        <f>3285</f>
        <v>3285</v>
      </c>
      <c r="I16" s="227"/>
      <c r="J16" s="22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89"/>
      <c r="B17" s="11" t="s">
        <v>117</v>
      </c>
      <c r="C17" s="53">
        <v>1</v>
      </c>
      <c r="D17" s="52">
        <f t="shared" si="1"/>
        <v>1582</v>
      </c>
      <c r="E17" s="9"/>
      <c r="F17" s="62"/>
      <c r="G17" s="74" t="s">
        <v>45</v>
      </c>
      <c r="H17" s="200"/>
      <c r="I17" s="200"/>
      <c r="J17" s="200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89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200"/>
      <c r="I18" s="200"/>
      <c r="J18" s="200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89"/>
      <c r="B19" s="17" t="s">
        <v>140</v>
      </c>
      <c r="C19" s="53">
        <v>1</v>
      </c>
      <c r="D19" s="52">
        <f t="shared" si="1"/>
        <v>1102</v>
      </c>
      <c r="E19" s="9"/>
      <c r="F19" s="62"/>
      <c r="G19" s="76" t="s">
        <v>50</v>
      </c>
      <c r="H19" s="200"/>
      <c r="I19" s="200"/>
      <c r="J19" s="200"/>
      <c r="L19" s="6">
        <v>1102</v>
      </c>
      <c r="Q19" s="4"/>
      <c r="R19" s="5">
        <f t="shared" si="0"/>
        <v>0</v>
      </c>
    </row>
    <row r="20" spans="1:18" ht="15.75" x14ac:dyDescent="0.25">
      <c r="A20" s="189"/>
      <c r="B20" s="97" t="s">
        <v>139</v>
      </c>
      <c r="C20" s="53"/>
      <c r="D20" s="16">
        <f t="shared" si="1"/>
        <v>0</v>
      </c>
      <c r="E20" s="9"/>
      <c r="F20" s="63"/>
      <c r="G20" s="78" t="s">
        <v>124</v>
      </c>
      <c r="H20" s="227"/>
      <c r="I20" s="227"/>
      <c r="J20" s="227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89"/>
      <c r="B21" s="17" t="s">
        <v>138</v>
      </c>
      <c r="C21" s="53">
        <f>1+1</f>
        <v>2</v>
      </c>
      <c r="D21" s="52">
        <f t="shared" si="1"/>
        <v>1300</v>
      </c>
      <c r="E21" s="9"/>
      <c r="F21" s="77" t="s">
        <v>99</v>
      </c>
      <c r="G21" s="92" t="s">
        <v>98</v>
      </c>
      <c r="H21" s="246" t="s">
        <v>13</v>
      </c>
      <c r="I21" s="247"/>
      <c r="J21" s="248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89"/>
      <c r="B22" s="50" t="s">
        <v>110</v>
      </c>
      <c r="C22" s="53"/>
      <c r="D22" s="52">
        <f t="shared" si="1"/>
        <v>0</v>
      </c>
      <c r="E22" s="9"/>
      <c r="F22" s="85"/>
      <c r="G22" s="81"/>
      <c r="H22" s="249"/>
      <c r="I22" s="249"/>
      <c r="J22" s="249"/>
      <c r="L22" s="7">
        <v>1142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89"/>
      <c r="B23" s="17" t="s">
        <v>125</v>
      </c>
      <c r="C23" s="53"/>
      <c r="D23" s="52">
        <f t="shared" si="1"/>
        <v>0</v>
      </c>
      <c r="E23" s="9"/>
      <c r="F23" s="85"/>
      <c r="G23" s="87"/>
      <c r="H23" s="250"/>
      <c r="I23" s="251"/>
      <c r="J23" s="251"/>
      <c r="L23" s="51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89"/>
      <c r="B24" s="17" t="s">
        <v>126</v>
      </c>
      <c r="C24" s="53"/>
      <c r="D24" s="52">
        <f t="shared" si="1"/>
        <v>0</v>
      </c>
      <c r="E24" s="9"/>
      <c r="F24" s="85"/>
      <c r="G24" s="87"/>
      <c r="H24" s="250"/>
      <c r="I24" s="251"/>
      <c r="J24" s="251"/>
      <c r="L24" s="51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89"/>
      <c r="B25" s="17" t="s">
        <v>121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52" t="s">
        <v>13</v>
      </c>
      <c r="I25" s="253"/>
      <c r="J25" s="254"/>
      <c r="L25" s="51">
        <f>852/24+1.5</f>
        <v>37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89"/>
      <c r="B26" s="17" t="s">
        <v>114</v>
      </c>
      <c r="C26" s="53">
        <v>1</v>
      </c>
      <c r="D26" s="52">
        <f t="shared" si="1"/>
        <v>1582</v>
      </c>
      <c r="E26" s="9"/>
      <c r="F26" s="83" t="s">
        <v>153</v>
      </c>
      <c r="G26" s="73">
        <v>2147</v>
      </c>
      <c r="H26" s="255">
        <v>16270</v>
      </c>
      <c r="I26" s="255"/>
      <c r="J26" s="255"/>
      <c r="L26" s="7">
        <f>1582</f>
        <v>1582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89"/>
      <c r="B27" s="17" t="s">
        <v>120</v>
      </c>
      <c r="C27" s="53"/>
      <c r="D27" s="48">
        <f t="shared" si="1"/>
        <v>0</v>
      </c>
      <c r="E27" s="9"/>
      <c r="F27" s="79"/>
      <c r="G27" s="128"/>
      <c r="H27" s="256"/>
      <c r="I27" s="257"/>
      <c r="J27" s="257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90"/>
      <c r="B28" s="50" t="s">
        <v>97</v>
      </c>
      <c r="C28" s="53">
        <v>1</v>
      </c>
      <c r="D28" s="52">
        <f t="shared" si="1"/>
        <v>785</v>
      </c>
      <c r="E28" s="9"/>
      <c r="F28" s="60"/>
      <c r="G28" s="68"/>
      <c r="H28" s="258"/>
      <c r="I28" s="259"/>
      <c r="J28" s="260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28" t="s">
        <v>36</v>
      </c>
      <c r="B29" s="229"/>
      <c r="C29" s="230"/>
      <c r="D29" s="234">
        <f>SUM(D6:D28)</f>
        <v>338118</v>
      </c>
      <c r="E29" s="9"/>
      <c r="F29" s="236" t="s">
        <v>55</v>
      </c>
      <c r="G29" s="237"/>
      <c r="H29" s="240">
        <f>H15-H16-H17-H18-H19-H20-H22-H23-H24+H26+H27+H28</f>
        <v>300139</v>
      </c>
      <c r="I29" s="241"/>
      <c r="J29" s="242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231"/>
      <c r="B30" s="232"/>
      <c r="C30" s="233"/>
      <c r="D30" s="235"/>
      <c r="E30" s="9"/>
      <c r="F30" s="238"/>
      <c r="G30" s="239"/>
      <c r="H30" s="243"/>
      <c r="I30" s="244"/>
      <c r="J30" s="245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5" t="s">
        <v>58</v>
      </c>
      <c r="B32" s="176"/>
      <c r="C32" s="176"/>
      <c r="D32" s="177"/>
      <c r="E32" s="11"/>
      <c r="F32" s="261" t="s">
        <v>59</v>
      </c>
      <c r="G32" s="262"/>
      <c r="H32" s="262"/>
      <c r="I32" s="262"/>
      <c r="J32" s="263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31" t="s">
        <v>63</v>
      </c>
      <c r="H33" s="261" t="s">
        <v>13</v>
      </c>
      <c r="I33" s="262"/>
      <c r="J33" s="263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88" t="s">
        <v>65</v>
      </c>
      <c r="B34" s="29" t="s">
        <v>66</v>
      </c>
      <c r="C34" s="56">
        <v>2</v>
      </c>
      <c r="D34" s="33">
        <f>C34*120</f>
        <v>240</v>
      </c>
      <c r="E34" s="9"/>
      <c r="F34" s="15">
        <v>1000</v>
      </c>
      <c r="G34" s="44">
        <v>23</v>
      </c>
      <c r="H34" s="264">
        <f t="shared" ref="H34:H39" si="2">F34*G34</f>
        <v>23000</v>
      </c>
      <c r="I34" s="265"/>
      <c r="J34" s="266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89"/>
      <c r="B35" s="30" t="s">
        <v>68</v>
      </c>
      <c r="C35" s="57"/>
      <c r="D35" s="33">
        <f>C35*84</f>
        <v>0</v>
      </c>
      <c r="E35" s="9"/>
      <c r="F35" s="64">
        <v>500</v>
      </c>
      <c r="G35" s="45">
        <v>28</v>
      </c>
      <c r="H35" s="264">
        <f t="shared" si="2"/>
        <v>14000</v>
      </c>
      <c r="I35" s="265"/>
      <c r="J35" s="266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90"/>
      <c r="B36" s="29" t="s">
        <v>70</v>
      </c>
      <c r="C36" s="53">
        <v>35</v>
      </c>
      <c r="D36" s="15">
        <f>C36*1.5</f>
        <v>52.5</v>
      </c>
      <c r="E36" s="9"/>
      <c r="F36" s="15">
        <v>200</v>
      </c>
      <c r="G36" s="41">
        <v>1</v>
      </c>
      <c r="H36" s="264">
        <f t="shared" si="2"/>
        <v>200</v>
      </c>
      <c r="I36" s="265"/>
      <c r="J36" s="266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88" t="s">
        <v>72</v>
      </c>
      <c r="B37" s="31" t="s">
        <v>66</v>
      </c>
      <c r="C37" s="58">
        <v>419</v>
      </c>
      <c r="D37" s="15">
        <f>C37*111</f>
        <v>46509</v>
      </c>
      <c r="E37" s="9"/>
      <c r="F37" s="15">
        <v>100</v>
      </c>
      <c r="G37" s="43">
        <v>36</v>
      </c>
      <c r="H37" s="264">
        <f t="shared" si="2"/>
        <v>3600</v>
      </c>
      <c r="I37" s="265"/>
      <c r="J37" s="266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89"/>
      <c r="B38" s="32" t="s">
        <v>68</v>
      </c>
      <c r="C38" s="59">
        <v>18</v>
      </c>
      <c r="D38" s="15">
        <f>C38*84</f>
        <v>1512</v>
      </c>
      <c r="E38" s="9"/>
      <c r="F38" s="33">
        <v>50</v>
      </c>
      <c r="G38" s="43">
        <v>51</v>
      </c>
      <c r="H38" s="264">
        <f t="shared" si="2"/>
        <v>2550</v>
      </c>
      <c r="I38" s="265"/>
      <c r="J38" s="266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90"/>
      <c r="B39" s="32" t="s">
        <v>70</v>
      </c>
      <c r="C39" s="57">
        <v>4</v>
      </c>
      <c r="D39" s="34">
        <f>C39*4.5</f>
        <v>18</v>
      </c>
      <c r="E39" s="9"/>
      <c r="F39" s="15">
        <v>20</v>
      </c>
      <c r="G39" s="41"/>
      <c r="H39" s="264">
        <f t="shared" si="2"/>
        <v>0</v>
      </c>
      <c r="I39" s="265"/>
      <c r="J39" s="266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88" t="s">
        <v>76</v>
      </c>
      <c r="B40" s="30" t="s">
        <v>66</v>
      </c>
      <c r="C40" s="70">
        <v>9</v>
      </c>
      <c r="D40" s="15">
        <f>C40*111</f>
        <v>999</v>
      </c>
      <c r="E40" s="9"/>
      <c r="F40" s="15">
        <v>10</v>
      </c>
      <c r="G40" s="46"/>
      <c r="H40" s="264"/>
      <c r="I40" s="265"/>
      <c r="J40" s="266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89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264"/>
      <c r="I41" s="265"/>
      <c r="J41" s="266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90"/>
      <c r="B42" s="30" t="s">
        <v>70</v>
      </c>
      <c r="C42" s="71">
        <v>6</v>
      </c>
      <c r="D42" s="15">
        <f>C42*2.25</f>
        <v>13.5</v>
      </c>
      <c r="E42" s="9"/>
      <c r="F42" s="43" t="s">
        <v>79</v>
      </c>
      <c r="G42" s="264">
        <v>2000</v>
      </c>
      <c r="H42" s="265"/>
      <c r="I42" s="265"/>
      <c r="J42" s="266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67" t="s">
        <v>81</v>
      </c>
      <c r="C43" s="71"/>
      <c r="D43" s="15"/>
      <c r="E43" s="9"/>
      <c r="F43" s="65" t="s">
        <v>82</v>
      </c>
      <c r="G43" s="128" t="s">
        <v>83</v>
      </c>
      <c r="H43" s="270" t="s">
        <v>13</v>
      </c>
      <c r="I43" s="271"/>
      <c r="J43" s="272"/>
      <c r="K43" s="24"/>
      <c r="O43" t="s">
        <v>103</v>
      </c>
      <c r="P43" s="4">
        <v>1667</v>
      </c>
      <c r="Q43" s="4"/>
      <c r="R43" s="5"/>
    </row>
    <row r="44" spans="1:18" ht="15.75" x14ac:dyDescent="0.25">
      <c r="A44" s="268"/>
      <c r="B44" s="30" t="s">
        <v>66</v>
      </c>
      <c r="C44" s="53">
        <v>2</v>
      </c>
      <c r="D44" s="15">
        <f>C44*120</f>
        <v>240</v>
      </c>
      <c r="E44" s="9"/>
      <c r="F44" s="41" t="s">
        <v>148</v>
      </c>
      <c r="G44" s="69" t="s">
        <v>180</v>
      </c>
      <c r="H44" s="255">
        <v>240623</v>
      </c>
      <c r="I44" s="255"/>
      <c r="J44" s="255"/>
      <c r="K44" s="24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268"/>
      <c r="B45" s="30" t="s">
        <v>68</v>
      </c>
      <c r="C45" s="90">
        <v>5</v>
      </c>
      <c r="D45" s="15">
        <f>C45*84</f>
        <v>420</v>
      </c>
      <c r="E45" s="9"/>
      <c r="F45" s="41" t="s">
        <v>148</v>
      </c>
      <c r="G45" s="69" t="s">
        <v>181</v>
      </c>
      <c r="H45" s="255">
        <v>16270</v>
      </c>
      <c r="I45" s="255"/>
      <c r="J45" s="255"/>
      <c r="K45" s="24"/>
      <c r="P45" s="4"/>
      <c r="Q45" s="4"/>
      <c r="R45" s="5"/>
    </row>
    <row r="46" spans="1:18" ht="15.75" x14ac:dyDescent="0.25">
      <c r="A46" s="268"/>
      <c r="B46" s="54" t="s">
        <v>70</v>
      </c>
      <c r="C46" s="91">
        <v>30</v>
      </c>
      <c r="D46" s="15">
        <f>C46*1.5</f>
        <v>45</v>
      </c>
      <c r="E46" s="9"/>
      <c r="F46" s="41"/>
      <c r="G46" s="69"/>
      <c r="H46" s="255"/>
      <c r="I46" s="255"/>
      <c r="J46" s="255"/>
      <c r="K46" s="24"/>
      <c r="P46" s="4"/>
      <c r="Q46" s="4"/>
      <c r="R46" s="5"/>
    </row>
    <row r="47" spans="1:18" ht="15.75" x14ac:dyDescent="0.25">
      <c r="A47" s="269"/>
      <c r="B47" s="30"/>
      <c r="C47" s="71"/>
      <c r="D47" s="15"/>
      <c r="E47" s="9"/>
      <c r="F47" s="65"/>
      <c r="G47" s="65"/>
      <c r="H47" s="273"/>
      <c r="I47" s="274"/>
      <c r="J47" s="275"/>
      <c r="K47" s="24"/>
      <c r="P47" s="4"/>
      <c r="Q47" s="4"/>
      <c r="R47" s="5"/>
    </row>
    <row r="48" spans="1:18" ht="15" customHeight="1" x14ac:dyDescent="0.25">
      <c r="A48" s="267" t="s">
        <v>32</v>
      </c>
      <c r="B48" s="30" t="s">
        <v>66</v>
      </c>
      <c r="C48" s="53">
        <v>3</v>
      </c>
      <c r="D48" s="15">
        <f>C48*78</f>
        <v>234</v>
      </c>
      <c r="E48" s="9"/>
      <c r="F48" s="65"/>
      <c r="G48" s="65"/>
      <c r="H48" s="273"/>
      <c r="I48" s="274"/>
      <c r="J48" s="275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68"/>
      <c r="B49" s="32" t="s">
        <v>68</v>
      </c>
      <c r="C49" s="90">
        <v>14</v>
      </c>
      <c r="D49" s="15">
        <f>C49*42</f>
        <v>588</v>
      </c>
      <c r="E49" s="9"/>
      <c r="F49" s="288" t="s">
        <v>86</v>
      </c>
      <c r="G49" s="240">
        <f>H34+H35+H36+H37+H38+H39+H40+H41+G42+H44+H45+H46</f>
        <v>302243</v>
      </c>
      <c r="H49" s="241"/>
      <c r="I49" s="241"/>
      <c r="J49" s="242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68"/>
      <c r="B50" s="35" t="s">
        <v>70</v>
      </c>
      <c r="C50" s="71">
        <v>62</v>
      </c>
      <c r="D50" s="15">
        <f>C50*1.5</f>
        <v>93</v>
      </c>
      <c r="E50" s="9"/>
      <c r="F50" s="289"/>
      <c r="G50" s="243"/>
      <c r="H50" s="244"/>
      <c r="I50" s="244"/>
      <c r="J50" s="245"/>
      <c r="K50" s="9"/>
      <c r="P50" s="4"/>
      <c r="Q50" s="4"/>
      <c r="R50" s="5"/>
    </row>
    <row r="51" spans="1:18" ht="15" customHeight="1" x14ac:dyDescent="0.25">
      <c r="A51" s="268"/>
      <c r="B51" s="30"/>
      <c r="C51" s="13"/>
      <c r="D51" s="34"/>
      <c r="E51" s="9"/>
      <c r="F51" s="290" t="s">
        <v>147</v>
      </c>
      <c r="G51" s="320">
        <f>G49-H29</f>
        <v>2104</v>
      </c>
      <c r="H51" s="321"/>
      <c r="I51" s="321"/>
      <c r="J51" s="322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68"/>
      <c r="B52" s="32"/>
      <c r="C52" s="36"/>
      <c r="D52" s="49"/>
      <c r="E52" s="9"/>
      <c r="F52" s="291"/>
      <c r="G52" s="323"/>
      <c r="H52" s="324"/>
      <c r="I52" s="324"/>
      <c r="J52" s="325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69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236" t="s">
        <v>90</v>
      </c>
      <c r="B54" s="276"/>
      <c r="C54" s="277"/>
      <c r="D54" s="280">
        <f>SUM(D34:D53)</f>
        <v>50964</v>
      </c>
      <c r="E54" s="9"/>
      <c r="F54" s="24"/>
      <c r="G54" s="9"/>
      <c r="H54" s="9"/>
      <c r="I54" s="9"/>
      <c r="J54" s="37"/>
      <c r="O54" t="s">
        <v>102</v>
      </c>
      <c r="P54" s="4">
        <v>1582</v>
      </c>
      <c r="R54" s="3">
        <v>1582</v>
      </c>
    </row>
    <row r="55" spans="1:18" x14ac:dyDescent="0.25">
      <c r="A55" s="238"/>
      <c r="B55" s="278"/>
      <c r="C55" s="279"/>
      <c r="D55" s="281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129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282" t="s">
        <v>91</v>
      </c>
      <c r="B58" s="283"/>
      <c r="C58" s="283"/>
      <c r="D58" s="284"/>
      <c r="E58" s="9"/>
      <c r="F58" s="282" t="s">
        <v>92</v>
      </c>
      <c r="G58" s="283"/>
      <c r="H58" s="283"/>
      <c r="I58" s="283"/>
      <c r="J58" s="284"/>
    </row>
    <row r="59" spans="1:18" x14ac:dyDescent="0.25">
      <c r="A59" s="285"/>
      <c r="B59" s="286"/>
      <c r="C59" s="286"/>
      <c r="D59" s="287"/>
      <c r="E59" s="9"/>
      <c r="F59" s="285"/>
      <c r="G59" s="286"/>
      <c r="H59" s="286"/>
      <c r="I59" s="286"/>
      <c r="J59" s="287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7C634-3DF6-4F0E-ACCA-B3DBC49346D2}">
  <dimension ref="A1:R59"/>
  <sheetViews>
    <sheetView zoomScaleNormal="100" zoomScaleSheetLayoutView="85" workbookViewId="0">
      <selection activeCell="L16" sqref="L16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174" t="s">
        <v>1</v>
      </c>
      <c r="O1" s="174"/>
      <c r="P1" s="130" t="s">
        <v>2</v>
      </c>
      <c r="Q1" s="130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75" t="s">
        <v>7</v>
      </c>
      <c r="B4" s="176"/>
      <c r="C4" s="176"/>
      <c r="D4" s="177"/>
      <c r="E4" s="9"/>
      <c r="F4" s="178" t="s">
        <v>8</v>
      </c>
      <c r="G4" s="180">
        <v>2</v>
      </c>
      <c r="H4" s="182" t="s">
        <v>9</v>
      </c>
      <c r="I4" s="184">
        <v>45791</v>
      </c>
      <c r="J4" s="185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88" t="s">
        <v>7</v>
      </c>
      <c r="B5" s="18" t="s">
        <v>11</v>
      </c>
      <c r="C5" s="12" t="s">
        <v>12</v>
      </c>
      <c r="D5" s="28" t="s">
        <v>13</v>
      </c>
      <c r="E5" s="9"/>
      <c r="F5" s="179"/>
      <c r="G5" s="181"/>
      <c r="H5" s="183"/>
      <c r="I5" s="186"/>
      <c r="J5" s="187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89"/>
      <c r="B6" s="19" t="s">
        <v>15</v>
      </c>
      <c r="C6" s="53">
        <v>431</v>
      </c>
      <c r="D6" s="16">
        <f t="shared" ref="D6:D28" si="1">C6*L6</f>
        <v>317647</v>
      </c>
      <c r="E6" s="9"/>
      <c r="F6" s="191" t="s">
        <v>16</v>
      </c>
      <c r="G6" s="193" t="s">
        <v>127</v>
      </c>
      <c r="H6" s="194"/>
      <c r="I6" s="194"/>
      <c r="J6" s="195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89"/>
      <c r="B7" s="19" t="s">
        <v>18</v>
      </c>
      <c r="C7" s="53">
        <v>5</v>
      </c>
      <c r="D7" s="16">
        <f t="shared" si="1"/>
        <v>3625</v>
      </c>
      <c r="E7" s="9"/>
      <c r="F7" s="192"/>
      <c r="G7" s="196"/>
      <c r="H7" s="197"/>
      <c r="I7" s="197"/>
      <c r="J7" s="198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189"/>
      <c r="B8" s="19" t="s">
        <v>20</v>
      </c>
      <c r="C8" s="53"/>
      <c r="D8" s="16">
        <f t="shared" si="1"/>
        <v>0</v>
      </c>
      <c r="E8" s="9"/>
      <c r="F8" s="199" t="s">
        <v>21</v>
      </c>
      <c r="G8" s="201" t="s">
        <v>115</v>
      </c>
      <c r="H8" s="202"/>
      <c r="I8" s="202"/>
      <c r="J8" s="203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189"/>
      <c r="B9" s="19" t="s">
        <v>23</v>
      </c>
      <c r="C9" s="53">
        <v>69</v>
      </c>
      <c r="D9" s="16">
        <f t="shared" si="1"/>
        <v>48783</v>
      </c>
      <c r="E9" s="9"/>
      <c r="F9" s="192"/>
      <c r="G9" s="204"/>
      <c r="H9" s="205"/>
      <c r="I9" s="205"/>
      <c r="J9" s="206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189"/>
      <c r="B10" s="11" t="s">
        <v>25</v>
      </c>
      <c r="C10" s="53"/>
      <c r="D10" s="16">
        <f t="shared" si="1"/>
        <v>0</v>
      </c>
      <c r="E10" s="9"/>
      <c r="F10" s="191" t="s">
        <v>26</v>
      </c>
      <c r="G10" s="207" t="s">
        <v>116</v>
      </c>
      <c r="H10" s="208"/>
      <c r="I10" s="208"/>
      <c r="J10" s="209"/>
      <c r="K10" s="10"/>
      <c r="L10" s="6">
        <f>R36</f>
        <v>972</v>
      </c>
      <c r="P10" s="4"/>
      <c r="Q10" s="4"/>
      <c r="R10" s="5"/>
    </row>
    <row r="11" spans="1:18" ht="15.75" x14ac:dyDescent="0.25">
      <c r="A11" s="189"/>
      <c r="B11" s="20" t="s">
        <v>28</v>
      </c>
      <c r="C11" s="53"/>
      <c r="D11" s="16">
        <f t="shared" si="1"/>
        <v>0</v>
      </c>
      <c r="E11" s="9"/>
      <c r="F11" s="192"/>
      <c r="G11" s="204"/>
      <c r="H11" s="205"/>
      <c r="I11" s="205"/>
      <c r="J11" s="206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89"/>
      <c r="B12" s="20" t="s">
        <v>30</v>
      </c>
      <c r="C12" s="53"/>
      <c r="D12" s="52">
        <f t="shared" si="1"/>
        <v>0</v>
      </c>
      <c r="E12" s="9"/>
      <c r="F12" s="210" t="s">
        <v>33</v>
      </c>
      <c r="G12" s="211"/>
      <c r="H12" s="211"/>
      <c r="I12" s="211"/>
      <c r="J12" s="212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89"/>
      <c r="B13" s="20" t="s">
        <v>32</v>
      </c>
      <c r="C13" s="53">
        <v>14</v>
      </c>
      <c r="D13" s="52">
        <f t="shared" si="1"/>
        <v>4298</v>
      </c>
      <c r="E13" s="9"/>
      <c r="F13" s="213" t="s">
        <v>36</v>
      </c>
      <c r="G13" s="214"/>
      <c r="H13" s="215">
        <f>D29</f>
        <v>382269</v>
      </c>
      <c r="I13" s="216"/>
      <c r="J13" s="217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89"/>
      <c r="B14" s="17" t="s">
        <v>35</v>
      </c>
      <c r="C14" s="53">
        <v>6</v>
      </c>
      <c r="D14" s="34">
        <f t="shared" si="1"/>
        <v>66</v>
      </c>
      <c r="E14" s="9"/>
      <c r="F14" s="218" t="s">
        <v>39</v>
      </c>
      <c r="G14" s="219"/>
      <c r="H14" s="220">
        <f>D54</f>
        <v>48159.75</v>
      </c>
      <c r="I14" s="221"/>
      <c r="J14" s="222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89"/>
      <c r="B15" s="17" t="s">
        <v>38</v>
      </c>
      <c r="C15" s="53"/>
      <c r="D15" s="34">
        <f t="shared" si="1"/>
        <v>0</v>
      </c>
      <c r="E15" s="9"/>
      <c r="F15" s="223" t="s">
        <v>40</v>
      </c>
      <c r="G15" s="214"/>
      <c r="H15" s="224">
        <f>H13-H14</f>
        <v>334109.25</v>
      </c>
      <c r="I15" s="225"/>
      <c r="J15" s="226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89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227">
        <v>1836</v>
      </c>
      <c r="I16" s="227"/>
      <c r="J16" s="22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89"/>
      <c r="B17" s="11" t="s">
        <v>93</v>
      </c>
      <c r="C17" s="53"/>
      <c r="D17" s="52">
        <f t="shared" si="1"/>
        <v>0</v>
      </c>
      <c r="E17" s="9"/>
      <c r="F17" s="62"/>
      <c r="G17" s="74" t="s">
        <v>45</v>
      </c>
      <c r="H17" s="200"/>
      <c r="I17" s="200"/>
      <c r="J17" s="200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89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200"/>
      <c r="I18" s="200"/>
      <c r="J18" s="200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89"/>
      <c r="B19" s="17" t="s">
        <v>96</v>
      </c>
      <c r="C19" s="53"/>
      <c r="D19" s="52">
        <f t="shared" si="1"/>
        <v>0</v>
      </c>
      <c r="E19" s="9"/>
      <c r="F19" s="62"/>
      <c r="G19" s="76" t="s">
        <v>50</v>
      </c>
      <c r="H19" s="298"/>
      <c r="I19" s="298"/>
      <c r="J19" s="298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89"/>
      <c r="B20" s="50" t="s">
        <v>131</v>
      </c>
      <c r="C20" s="53"/>
      <c r="D20" s="16">
        <f t="shared" si="1"/>
        <v>0</v>
      </c>
      <c r="E20" s="9"/>
      <c r="F20" s="63"/>
      <c r="G20" s="78" t="s">
        <v>124</v>
      </c>
      <c r="H20" s="200"/>
      <c r="I20" s="200"/>
      <c r="J20" s="200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89"/>
      <c r="B21" s="17" t="s">
        <v>130</v>
      </c>
      <c r="C21" s="53"/>
      <c r="D21" s="52">
        <f t="shared" si="1"/>
        <v>0</v>
      </c>
      <c r="E21" s="9"/>
      <c r="F21" s="77" t="s">
        <v>99</v>
      </c>
      <c r="G21" s="92" t="s">
        <v>98</v>
      </c>
      <c r="H21" s="246" t="s">
        <v>13</v>
      </c>
      <c r="I21" s="247"/>
      <c r="J21" s="248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89"/>
      <c r="B22" s="50" t="s">
        <v>104</v>
      </c>
      <c r="C22" s="53"/>
      <c r="D22" s="52">
        <f t="shared" si="1"/>
        <v>0</v>
      </c>
      <c r="E22" s="9"/>
      <c r="F22" s="80"/>
      <c r="G22" s="81"/>
      <c r="H22" s="249"/>
      <c r="I22" s="249"/>
      <c r="J22" s="249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89"/>
      <c r="B23" s="17" t="s">
        <v>107</v>
      </c>
      <c r="C23" s="53"/>
      <c r="D23" s="52">
        <f t="shared" si="1"/>
        <v>0</v>
      </c>
      <c r="E23" s="9"/>
      <c r="F23" s="28"/>
      <c r="G23" s="41"/>
      <c r="H23" s="299"/>
      <c r="I23" s="255"/>
      <c r="J23" s="255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89"/>
      <c r="B24" s="17" t="s">
        <v>133</v>
      </c>
      <c r="C24" s="53"/>
      <c r="D24" s="52">
        <f t="shared" si="1"/>
        <v>0</v>
      </c>
      <c r="E24" s="9"/>
      <c r="F24" s="42"/>
      <c r="G24" s="41"/>
      <c r="H24" s="299"/>
      <c r="I24" s="255"/>
      <c r="J24" s="255"/>
      <c r="L24" s="51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89"/>
      <c r="B25" s="17" t="s">
        <v>134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52" t="s">
        <v>13</v>
      </c>
      <c r="I25" s="253"/>
      <c r="J25" s="254"/>
      <c r="L25" s="51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89"/>
      <c r="B26" s="17" t="s">
        <v>105</v>
      </c>
      <c r="C26" s="53"/>
      <c r="D26" s="52">
        <f t="shared" si="1"/>
        <v>0</v>
      </c>
      <c r="E26" s="9"/>
      <c r="F26" s="72"/>
      <c r="G26" s="13"/>
      <c r="H26" s="300"/>
      <c r="I26" s="301"/>
      <c r="J26" s="302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89"/>
      <c r="B27" s="17" t="s">
        <v>109</v>
      </c>
      <c r="C27" s="53"/>
      <c r="D27" s="48">
        <f t="shared" si="1"/>
        <v>0</v>
      </c>
      <c r="E27" s="9"/>
      <c r="F27" s="67"/>
      <c r="G27" s="67"/>
      <c r="H27" s="303"/>
      <c r="I27" s="304"/>
      <c r="J27" s="305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90"/>
      <c r="B28" s="50" t="s">
        <v>97</v>
      </c>
      <c r="C28" s="53">
        <v>10</v>
      </c>
      <c r="D28" s="52">
        <f t="shared" si="1"/>
        <v>7850</v>
      </c>
      <c r="E28" s="9"/>
      <c r="F28" s="60"/>
      <c r="G28" s="68"/>
      <c r="H28" s="258"/>
      <c r="I28" s="259"/>
      <c r="J28" s="260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28" t="s">
        <v>36</v>
      </c>
      <c r="B29" s="229"/>
      <c r="C29" s="230"/>
      <c r="D29" s="234">
        <f>SUM(D6:D28)</f>
        <v>382269</v>
      </c>
      <c r="E29" s="9"/>
      <c r="F29" s="236" t="s">
        <v>55</v>
      </c>
      <c r="G29" s="237"/>
      <c r="H29" s="240">
        <f>H15-H16-H17-H18-H19-H20-H22-H23-H24+H26+H27</f>
        <v>332273.25</v>
      </c>
      <c r="I29" s="241"/>
      <c r="J29" s="242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231"/>
      <c r="B30" s="232"/>
      <c r="C30" s="233"/>
      <c r="D30" s="235"/>
      <c r="E30" s="9"/>
      <c r="F30" s="238"/>
      <c r="G30" s="239"/>
      <c r="H30" s="243"/>
      <c r="I30" s="244"/>
      <c r="J30" s="245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5" t="s">
        <v>58</v>
      </c>
      <c r="B32" s="176"/>
      <c r="C32" s="176"/>
      <c r="D32" s="177"/>
      <c r="E32" s="11"/>
      <c r="F32" s="261" t="s">
        <v>59</v>
      </c>
      <c r="G32" s="262"/>
      <c r="H32" s="262"/>
      <c r="I32" s="262"/>
      <c r="J32" s="263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31" t="s">
        <v>63</v>
      </c>
      <c r="H33" s="261" t="s">
        <v>13</v>
      </c>
      <c r="I33" s="262"/>
      <c r="J33" s="263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88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82">
        <v>253</v>
      </c>
      <c r="H34" s="264">
        <f>F34*G34</f>
        <v>253000</v>
      </c>
      <c r="I34" s="265"/>
      <c r="J34" s="266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89"/>
      <c r="B35" s="30" t="s">
        <v>68</v>
      </c>
      <c r="C35" s="57"/>
      <c r="D35" s="33">
        <f>C35*84</f>
        <v>0</v>
      </c>
      <c r="E35" s="9"/>
      <c r="F35" s="64">
        <v>500</v>
      </c>
      <c r="G35" s="45">
        <v>22</v>
      </c>
      <c r="H35" s="264">
        <f t="shared" ref="H35:H39" si="2">F35*G35</f>
        <v>11000</v>
      </c>
      <c r="I35" s="265"/>
      <c r="J35" s="266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90"/>
      <c r="B36" s="29" t="s">
        <v>70</v>
      </c>
      <c r="C36" s="53"/>
      <c r="D36" s="15">
        <f>C36*1.5</f>
        <v>0</v>
      </c>
      <c r="E36" s="9"/>
      <c r="F36" s="15">
        <v>200</v>
      </c>
      <c r="G36" s="41">
        <v>9</v>
      </c>
      <c r="H36" s="264">
        <f t="shared" si="2"/>
        <v>1800</v>
      </c>
      <c r="I36" s="265"/>
      <c r="J36" s="266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88" t="s">
        <v>72</v>
      </c>
      <c r="B37" s="31" t="s">
        <v>66</v>
      </c>
      <c r="C37" s="58">
        <v>373</v>
      </c>
      <c r="D37" s="15">
        <f>C37*111</f>
        <v>41403</v>
      </c>
      <c r="E37" s="9"/>
      <c r="F37" s="15">
        <v>100</v>
      </c>
      <c r="G37" s="43">
        <v>545</v>
      </c>
      <c r="H37" s="264">
        <f t="shared" si="2"/>
        <v>54500</v>
      </c>
      <c r="I37" s="265"/>
      <c r="J37" s="266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89"/>
      <c r="B38" s="32" t="s">
        <v>68</v>
      </c>
      <c r="C38" s="59">
        <v>69</v>
      </c>
      <c r="D38" s="15">
        <f>C38*84</f>
        <v>5796</v>
      </c>
      <c r="E38" s="9"/>
      <c r="F38" s="33">
        <v>50</v>
      </c>
      <c r="G38" s="43">
        <v>348</v>
      </c>
      <c r="H38" s="264">
        <f t="shared" si="2"/>
        <v>17400</v>
      </c>
      <c r="I38" s="265"/>
      <c r="J38" s="266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90"/>
      <c r="B39" s="32" t="s">
        <v>70</v>
      </c>
      <c r="C39" s="57">
        <v>4</v>
      </c>
      <c r="D39" s="34">
        <f>C39*4.5</f>
        <v>18</v>
      </c>
      <c r="E39" s="9"/>
      <c r="F39" s="15">
        <v>20</v>
      </c>
      <c r="G39" s="41">
        <v>4</v>
      </c>
      <c r="H39" s="264">
        <f t="shared" si="2"/>
        <v>80</v>
      </c>
      <c r="I39" s="265"/>
      <c r="J39" s="266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88" t="s">
        <v>76</v>
      </c>
      <c r="B40" s="30" t="s">
        <v>66</v>
      </c>
      <c r="C40" s="70">
        <v>3</v>
      </c>
      <c r="D40" s="15">
        <f>C40*111</f>
        <v>333</v>
      </c>
      <c r="E40" s="9"/>
      <c r="F40" s="15">
        <v>10</v>
      </c>
      <c r="G40" s="46"/>
      <c r="H40" s="264"/>
      <c r="I40" s="265"/>
      <c r="J40" s="266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89"/>
      <c r="B41" s="30" t="s">
        <v>68</v>
      </c>
      <c r="C41" s="53">
        <v>1</v>
      </c>
      <c r="D41" s="15">
        <f>C41*84</f>
        <v>84</v>
      </c>
      <c r="E41" s="9"/>
      <c r="F41" s="15">
        <v>5</v>
      </c>
      <c r="G41" s="46"/>
      <c r="H41" s="264"/>
      <c r="I41" s="265"/>
      <c r="J41" s="266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90"/>
      <c r="B42" s="30" t="s">
        <v>70</v>
      </c>
      <c r="C42" s="71">
        <v>7</v>
      </c>
      <c r="D42" s="15">
        <f>C42*2.25</f>
        <v>15.75</v>
      </c>
      <c r="E42" s="9"/>
      <c r="F42" s="43" t="s">
        <v>79</v>
      </c>
      <c r="G42" s="264">
        <v>37</v>
      </c>
      <c r="H42" s="265"/>
      <c r="I42" s="265"/>
      <c r="J42" s="266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67" t="s">
        <v>81</v>
      </c>
      <c r="C43" s="71"/>
      <c r="D43" s="15"/>
      <c r="E43" s="9"/>
      <c r="F43" s="65" t="s">
        <v>82</v>
      </c>
      <c r="G43" s="128" t="s">
        <v>83</v>
      </c>
      <c r="H43" s="270" t="s">
        <v>13</v>
      </c>
      <c r="I43" s="271"/>
      <c r="J43" s="272"/>
      <c r="K43" s="24"/>
      <c r="P43" s="4"/>
      <c r="Q43" s="4"/>
      <c r="R43" s="5"/>
    </row>
    <row r="44" spans="1:18" ht="15.75" x14ac:dyDescent="0.25">
      <c r="A44" s="268"/>
      <c r="B44" s="30" t="s">
        <v>66</v>
      </c>
      <c r="C44" s="53"/>
      <c r="D44" s="15">
        <f>C44*120</f>
        <v>0</v>
      </c>
      <c r="E44" s="9"/>
      <c r="F44" s="41"/>
      <c r="G44" s="69"/>
      <c r="H44" s="255"/>
      <c r="I44" s="255"/>
      <c r="J44" s="255"/>
      <c r="K44" s="24"/>
      <c r="P44" s="4"/>
      <c r="Q44" s="4"/>
      <c r="R44" s="5"/>
    </row>
    <row r="45" spans="1:18" ht="15.75" x14ac:dyDescent="0.25">
      <c r="A45" s="268"/>
      <c r="B45" s="30" t="s">
        <v>68</v>
      </c>
      <c r="C45" s="90"/>
      <c r="D45" s="15">
        <f>C45*84</f>
        <v>0</v>
      </c>
      <c r="E45" s="9"/>
      <c r="F45" s="41"/>
      <c r="G45" s="69"/>
      <c r="H45" s="255"/>
      <c r="I45" s="255"/>
      <c r="J45" s="255"/>
      <c r="K45" s="24"/>
      <c r="P45" s="4"/>
      <c r="Q45" s="4"/>
      <c r="R45" s="5"/>
    </row>
    <row r="46" spans="1:18" ht="15.75" x14ac:dyDescent="0.25">
      <c r="A46" s="268"/>
      <c r="B46" s="54" t="s">
        <v>70</v>
      </c>
      <c r="C46" s="91">
        <v>6</v>
      </c>
      <c r="D46" s="15">
        <f>C46*1.5</f>
        <v>9</v>
      </c>
      <c r="E46" s="9"/>
      <c r="F46" s="41"/>
      <c r="G46" s="129"/>
      <c r="H46" s="306"/>
      <c r="I46" s="306"/>
      <c r="J46" s="306"/>
      <c r="K46" s="24"/>
      <c r="P46" s="4"/>
      <c r="Q46" s="4"/>
      <c r="R46" s="5"/>
    </row>
    <row r="47" spans="1:18" ht="15.75" x14ac:dyDescent="0.25">
      <c r="A47" s="269"/>
      <c r="B47" s="30"/>
      <c r="C47" s="71"/>
      <c r="D47" s="15"/>
      <c r="E47" s="9"/>
      <c r="F47" s="65"/>
      <c r="G47" s="65"/>
      <c r="H47" s="273"/>
      <c r="I47" s="274"/>
      <c r="J47" s="275"/>
      <c r="K47" s="24"/>
      <c r="P47" s="4"/>
      <c r="Q47" s="4"/>
      <c r="R47" s="5"/>
    </row>
    <row r="48" spans="1:18" ht="15" customHeight="1" x14ac:dyDescent="0.25">
      <c r="A48" s="267" t="s">
        <v>32</v>
      </c>
      <c r="B48" s="30" t="s">
        <v>66</v>
      </c>
      <c r="C48" s="53">
        <v>2</v>
      </c>
      <c r="D48" s="15">
        <f>C48*78</f>
        <v>156</v>
      </c>
      <c r="E48" s="9"/>
      <c r="F48" s="65"/>
      <c r="G48" s="65"/>
      <c r="H48" s="273"/>
      <c r="I48" s="274"/>
      <c r="J48" s="275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68"/>
      <c r="B49" s="32" t="s">
        <v>68</v>
      </c>
      <c r="C49" s="90">
        <v>7</v>
      </c>
      <c r="D49" s="15">
        <f>C49*42</f>
        <v>294</v>
      </c>
      <c r="E49" s="9"/>
      <c r="F49" s="288" t="s">
        <v>86</v>
      </c>
      <c r="G49" s="240">
        <f>H34+H35+H36+H37+H38+H39+H40+H41+G42+H44+H45+H46</f>
        <v>337817</v>
      </c>
      <c r="H49" s="241"/>
      <c r="I49" s="241"/>
      <c r="J49" s="242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68"/>
      <c r="B50" s="35" t="s">
        <v>70</v>
      </c>
      <c r="C50" s="71">
        <v>34</v>
      </c>
      <c r="D50" s="15">
        <f>C50*1.5</f>
        <v>51</v>
      </c>
      <c r="E50" s="9"/>
      <c r="F50" s="289"/>
      <c r="G50" s="243"/>
      <c r="H50" s="244"/>
      <c r="I50" s="244"/>
      <c r="J50" s="245"/>
      <c r="K50" s="9"/>
      <c r="P50" s="4"/>
      <c r="Q50" s="4"/>
      <c r="R50" s="5"/>
    </row>
    <row r="51" spans="1:18" ht="15" customHeight="1" x14ac:dyDescent="0.25">
      <c r="A51" s="268"/>
      <c r="B51" s="30"/>
      <c r="C51" s="13"/>
      <c r="D51" s="34"/>
      <c r="E51" s="9"/>
      <c r="F51" s="290" t="s">
        <v>144</v>
      </c>
      <c r="G51" s="307">
        <f>G49-H29</f>
        <v>5543.75</v>
      </c>
      <c r="H51" s="308"/>
      <c r="I51" s="308"/>
      <c r="J51" s="309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68"/>
      <c r="B52" s="32"/>
      <c r="C52" s="36"/>
      <c r="D52" s="49"/>
      <c r="E52" s="9"/>
      <c r="F52" s="291"/>
      <c r="G52" s="310"/>
      <c r="H52" s="311"/>
      <c r="I52" s="311"/>
      <c r="J52" s="312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69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236" t="s">
        <v>90</v>
      </c>
      <c r="B54" s="276"/>
      <c r="C54" s="277"/>
      <c r="D54" s="280">
        <f>SUM(D34:D53)</f>
        <v>48159.75</v>
      </c>
      <c r="E54" s="9"/>
      <c r="F54" s="24"/>
      <c r="G54" s="9"/>
      <c r="H54" s="9"/>
      <c r="I54" s="9"/>
      <c r="J54" s="37"/>
    </row>
    <row r="55" spans="1:18" x14ac:dyDescent="0.25">
      <c r="A55" s="238"/>
      <c r="B55" s="278"/>
      <c r="C55" s="279"/>
      <c r="D55" s="281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136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282" t="s">
        <v>91</v>
      </c>
      <c r="B58" s="283"/>
      <c r="C58" s="283"/>
      <c r="D58" s="284"/>
      <c r="E58" s="9"/>
      <c r="F58" s="282" t="s">
        <v>92</v>
      </c>
      <c r="G58" s="283"/>
      <c r="H58" s="283"/>
      <c r="I58" s="283"/>
      <c r="J58" s="284"/>
    </row>
    <row r="59" spans="1:18" x14ac:dyDescent="0.25">
      <c r="A59" s="285"/>
      <c r="B59" s="286"/>
      <c r="C59" s="286"/>
      <c r="D59" s="287"/>
      <c r="E59" s="9"/>
      <c r="F59" s="285"/>
      <c r="G59" s="286"/>
      <c r="H59" s="286"/>
      <c r="I59" s="286"/>
      <c r="J59" s="287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855EF-FFC0-40D6-96D2-158550C108FB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s="8" t="s">
        <v>0</v>
      </c>
      <c r="B1" s="8"/>
      <c r="C1" s="8"/>
      <c r="D1" s="8"/>
      <c r="N1" s="174" t="s">
        <v>1</v>
      </c>
      <c r="O1" s="174"/>
      <c r="P1" s="130" t="s">
        <v>2</v>
      </c>
      <c r="Q1" s="130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75" t="s">
        <v>7</v>
      </c>
      <c r="B4" s="176"/>
      <c r="C4" s="176"/>
      <c r="D4" s="177"/>
      <c r="E4" s="9"/>
      <c r="F4" s="178" t="s">
        <v>8</v>
      </c>
      <c r="G4" s="180">
        <v>3</v>
      </c>
      <c r="H4" s="182" t="s">
        <v>9</v>
      </c>
      <c r="I4" s="184">
        <v>45791</v>
      </c>
      <c r="J4" s="185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88" t="s">
        <v>7</v>
      </c>
      <c r="B5" s="18" t="s">
        <v>11</v>
      </c>
      <c r="C5" s="12" t="s">
        <v>12</v>
      </c>
      <c r="D5" s="28" t="s">
        <v>13</v>
      </c>
      <c r="E5" s="9"/>
      <c r="F5" s="179"/>
      <c r="G5" s="181"/>
      <c r="H5" s="183"/>
      <c r="I5" s="186"/>
      <c r="J5" s="187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89"/>
      <c r="B6" s="19" t="s">
        <v>15</v>
      </c>
      <c r="C6" s="53">
        <v>872</v>
      </c>
      <c r="D6" s="16">
        <f t="shared" ref="D6:D28" si="1">C6*L6</f>
        <v>642664</v>
      </c>
      <c r="E6" s="9"/>
      <c r="F6" s="191" t="s">
        <v>16</v>
      </c>
      <c r="G6" s="193" t="s">
        <v>111</v>
      </c>
      <c r="H6" s="194"/>
      <c r="I6" s="194"/>
      <c r="J6" s="195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89"/>
      <c r="B7" s="19" t="s">
        <v>18</v>
      </c>
      <c r="C7" s="53">
        <v>24</v>
      </c>
      <c r="D7" s="16">
        <f t="shared" si="1"/>
        <v>17400</v>
      </c>
      <c r="E7" s="9"/>
      <c r="F7" s="192"/>
      <c r="G7" s="196"/>
      <c r="H7" s="197"/>
      <c r="I7" s="197"/>
      <c r="J7" s="198"/>
      <c r="K7" s="10"/>
      <c r="L7" s="6">
        <f>R41</f>
        <v>725</v>
      </c>
      <c r="P7" s="4"/>
      <c r="Q7" s="4"/>
      <c r="R7" s="5"/>
    </row>
    <row r="8" spans="1:19" ht="14.45" customHeight="1" x14ac:dyDescent="0.25">
      <c r="A8" s="189"/>
      <c r="B8" s="19" t="s">
        <v>20</v>
      </c>
      <c r="C8" s="53"/>
      <c r="D8" s="16">
        <f t="shared" si="1"/>
        <v>0</v>
      </c>
      <c r="E8" s="9"/>
      <c r="F8" s="199" t="s">
        <v>21</v>
      </c>
      <c r="G8" s="201" t="s">
        <v>122</v>
      </c>
      <c r="H8" s="202"/>
      <c r="I8" s="202"/>
      <c r="J8" s="203"/>
      <c r="K8" s="10"/>
      <c r="L8" s="6">
        <f>R40</f>
        <v>1033</v>
      </c>
      <c r="P8" s="4"/>
      <c r="Q8" s="4"/>
      <c r="R8" s="5"/>
    </row>
    <row r="9" spans="1:19" ht="14.45" customHeight="1" x14ac:dyDescent="0.25">
      <c r="A9" s="189"/>
      <c r="B9" s="19" t="s">
        <v>23</v>
      </c>
      <c r="C9" s="53">
        <v>148</v>
      </c>
      <c r="D9" s="16">
        <f t="shared" si="1"/>
        <v>104636</v>
      </c>
      <c r="E9" s="9"/>
      <c r="F9" s="192"/>
      <c r="G9" s="204"/>
      <c r="H9" s="205"/>
      <c r="I9" s="205"/>
      <c r="J9" s="206"/>
      <c r="K9" s="10"/>
      <c r="L9" s="6">
        <f>R38</f>
        <v>707</v>
      </c>
      <c r="P9" s="4"/>
      <c r="Q9" s="4"/>
      <c r="R9" s="5"/>
    </row>
    <row r="10" spans="1:19" ht="14.45" customHeight="1" x14ac:dyDescent="0.25">
      <c r="A10" s="189"/>
      <c r="B10" s="11" t="s">
        <v>25</v>
      </c>
      <c r="C10" s="53">
        <v>1</v>
      </c>
      <c r="D10" s="16">
        <f t="shared" si="1"/>
        <v>972</v>
      </c>
      <c r="E10" s="9"/>
      <c r="F10" s="191" t="s">
        <v>26</v>
      </c>
      <c r="G10" s="207" t="s">
        <v>123</v>
      </c>
      <c r="H10" s="208"/>
      <c r="I10" s="208"/>
      <c r="J10" s="209"/>
      <c r="K10" s="10"/>
      <c r="L10" s="6">
        <f>R36</f>
        <v>972</v>
      </c>
      <c r="P10" s="4"/>
      <c r="Q10" s="4"/>
      <c r="R10" s="5"/>
    </row>
    <row r="11" spans="1:19" ht="15.75" x14ac:dyDescent="0.25">
      <c r="A11" s="189"/>
      <c r="B11" s="20" t="s">
        <v>28</v>
      </c>
      <c r="C11" s="53"/>
      <c r="D11" s="16">
        <f t="shared" si="1"/>
        <v>0</v>
      </c>
      <c r="E11" s="9"/>
      <c r="F11" s="192"/>
      <c r="G11" s="204"/>
      <c r="H11" s="205"/>
      <c r="I11" s="205"/>
      <c r="J11" s="206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89"/>
      <c r="B12" s="20" t="s">
        <v>30</v>
      </c>
      <c r="C12" s="53">
        <v>2</v>
      </c>
      <c r="D12" s="52">
        <f t="shared" si="1"/>
        <v>1904</v>
      </c>
      <c r="E12" s="9"/>
      <c r="F12" s="210" t="s">
        <v>33</v>
      </c>
      <c r="G12" s="211"/>
      <c r="H12" s="211"/>
      <c r="I12" s="211"/>
      <c r="J12" s="212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89"/>
      <c r="B13" s="20" t="s">
        <v>32</v>
      </c>
      <c r="C13" s="53">
        <v>41</v>
      </c>
      <c r="D13" s="52">
        <f t="shared" si="1"/>
        <v>12587</v>
      </c>
      <c r="E13" s="9"/>
      <c r="F13" s="213" t="s">
        <v>36</v>
      </c>
      <c r="G13" s="214"/>
      <c r="H13" s="215">
        <f>D29</f>
        <v>794621</v>
      </c>
      <c r="I13" s="216"/>
      <c r="J13" s="217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89"/>
      <c r="B14" s="17" t="s">
        <v>35</v>
      </c>
      <c r="C14" s="53">
        <v>3</v>
      </c>
      <c r="D14" s="34">
        <f t="shared" si="1"/>
        <v>33</v>
      </c>
      <c r="E14" s="9"/>
      <c r="F14" s="218" t="s">
        <v>39</v>
      </c>
      <c r="G14" s="219"/>
      <c r="H14" s="220">
        <f>D54</f>
        <v>171040.5</v>
      </c>
      <c r="I14" s="221"/>
      <c r="J14" s="222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89"/>
      <c r="B15" s="17" t="s">
        <v>38</v>
      </c>
      <c r="C15" s="53">
        <f>1+1</f>
        <v>2</v>
      </c>
      <c r="D15" s="34">
        <f t="shared" si="1"/>
        <v>1240</v>
      </c>
      <c r="E15" s="9"/>
      <c r="F15" s="223" t="s">
        <v>40</v>
      </c>
      <c r="G15" s="214"/>
      <c r="H15" s="224">
        <f>H13-H14</f>
        <v>623580.5</v>
      </c>
      <c r="I15" s="225"/>
      <c r="J15" s="226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89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227">
        <f>4206+798+564</f>
        <v>5568</v>
      </c>
      <c r="I16" s="227"/>
      <c r="J16" s="22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89"/>
      <c r="B17" s="11" t="s">
        <v>114</v>
      </c>
      <c r="C17" s="53"/>
      <c r="D17" s="52">
        <f t="shared" si="1"/>
        <v>0</v>
      </c>
      <c r="E17" s="9"/>
      <c r="F17" s="62"/>
      <c r="G17" s="74" t="s">
        <v>45</v>
      </c>
      <c r="H17" s="200"/>
      <c r="I17" s="200"/>
      <c r="J17" s="200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89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200"/>
      <c r="I18" s="200"/>
      <c r="J18" s="200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89"/>
      <c r="B19" s="17" t="s">
        <v>118</v>
      </c>
      <c r="C19" s="53"/>
      <c r="D19" s="52">
        <f t="shared" si="1"/>
        <v>0</v>
      </c>
      <c r="E19" s="9"/>
      <c r="F19" s="62"/>
      <c r="G19" s="76" t="s">
        <v>50</v>
      </c>
      <c r="H19" s="313"/>
      <c r="I19" s="313"/>
      <c r="J19" s="313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89"/>
      <c r="B20" s="50" t="s">
        <v>108</v>
      </c>
      <c r="C20" s="53"/>
      <c r="D20" s="16">
        <f t="shared" si="1"/>
        <v>0</v>
      </c>
      <c r="E20" s="9"/>
      <c r="F20" s="63"/>
      <c r="G20" s="78" t="s">
        <v>124</v>
      </c>
      <c r="H20" s="227">
        <f>626</f>
        <v>626</v>
      </c>
      <c r="I20" s="227"/>
      <c r="J20" s="227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89"/>
      <c r="B21" s="17" t="s">
        <v>145</v>
      </c>
      <c r="C21" s="53">
        <f>5+2</f>
        <v>7</v>
      </c>
      <c r="D21" s="52">
        <f t="shared" si="1"/>
        <v>4550</v>
      </c>
      <c r="E21" s="9"/>
      <c r="F21" s="77" t="s">
        <v>99</v>
      </c>
      <c r="G21" s="92" t="s">
        <v>98</v>
      </c>
      <c r="H21" s="246" t="s">
        <v>13</v>
      </c>
      <c r="I21" s="247"/>
      <c r="J21" s="248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89"/>
      <c r="B22" s="50" t="s">
        <v>104</v>
      </c>
      <c r="C22" s="53"/>
      <c r="D22" s="52">
        <f t="shared" si="1"/>
        <v>0</v>
      </c>
      <c r="E22" s="9"/>
      <c r="F22" s="85"/>
      <c r="G22" s="81"/>
      <c r="H22" s="249"/>
      <c r="I22" s="249"/>
      <c r="J22" s="249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89"/>
      <c r="B23" s="17" t="s">
        <v>107</v>
      </c>
      <c r="C23" s="53"/>
      <c r="D23" s="52">
        <f t="shared" si="1"/>
        <v>0</v>
      </c>
      <c r="E23" s="9"/>
      <c r="F23" s="86"/>
      <c r="G23" s="87"/>
      <c r="H23" s="299"/>
      <c r="I23" s="255"/>
      <c r="J23" s="255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89"/>
      <c r="B24" s="17" t="s">
        <v>101</v>
      </c>
      <c r="C24" s="53"/>
      <c r="D24" s="52">
        <f t="shared" si="1"/>
        <v>0</v>
      </c>
      <c r="E24" s="9"/>
      <c r="F24" s="42"/>
      <c r="G24" s="41"/>
      <c r="H24" s="299"/>
      <c r="I24" s="255"/>
      <c r="J24" s="255"/>
      <c r="L24" s="51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89"/>
      <c r="B25" s="17" t="s">
        <v>117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52" t="s">
        <v>13</v>
      </c>
      <c r="I25" s="253"/>
      <c r="J25" s="254"/>
      <c r="L25" s="51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89"/>
      <c r="B26" s="17" t="s">
        <v>105</v>
      </c>
      <c r="C26" s="53"/>
      <c r="D26" s="52">
        <f t="shared" si="1"/>
        <v>0</v>
      </c>
      <c r="E26" s="9"/>
      <c r="F26" s="72" t="s">
        <v>183</v>
      </c>
      <c r="G26" s="65">
        <v>1282</v>
      </c>
      <c r="H26" s="300">
        <f>155906</f>
        <v>155906</v>
      </c>
      <c r="I26" s="301"/>
      <c r="J26" s="302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89"/>
      <c r="B27" s="17" t="s">
        <v>109</v>
      </c>
      <c r="C27" s="53"/>
      <c r="D27" s="48">
        <f t="shared" si="1"/>
        <v>0</v>
      </c>
      <c r="E27" s="9"/>
      <c r="F27" s="88" t="s">
        <v>160</v>
      </c>
      <c r="G27" s="89"/>
      <c r="H27" s="303">
        <f>175305</f>
        <v>175305</v>
      </c>
      <c r="I27" s="304"/>
      <c r="J27" s="305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90"/>
      <c r="B28" s="50" t="s">
        <v>97</v>
      </c>
      <c r="C28" s="53">
        <v>11</v>
      </c>
      <c r="D28" s="52">
        <f t="shared" si="1"/>
        <v>8635</v>
      </c>
      <c r="E28" s="9"/>
      <c r="F28" s="60"/>
      <c r="G28" s="68"/>
      <c r="H28" s="258"/>
      <c r="I28" s="259"/>
      <c r="J28" s="260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28" t="s">
        <v>36</v>
      </c>
      <c r="B29" s="229"/>
      <c r="C29" s="230"/>
      <c r="D29" s="234">
        <f>SUM(D6:D28)</f>
        <v>794621</v>
      </c>
      <c r="E29" s="9"/>
      <c r="F29" s="236" t="s">
        <v>55</v>
      </c>
      <c r="G29" s="237"/>
      <c r="H29" s="240">
        <f>H15-H16-H17-H18-H19-H20-H22-H23-H24+H26+H27</f>
        <v>948597.5</v>
      </c>
      <c r="I29" s="241"/>
      <c r="J29" s="242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231"/>
      <c r="B30" s="232"/>
      <c r="C30" s="233"/>
      <c r="D30" s="235"/>
      <c r="E30" s="9"/>
      <c r="F30" s="238"/>
      <c r="G30" s="239"/>
      <c r="H30" s="243"/>
      <c r="I30" s="244"/>
      <c r="J30" s="245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5" t="s">
        <v>58</v>
      </c>
      <c r="B32" s="176"/>
      <c r="C32" s="176"/>
      <c r="D32" s="177"/>
      <c r="E32" s="11"/>
      <c r="F32" s="261" t="s">
        <v>59</v>
      </c>
      <c r="G32" s="262"/>
      <c r="H32" s="262"/>
      <c r="I32" s="262"/>
      <c r="J32" s="263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31" t="s">
        <v>63</v>
      </c>
      <c r="H33" s="261" t="s">
        <v>13</v>
      </c>
      <c r="I33" s="262"/>
      <c r="J33" s="263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88" t="s">
        <v>65</v>
      </c>
      <c r="B34" s="29" t="s">
        <v>66</v>
      </c>
      <c r="C34" s="56">
        <v>1</v>
      </c>
      <c r="D34" s="33">
        <f>C34*120</f>
        <v>120</v>
      </c>
      <c r="E34" s="9"/>
      <c r="F34" s="15">
        <v>1000</v>
      </c>
      <c r="G34" s="82">
        <f>316+38</f>
        <v>354</v>
      </c>
      <c r="H34" s="264">
        <f>F34*G34</f>
        <v>354000</v>
      </c>
      <c r="I34" s="265"/>
      <c r="J34" s="266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89"/>
      <c r="B35" s="30" t="s">
        <v>68</v>
      </c>
      <c r="C35" s="57">
        <v>1</v>
      </c>
      <c r="D35" s="33">
        <f>C35*84</f>
        <v>84</v>
      </c>
      <c r="E35" s="9"/>
      <c r="F35" s="64">
        <v>500</v>
      </c>
      <c r="G35" s="45">
        <f>148+32</f>
        <v>180</v>
      </c>
      <c r="H35" s="264">
        <f>F35*G35</f>
        <v>90000</v>
      </c>
      <c r="I35" s="265"/>
      <c r="J35" s="266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90"/>
      <c r="B36" s="29" t="s">
        <v>70</v>
      </c>
      <c r="C36" s="53">
        <v>20</v>
      </c>
      <c r="D36" s="15">
        <f>C36*1.5</f>
        <v>30</v>
      </c>
      <c r="E36" s="9"/>
      <c r="F36" s="15">
        <v>200</v>
      </c>
      <c r="G36" s="41">
        <f>28+3</f>
        <v>31</v>
      </c>
      <c r="H36" s="264">
        <f t="shared" ref="H36:H39" si="2">F36*G36</f>
        <v>6200</v>
      </c>
      <c r="I36" s="265"/>
      <c r="J36" s="266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88" t="s">
        <v>72</v>
      </c>
      <c r="B37" s="31" t="s">
        <v>66</v>
      </c>
      <c r="C37" s="58">
        <v>1475</v>
      </c>
      <c r="D37" s="15">
        <f>C37*111</f>
        <v>163725</v>
      </c>
      <c r="E37" s="9"/>
      <c r="F37" s="15">
        <v>100</v>
      </c>
      <c r="G37" s="43">
        <f>396+216</f>
        <v>612</v>
      </c>
      <c r="H37" s="264">
        <f t="shared" si="2"/>
        <v>61200</v>
      </c>
      <c r="I37" s="265"/>
      <c r="J37" s="266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89"/>
      <c r="B38" s="32" t="s">
        <v>68</v>
      </c>
      <c r="C38" s="59">
        <v>11</v>
      </c>
      <c r="D38" s="15">
        <f>C38*84</f>
        <v>924</v>
      </c>
      <c r="E38" s="9"/>
      <c r="F38" s="33">
        <v>50</v>
      </c>
      <c r="G38" s="43">
        <f>59+137</f>
        <v>196</v>
      </c>
      <c r="H38" s="264">
        <f t="shared" si="2"/>
        <v>9800</v>
      </c>
      <c r="I38" s="265"/>
      <c r="J38" s="266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90"/>
      <c r="B39" s="32" t="s">
        <v>70</v>
      </c>
      <c r="C39" s="57">
        <v>8</v>
      </c>
      <c r="D39" s="34">
        <f>C39*4.5</f>
        <v>36</v>
      </c>
      <c r="E39" s="9"/>
      <c r="F39" s="15">
        <v>20</v>
      </c>
      <c r="G39" s="41"/>
      <c r="H39" s="264">
        <f t="shared" si="2"/>
        <v>0</v>
      </c>
      <c r="I39" s="265"/>
      <c r="J39" s="266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88" t="s">
        <v>76</v>
      </c>
      <c r="B40" s="30" t="s">
        <v>66</v>
      </c>
      <c r="C40" s="70">
        <v>34</v>
      </c>
      <c r="D40" s="15">
        <f>C40*111</f>
        <v>3774</v>
      </c>
      <c r="E40" s="9"/>
      <c r="F40" s="15">
        <v>10</v>
      </c>
      <c r="G40" s="46"/>
      <c r="H40" s="264"/>
      <c r="I40" s="265"/>
      <c r="J40" s="266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89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264"/>
      <c r="I41" s="265"/>
      <c r="J41" s="266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90"/>
      <c r="B42" s="30" t="s">
        <v>70</v>
      </c>
      <c r="C42" s="71">
        <v>10</v>
      </c>
      <c r="D42" s="15">
        <f>C42*2.25</f>
        <v>22.5</v>
      </c>
      <c r="E42" s="9"/>
      <c r="F42" s="43" t="s">
        <v>79</v>
      </c>
      <c r="G42" s="264">
        <f>837+10</f>
        <v>847</v>
      </c>
      <c r="H42" s="265"/>
      <c r="I42" s="265"/>
      <c r="J42" s="266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67" t="s">
        <v>81</v>
      </c>
      <c r="C43" s="71"/>
      <c r="D43" s="15"/>
      <c r="E43" s="9"/>
      <c r="F43" s="65" t="s">
        <v>82</v>
      </c>
      <c r="G43" s="128" t="s">
        <v>83</v>
      </c>
      <c r="H43" s="270" t="s">
        <v>13</v>
      </c>
      <c r="I43" s="271"/>
      <c r="J43" s="272"/>
      <c r="K43" s="24"/>
      <c r="P43" s="4"/>
      <c r="Q43" s="4"/>
      <c r="R43" s="5"/>
    </row>
    <row r="44" spans="1:18" ht="15.75" x14ac:dyDescent="0.25">
      <c r="A44" s="268"/>
      <c r="B44" s="30" t="s">
        <v>66</v>
      </c>
      <c r="C44" s="53">
        <v>2</v>
      </c>
      <c r="D44" s="15">
        <f>C44*120</f>
        <v>240</v>
      </c>
      <c r="E44" s="9"/>
      <c r="F44" s="41" t="s">
        <v>148</v>
      </c>
      <c r="G44" s="84" t="s">
        <v>179</v>
      </c>
      <c r="H44" s="255">
        <v>422489</v>
      </c>
      <c r="I44" s="255"/>
      <c r="J44" s="255"/>
      <c r="K44" s="24"/>
      <c r="P44" s="4"/>
      <c r="Q44" s="4"/>
      <c r="R44" s="5"/>
    </row>
    <row r="45" spans="1:18" ht="15.75" x14ac:dyDescent="0.25">
      <c r="A45" s="268"/>
      <c r="B45" s="30" t="s">
        <v>68</v>
      </c>
      <c r="C45" s="90">
        <v>5</v>
      </c>
      <c r="D45" s="15">
        <f>C45*84</f>
        <v>420</v>
      </c>
      <c r="E45" s="9"/>
      <c r="F45" s="41"/>
      <c r="G45" s="84"/>
      <c r="H45" s="255"/>
      <c r="I45" s="255"/>
      <c r="J45" s="255"/>
      <c r="K45" s="24"/>
      <c r="P45" s="4"/>
      <c r="Q45" s="4"/>
      <c r="R45" s="5"/>
    </row>
    <row r="46" spans="1:18" ht="15.75" x14ac:dyDescent="0.25">
      <c r="A46" s="268"/>
      <c r="B46" s="54" t="s">
        <v>70</v>
      </c>
      <c r="C46" s="91">
        <v>16</v>
      </c>
      <c r="D46" s="15">
        <f>C46*1.5</f>
        <v>24</v>
      </c>
      <c r="E46" s="9"/>
      <c r="F46" s="41"/>
      <c r="G46" s="69"/>
      <c r="H46" s="306"/>
      <c r="I46" s="306"/>
      <c r="J46" s="306"/>
      <c r="K46" s="24"/>
      <c r="P46" s="4"/>
      <c r="Q46" s="4"/>
      <c r="R46" s="5"/>
    </row>
    <row r="47" spans="1:18" ht="15.75" x14ac:dyDescent="0.25">
      <c r="A47" s="269"/>
      <c r="B47" s="30"/>
      <c r="C47" s="71"/>
      <c r="D47" s="15"/>
      <c r="E47" s="9"/>
      <c r="F47" s="65"/>
      <c r="G47" s="65"/>
      <c r="H47" s="273"/>
      <c r="I47" s="274"/>
      <c r="J47" s="275"/>
      <c r="K47" s="24"/>
      <c r="P47" s="4"/>
      <c r="Q47" s="4"/>
      <c r="R47" s="5"/>
    </row>
    <row r="48" spans="1:18" ht="15" customHeight="1" x14ac:dyDescent="0.25">
      <c r="A48" s="267" t="s">
        <v>32</v>
      </c>
      <c r="B48" s="30" t="s">
        <v>66</v>
      </c>
      <c r="C48" s="53">
        <v>15</v>
      </c>
      <c r="D48" s="15">
        <f>C48*78</f>
        <v>1170</v>
      </c>
      <c r="E48" s="9"/>
      <c r="F48" s="65"/>
      <c r="G48" s="65"/>
      <c r="H48" s="273"/>
      <c r="I48" s="274"/>
      <c r="J48" s="275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68"/>
      <c r="B49" s="32" t="s">
        <v>68</v>
      </c>
      <c r="C49" s="90">
        <v>11</v>
      </c>
      <c r="D49" s="15">
        <f>C49*42</f>
        <v>462</v>
      </c>
      <c r="E49" s="9"/>
      <c r="F49" s="288" t="s">
        <v>86</v>
      </c>
      <c r="G49" s="240">
        <f>H34+H35+H36+H37+H38+H39+H40+H41+G42+H44+H45+H46</f>
        <v>944536</v>
      </c>
      <c r="H49" s="241"/>
      <c r="I49" s="241"/>
      <c r="J49" s="242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68"/>
      <c r="B50" s="35" t="s">
        <v>70</v>
      </c>
      <c r="C50" s="71">
        <v>6</v>
      </c>
      <c r="D50" s="15">
        <f>C50*1.5</f>
        <v>9</v>
      </c>
      <c r="E50" s="9"/>
      <c r="F50" s="289"/>
      <c r="G50" s="243"/>
      <c r="H50" s="244"/>
      <c r="I50" s="244"/>
      <c r="J50" s="245"/>
      <c r="K50" s="9"/>
      <c r="P50" s="4"/>
      <c r="Q50" s="4"/>
      <c r="R50" s="5"/>
    </row>
    <row r="51" spans="1:18" ht="15" customHeight="1" x14ac:dyDescent="0.25">
      <c r="A51" s="268"/>
      <c r="B51" s="30"/>
      <c r="C51" s="53"/>
      <c r="D51" s="34"/>
      <c r="E51" s="9"/>
      <c r="F51" s="290" t="s">
        <v>135</v>
      </c>
      <c r="G51" s="314">
        <f>G49-H29</f>
        <v>-4061.5</v>
      </c>
      <c r="H51" s="315"/>
      <c r="I51" s="315"/>
      <c r="J51" s="316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68"/>
      <c r="B52" s="32"/>
      <c r="C52" s="36"/>
      <c r="D52" s="49"/>
      <c r="E52" s="9"/>
      <c r="F52" s="291"/>
      <c r="G52" s="317"/>
      <c r="H52" s="318"/>
      <c r="I52" s="318"/>
      <c r="J52" s="319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69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236" t="s">
        <v>90</v>
      </c>
      <c r="B54" s="276"/>
      <c r="C54" s="277"/>
      <c r="D54" s="280">
        <f>SUM(D34:D53)</f>
        <v>171040.5</v>
      </c>
      <c r="E54" s="9"/>
      <c r="F54" s="24"/>
      <c r="G54" s="9"/>
      <c r="H54" s="9"/>
      <c r="I54" s="9"/>
      <c r="J54" s="37"/>
    </row>
    <row r="55" spans="1:18" x14ac:dyDescent="0.25">
      <c r="A55" s="238"/>
      <c r="B55" s="278"/>
      <c r="C55" s="279"/>
      <c r="D55" s="281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119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282" t="s">
        <v>91</v>
      </c>
      <c r="B58" s="283"/>
      <c r="C58" s="283"/>
      <c r="D58" s="284"/>
      <c r="E58" s="9"/>
      <c r="F58" s="282" t="s">
        <v>92</v>
      </c>
      <c r="G58" s="283"/>
      <c r="H58" s="283"/>
      <c r="I58" s="283"/>
      <c r="J58" s="284"/>
    </row>
    <row r="59" spans="1:18" x14ac:dyDescent="0.25">
      <c r="A59" s="285"/>
      <c r="B59" s="286"/>
      <c r="C59" s="286"/>
      <c r="D59" s="287"/>
      <c r="E59" s="9"/>
      <c r="F59" s="285"/>
      <c r="G59" s="286"/>
      <c r="H59" s="286"/>
      <c r="I59" s="286"/>
      <c r="J59" s="287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08D28-119C-42ED-BED7-3A1EC84CE8F3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s="8" t="s">
        <v>0</v>
      </c>
      <c r="B1" s="8"/>
      <c r="C1" s="8"/>
      <c r="D1" s="8"/>
      <c r="N1" s="174" t="s">
        <v>1</v>
      </c>
      <c r="O1" s="174"/>
      <c r="P1" s="137" t="s">
        <v>2</v>
      </c>
      <c r="Q1" s="137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75" t="s">
        <v>7</v>
      </c>
      <c r="B4" s="176"/>
      <c r="C4" s="176"/>
      <c r="D4" s="177"/>
      <c r="E4" s="9"/>
      <c r="F4" s="178" t="s">
        <v>8</v>
      </c>
      <c r="G4" s="180">
        <v>3</v>
      </c>
      <c r="H4" s="182" t="s">
        <v>9</v>
      </c>
      <c r="I4" s="184">
        <v>45791</v>
      </c>
      <c r="J4" s="185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88" t="s">
        <v>7</v>
      </c>
      <c r="B5" s="18" t="s">
        <v>11</v>
      </c>
      <c r="C5" s="12" t="s">
        <v>12</v>
      </c>
      <c r="D5" s="28" t="s">
        <v>13</v>
      </c>
      <c r="E5" s="9"/>
      <c r="F5" s="179"/>
      <c r="G5" s="181"/>
      <c r="H5" s="183"/>
      <c r="I5" s="186"/>
      <c r="J5" s="187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89"/>
      <c r="B6" s="19" t="s">
        <v>15</v>
      </c>
      <c r="C6" s="53">
        <v>872</v>
      </c>
      <c r="D6" s="16">
        <f t="shared" ref="D6:D28" si="1">C6*L6</f>
        <v>642664</v>
      </c>
      <c r="E6" s="9"/>
      <c r="F6" s="191" t="s">
        <v>16</v>
      </c>
      <c r="G6" s="193" t="s">
        <v>111</v>
      </c>
      <c r="H6" s="194"/>
      <c r="I6" s="194"/>
      <c r="J6" s="195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89"/>
      <c r="B7" s="19" t="s">
        <v>18</v>
      </c>
      <c r="C7" s="53">
        <v>24</v>
      </c>
      <c r="D7" s="16">
        <f t="shared" si="1"/>
        <v>17400</v>
      </c>
      <c r="E7" s="9"/>
      <c r="F7" s="192"/>
      <c r="G7" s="196"/>
      <c r="H7" s="197"/>
      <c r="I7" s="197"/>
      <c r="J7" s="198"/>
      <c r="K7" s="10"/>
      <c r="L7" s="6">
        <f>R41</f>
        <v>725</v>
      </c>
      <c r="P7" s="4"/>
      <c r="Q7" s="4"/>
      <c r="R7" s="5"/>
    </row>
    <row r="8" spans="1:19" ht="14.45" customHeight="1" x14ac:dyDescent="0.25">
      <c r="A8" s="189"/>
      <c r="B8" s="19" t="s">
        <v>20</v>
      </c>
      <c r="C8" s="53"/>
      <c r="D8" s="16">
        <f t="shared" si="1"/>
        <v>0</v>
      </c>
      <c r="E8" s="9"/>
      <c r="F8" s="199" t="s">
        <v>21</v>
      </c>
      <c r="G8" s="201" t="s">
        <v>122</v>
      </c>
      <c r="H8" s="202"/>
      <c r="I8" s="202"/>
      <c r="J8" s="203"/>
      <c r="K8" s="10"/>
      <c r="L8" s="6">
        <f>R40</f>
        <v>1033</v>
      </c>
      <c r="P8" s="4"/>
      <c r="Q8" s="4"/>
      <c r="R8" s="5"/>
    </row>
    <row r="9" spans="1:19" ht="14.45" customHeight="1" x14ac:dyDescent="0.25">
      <c r="A9" s="189"/>
      <c r="B9" s="19" t="s">
        <v>23</v>
      </c>
      <c r="C9" s="53">
        <v>148</v>
      </c>
      <c r="D9" s="16">
        <f t="shared" si="1"/>
        <v>104636</v>
      </c>
      <c r="E9" s="9"/>
      <c r="F9" s="192"/>
      <c r="G9" s="204"/>
      <c r="H9" s="205"/>
      <c r="I9" s="205"/>
      <c r="J9" s="206"/>
      <c r="K9" s="10"/>
      <c r="L9" s="6">
        <f>R38</f>
        <v>707</v>
      </c>
      <c r="P9" s="4"/>
      <c r="Q9" s="4"/>
      <c r="R9" s="5"/>
    </row>
    <row r="10" spans="1:19" ht="14.45" customHeight="1" x14ac:dyDescent="0.25">
      <c r="A10" s="189"/>
      <c r="B10" s="11" t="s">
        <v>25</v>
      </c>
      <c r="C10" s="53">
        <v>1</v>
      </c>
      <c r="D10" s="16">
        <f t="shared" si="1"/>
        <v>972</v>
      </c>
      <c r="E10" s="9"/>
      <c r="F10" s="191" t="s">
        <v>26</v>
      </c>
      <c r="G10" s="207" t="s">
        <v>123</v>
      </c>
      <c r="H10" s="208"/>
      <c r="I10" s="208"/>
      <c r="J10" s="209"/>
      <c r="K10" s="10"/>
      <c r="L10" s="6">
        <f>R36</f>
        <v>972</v>
      </c>
      <c r="P10" s="4"/>
      <c r="Q10" s="4"/>
      <c r="R10" s="5"/>
    </row>
    <row r="11" spans="1:19" ht="15.75" x14ac:dyDescent="0.25">
      <c r="A11" s="189"/>
      <c r="B11" s="20" t="s">
        <v>28</v>
      </c>
      <c r="C11" s="53"/>
      <c r="D11" s="16">
        <f t="shared" si="1"/>
        <v>0</v>
      </c>
      <c r="E11" s="9"/>
      <c r="F11" s="192"/>
      <c r="G11" s="204"/>
      <c r="H11" s="205"/>
      <c r="I11" s="205"/>
      <c r="J11" s="206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89"/>
      <c r="B12" s="20" t="s">
        <v>30</v>
      </c>
      <c r="C12" s="53">
        <v>2</v>
      </c>
      <c r="D12" s="52">
        <f t="shared" si="1"/>
        <v>1904</v>
      </c>
      <c r="E12" s="9"/>
      <c r="F12" s="210" t="s">
        <v>33</v>
      </c>
      <c r="G12" s="211"/>
      <c r="H12" s="211"/>
      <c r="I12" s="211"/>
      <c r="J12" s="212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89"/>
      <c r="B13" s="20" t="s">
        <v>32</v>
      </c>
      <c r="C13" s="53">
        <v>41</v>
      </c>
      <c r="D13" s="52">
        <f t="shared" si="1"/>
        <v>12587</v>
      </c>
      <c r="E13" s="9"/>
      <c r="F13" s="213" t="s">
        <v>36</v>
      </c>
      <c r="G13" s="214"/>
      <c r="H13" s="215">
        <f>D29</f>
        <v>794621</v>
      </c>
      <c r="I13" s="216"/>
      <c r="J13" s="217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89"/>
      <c r="B14" s="17" t="s">
        <v>35</v>
      </c>
      <c r="C14" s="53">
        <v>3</v>
      </c>
      <c r="D14" s="34">
        <f t="shared" si="1"/>
        <v>33</v>
      </c>
      <c r="E14" s="9"/>
      <c r="F14" s="218" t="s">
        <v>39</v>
      </c>
      <c r="G14" s="219"/>
      <c r="H14" s="220">
        <f>D54</f>
        <v>171040.5</v>
      </c>
      <c r="I14" s="221"/>
      <c r="J14" s="222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89"/>
      <c r="B15" s="17" t="s">
        <v>38</v>
      </c>
      <c r="C15" s="53">
        <f>1+1</f>
        <v>2</v>
      </c>
      <c r="D15" s="34">
        <f t="shared" si="1"/>
        <v>1240</v>
      </c>
      <c r="E15" s="9"/>
      <c r="F15" s="223" t="s">
        <v>40</v>
      </c>
      <c r="G15" s="214"/>
      <c r="H15" s="224">
        <f>H13-H14</f>
        <v>623580.5</v>
      </c>
      <c r="I15" s="225"/>
      <c r="J15" s="226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89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227"/>
      <c r="I16" s="227"/>
      <c r="J16" s="22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89"/>
      <c r="B17" s="11" t="s">
        <v>114</v>
      </c>
      <c r="C17" s="53"/>
      <c r="D17" s="52">
        <f t="shared" si="1"/>
        <v>0</v>
      </c>
      <c r="E17" s="9"/>
      <c r="F17" s="62"/>
      <c r="G17" s="74" t="s">
        <v>45</v>
      </c>
      <c r="H17" s="200"/>
      <c r="I17" s="200"/>
      <c r="J17" s="200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89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200"/>
      <c r="I18" s="200"/>
      <c r="J18" s="200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89"/>
      <c r="B19" s="17" t="s">
        <v>118</v>
      </c>
      <c r="C19" s="53"/>
      <c r="D19" s="52">
        <f t="shared" si="1"/>
        <v>0</v>
      </c>
      <c r="E19" s="9"/>
      <c r="F19" s="62"/>
      <c r="G19" s="76" t="s">
        <v>50</v>
      </c>
      <c r="H19" s="313"/>
      <c r="I19" s="313"/>
      <c r="J19" s="313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89"/>
      <c r="B20" s="50" t="s">
        <v>108</v>
      </c>
      <c r="C20" s="53"/>
      <c r="D20" s="16">
        <f t="shared" si="1"/>
        <v>0</v>
      </c>
      <c r="E20" s="9"/>
      <c r="F20" s="63"/>
      <c r="G20" s="78" t="s">
        <v>124</v>
      </c>
      <c r="H20" s="227"/>
      <c r="I20" s="227"/>
      <c r="J20" s="227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89"/>
      <c r="B21" s="17" t="s">
        <v>145</v>
      </c>
      <c r="C21" s="53">
        <f>5+2</f>
        <v>7</v>
      </c>
      <c r="D21" s="52">
        <f t="shared" si="1"/>
        <v>4550</v>
      </c>
      <c r="E21" s="9"/>
      <c r="F21" s="77" t="s">
        <v>99</v>
      </c>
      <c r="G21" s="92" t="s">
        <v>98</v>
      </c>
      <c r="H21" s="246" t="s">
        <v>13</v>
      </c>
      <c r="I21" s="247"/>
      <c r="J21" s="248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89"/>
      <c r="B22" s="50" t="s">
        <v>104</v>
      </c>
      <c r="C22" s="53"/>
      <c r="D22" s="52">
        <f t="shared" si="1"/>
        <v>0</v>
      </c>
      <c r="E22" s="9"/>
      <c r="F22" s="85"/>
      <c r="G22" s="81"/>
      <c r="H22" s="249"/>
      <c r="I22" s="249"/>
      <c r="J22" s="249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89"/>
      <c r="B23" s="17" t="s">
        <v>107</v>
      </c>
      <c r="C23" s="53"/>
      <c r="D23" s="52">
        <f t="shared" si="1"/>
        <v>0</v>
      </c>
      <c r="E23" s="9"/>
      <c r="F23" s="86"/>
      <c r="G23" s="87"/>
      <c r="H23" s="299"/>
      <c r="I23" s="255"/>
      <c r="J23" s="255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89"/>
      <c r="B24" s="17" t="s">
        <v>101</v>
      </c>
      <c r="C24" s="53"/>
      <c r="D24" s="52">
        <f t="shared" si="1"/>
        <v>0</v>
      </c>
      <c r="E24" s="9"/>
      <c r="F24" s="42"/>
      <c r="G24" s="41"/>
      <c r="H24" s="299"/>
      <c r="I24" s="255"/>
      <c r="J24" s="255"/>
      <c r="L24" s="51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89"/>
      <c r="B25" s="17" t="s">
        <v>117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52" t="s">
        <v>13</v>
      </c>
      <c r="I25" s="253"/>
      <c r="J25" s="254"/>
      <c r="L25" s="51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89"/>
      <c r="B26" s="17" t="s">
        <v>105</v>
      </c>
      <c r="C26" s="53"/>
      <c r="D26" s="52">
        <f t="shared" si="1"/>
        <v>0</v>
      </c>
      <c r="E26" s="9"/>
      <c r="F26" s="72"/>
      <c r="G26" s="65"/>
      <c r="H26" s="300"/>
      <c r="I26" s="301"/>
      <c r="J26" s="302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89"/>
      <c r="B27" s="17" t="s">
        <v>109</v>
      </c>
      <c r="C27" s="53"/>
      <c r="D27" s="48">
        <f t="shared" si="1"/>
        <v>0</v>
      </c>
      <c r="E27" s="9"/>
      <c r="F27" s="88"/>
      <c r="G27" s="89"/>
      <c r="H27" s="303"/>
      <c r="I27" s="304"/>
      <c r="J27" s="305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90"/>
      <c r="B28" s="50" t="s">
        <v>97</v>
      </c>
      <c r="C28" s="53">
        <v>11</v>
      </c>
      <c r="D28" s="52">
        <f t="shared" si="1"/>
        <v>8635</v>
      </c>
      <c r="E28" s="9"/>
      <c r="F28" s="60"/>
      <c r="G28" s="68"/>
      <c r="H28" s="258"/>
      <c r="I28" s="259"/>
      <c r="J28" s="260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28" t="s">
        <v>36</v>
      </c>
      <c r="B29" s="229"/>
      <c r="C29" s="230"/>
      <c r="D29" s="234">
        <f>SUM(D6:D28)</f>
        <v>794621</v>
      </c>
      <c r="E29" s="9"/>
      <c r="F29" s="236" t="s">
        <v>55</v>
      </c>
      <c r="G29" s="237"/>
      <c r="H29" s="240">
        <f>H15-H16-H17-H18-H19-H20-H22-H23-H24+H26+H27</f>
        <v>623580.5</v>
      </c>
      <c r="I29" s="241"/>
      <c r="J29" s="242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231"/>
      <c r="B30" s="232"/>
      <c r="C30" s="233"/>
      <c r="D30" s="235"/>
      <c r="E30" s="9"/>
      <c r="F30" s="238"/>
      <c r="G30" s="239"/>
      <c r="H30" s="243"/>
      <c r="I30" s="244"/>
      <c r="J30" s="245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5" t="s">
        <v>58</v>
      </c>
      <c r="B32" s="176"/>
      <c r="C32" s="176"/>
      <c r="D32" s="177"/>
      <c r="E32" s="11"/>
      <c r="F32" s="261" t="s">
        <v>59</v>
      </c>
      <c r="G32" s="262"/>
      <c r="H32" s="262"/>
      <c r="I32" s="262"/>
      <c r="J32" s="263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38" t="s">
        <v>63</v>
      </c>
      <c r="H33" s="261" t="s">
        <v>13</v>
      </c>
      <c r="I33" s="262"/>
      <c r="J33" s="263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88" t="s">
        <v>65</v>
      </c>
      <c r="B34" s="29" t="s">
        <v>66</v>
      </c>
      <c r="C34" s="56">
        <v>1</v>
      </c>
      <c r="D34" s="33">
        <f>C34*120</f>
        <v>120</v>
      </c>
      <c r="E34" s="9"/>
      <c r="F34" s="15">
        <v>1000</v>
      </c>
      <c r="G34" s="82">
        <v>38</v>
      </c>
      <c r="H34" s="264">
        <f>F34*G34</f>
        <v>38000</v>
      </c>
      <c r="I34" s="265"/>
      <c r="J34" s="266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89"/>
      <c r="B35" s="30" t="s">
        <v>68</v>
      </c>
      <c r="C35" s="57">
        <v>1</v>
      </c>
      <c r="D35" s="33">
        <f>C35*84</f>
        <v>84</v>
      </c>
      <c r="E35" s="9"/>
      <c r="F35" s="64">
        <v>500</v>
      </c>
      <c r="G35" s="45">
        <v>32</v>
      </c>
      <c r="H35" s="264">
        <f>F35*G35</f>
        <v>16000</v>
      </c>
      <c r="I35" s="265"/>
      <c r="J35" s="266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90"/>
      <c r="B36" s="29" t="s">
        <v>70</v>
      </c>
      <c r="C36" s="53">
        <v>20</v>
      </c>
      <c r="D36" s="15">
        <f>C36*1.5</f>
        <v>30</v>
      </c>
      <c r="E36" s="9"/>
      <c r="F36" s="15">
        <v>200</v>
      </c>
      <c r="G36" s="41">
        <v>3</v>
      </c>
      <c r="H36" s="264">
        <f t="shared" ref="H36:H39" si="2">F36*G36</f>
        <v>600</v>
      </c>
      <c r="I36" s="265"/>
      <c r="J36" s="266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88" t="s">
        <v>72</v>
      </c>
      <c r="B37" s="31" t="s">
        <v>66</v>
      </c>
      <c r="C37" s="58">
        <v>1475</v>
      </c>
      <c r="D37" s="15">
        <f>C37*111</f>
        <v>163725</v>
      </c>
      <c r="E37" s="9"/>
      <c r="F37" s="15">
        <v>100</v>
      </c>
      <c r="G37" s="43">
        <v>216</v>
      </c>
      <c r="H37" s="264">
        <f t="shared" si="2"/>
        <v>21600</v>
      </c>
      <c r="I37" s="265"/>
      <c r="J37" s="266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89"/>
      <c r="B38" s="32" t="s">
        <v>68</v>
      </c>
      <c r="C38" s="59">
        <v>11</v>
      </c>
      <c r="D38" s="15">
        <f>C38*84</f>
        <v>924</v>
      </c>
      <c r="E38" s="9"/>
      <c r="F38" s="33">
        <v>50</v>
      </c>
      <c r="G38" s="43">
        <v>137</v>
      </c>
      <c r="H38" s="264">
        <f t="shared" si="2"/>
        <v>6850</v>
      </c>
      <c r="I38" s="265"/>
      <c r="J38" s="266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90"/>
      <c r="B39" s="32" t="s">
        <v>70</v>
      </c>
      <c r="C39" s="57">
        <v>8</v>
      </c>
      <c r="D39" s="34">
        <f>C39*4.5</f>
        <v>36</v>
      </c>
      <c r="E39" s="9"/>
      <c r="F39" s="15">
        <v>20</v>
      </c>
      <c r="G39" s="41"/>
      <c r="H39" s="264">
        <f t="shared" si="2"/>
        <v>0</v>
      </c>
      <c r="I39" s="265"/>
      <c r="J39" s="266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88" t="s">
        <v>76</v>
      </c>
      <c r="B40" s="30" t="s">
        <v>66</v>
      </c>
      <c r="C40" s="70">
        <v>34</v>
      </c>
      <c r="D40" s="15">
        <f>C40*111</f>
        <v>3774</v>
      </c>
      <c r="E40" s="9"/>
      <c r="F40" s="15">
        <v>10</v>
      </c>
      <c r="G40" s="46"/>
      <c r="H40" s="264"/>
      <c r="I40" s="265"/>
      <c r="J40" s="266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89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264"/>
      <c r="I41" s="265"/>
      <c r="J41" s="266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90"/>
      <c r="B42" s="30" t="s">
        <v>70</v>
      </c>
      <c r="C42" s="71">
        <v>10</v>
      </c>
      <c r="D42" s="15">
        <f>C42*2.25</f>
        <v>22.5</v>
      </c>
      <c r="E42" s="9"/>
      <c r="F42" s="43" t="s">
        <v>79</v>
      </c>
      <c r="G42" s="264">
        <v>10</v>
      </c>
      <c r="H42" s="265"/>
      <c r="I42" s="265"/>
      <c r="J42" s="266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67" t="s">
        <v>81</v>
      </c>
      <c r="C43" s="71"/>
      <c r="D43" s="15"/>
      <c r="E43" s="9"/>
      <c r="F43" s="65" t="s">
        <v>82</v>
      </c>
      <c r="G43" s="136" t="s">
        <v>83</v>
      </c>
      <c r="H43" s="270" t="s">
        <v>13</v>
      </c>
      <c r="I43" s="271"/>
      <c r="J43" s="272"/>
      <c r="K43" s="24"/>
      <c r="P43" s="4"/>
      <c r="Q43" s="4"/>
      <c r="R43" s="5"/>
    </row>
    <row r="44" spans="1:18" ht="15.75" x14ac:dyDescent="0.25">
      <c r="A44" s="268"/>
      <c r="B44" s="30" t="s">
        <v>66</v>
      </c>
      <c r="C44" s="53">
        <v>2</v>
      </c>
      <c r="D44" s="15">
        <f>C44*120</f>
        <v>240</v>
      </c>
      <c r="E44" s="9"/>
      <c r="F44" s="41" t="s">
        <v>148</v>
      </c>
      <c r="G44" s="84" t="s">
        <v>179</v>
      </c>
      <c r="H44" s="255">
        <v>422489</v>
      </c>
      <c r="I44" s="255"/>
      <c r="J44" s="255"/>
      <c r="K44" s="24"/>
      <c r="P44" s="4"/>
      <c r="Q44" s="4"/>
      <c r="R44" s="5"/>
    </row>
    <row r="45" spans="1:18" ht="15.75" x14ac:dyDescent="0.25">
      <c r="A45" s="268"/>
      <c r="B45" s="30" t="s">
        <v>68</v>
      </c>
      <c r="C45" s="90">
        <v>5</v>
      </c>
      <c r="D45" s="15">
        <f>C45*84</f>
        <v>420</v>
      </c>
      <c r="E45" s="9"/>
      <c r="F45" s="41"/>
      <c r="G45" s="84"/>
      <c r="H45" s="255"/>
      <c r="I45" s="255"/>
      <c r="J45" s="255"/>
      <c r="K45" s="24"/>
      <c r="P45" s="4"/>
      <c r="Q45" s="4"/>
      <c r="R45" s="5"/>
    </row>
    <row r="46" spans="1:18" ht="15.75" x14ac:dyDescent="0.25">
      <c r="A46" s="268"/>
      <c r="B46" s="54" t="s">
        <v>70</v>
      </c>
      <c r="C46" s="91">
        <v>16</v>
      </c>
      <c r="D46" s="15">
        <f>C46*1.5</f>
        <v>24</v>
      </c>
      <c r="E46" s="9"/>
      <c r="F46" s="41"/>
      <c r="G46" s="69"/>
      <c r="H46" s="306"/>
      <c r="I46" s="306"/>
      <c r="J46" s="306"/>
      <c r="K46" s="24"/>
      <c r="P46" s="4"/>
      <c r="Q46" s="4"/>
      <c r="R46" s="5"/>
    </row>
    <row r="47" spans="1:18" ht="15.75" x14ac:dyDescent="0.25">
      <c r="A47" s="269"/>
      <c r="B47" s="30"/>
      <c r="C47" s="71"/>
      <c r="D47" s="15"/>
      <c r="E47" s="9"/>
      <c r="F47" s="65"/>
      <c r="G47" s="65"/>
      <c r="H47" s="273"/>
      <c r="I47" s="274"/>
      <c r="J47" s="275"/>
      <c r="K47" s="24"/>
      <c r="P47" s="4"/>
      <c r="Q47" s="4"/>
      <c r="R47" s="5"/>
    </row>
    <row r="48" spans="1:18" ht="15" customHeight="1" x14ac:dyDescent="0.25">
      <c r="A48" s="267" t="s">
        <v>32</v>
      </c>
      <c r="B48" s="30" t="s">
        <v>66</v>
      </c>
      <c r="C48" s="53">
        <v>15</v>
      </c>
      <c r="D48" s="15">
        <f>C48*78</f>
        <v>1170</v>
      </c>
      <c r="E48" s="9"/>
      <c r="F48" s="65"/>
      <c r="G48" s="65"/>
      <c r="H48" s="273"/>
      <c r="I48" s="274"/>
      <c r="J48" s="275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68"/>
      <c r="B49" s="32" t="s">
        <v>68</v>
      </c>
      <c r="C49" s="90">
        <v>11</v>
      </c>
      <c r="D49" s="15">
        <f>C49*42</f>
        <v>462</v>
      </c>
      <c r="E49" s="9"/>
      <c r="F49" s="288" t="s">
        <v>86</v>
      </c>
      <c r="G49" s="240">
        <f>H34+H35+H36+H37+H38+H39+H40+H41+G42+H44+H45+H46</f>
        <v>505549</v>
      </c>
      <c r="H49" s="241"/>
      <c r="I49" s="241"/>
      <c r="J49" s="242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68"/>
      <c r="B50" s="35" t="s">
        <v>70</v>
      </c>
      <c r="C50" s="71">
        <v>6</v>
      </c>
      <c r="D50" s="15">
        <f>C50*1.5</f>
        <v>9</v>
      </c>
      <c r="E50" s="9"/>
      <c r="F50" s="289"/>
      <c r="G50" s="243"/>
      <c r="H50" s="244"/>
      <c r="I50" s="244"/>
      <c r="J50" s="245"/>
      <c r="K50" s="9"/>
      <c r="P50" s="4"/>
      <c r="Q50" s="4"/>
      <c r="R50" s="5"/>
    </row>
    <row r="51" spans="1:18" ht="15" customHeight="1" x14ac:dyDescent="0.25">
      <c r="A51" s="268"/>
      <c r="B51" s="30"/>
      <c r="C51" s="53"/>
      <c r="D51" s="34"/>
      <c r="E51" s="9"/>
      <c r="F51" s="290" t="s">
        <v>135</v>
      </c>
      <c r="G51" s="314">
        <f>G49-H29</f>
        <v>-118031.5</v>
      </c>
      <c r="H51" s="315"/>
      <c r="I51" s="315"/>
      <c r="J51" s="316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68"/>
      <c r="B52" s="32"/>
      <c r="C52" s="36"/>
      <c r="D52" s="49"/>
      <c r="E52" s="9"/>
      <c r="F52" s="291"/>
      <c r="G52" s="317"/>
      <c r="H52" s="318"/>
      <c r="I52" s="318"/>
      <c r="J52" s="319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69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236" t="s">
        <v>90</v>
      </c>
      <c r="B54" s="276"/>
      <c r="C54" s="277"/>
      <c r="D54" s="280">
        <f>SUM(D34:D53)</f>
        <v>171040.5</v>
      </c>
      <c r="E54" s="9"/>
      <c r="F54" s="24"/>
      <c r="G54" s="9"/>
      <c r="H54" s="9"/>
      <c r="I54" s="9"/>
      <c r="J54" s="37"/>
    </row>
    <row r="55" spans="1:18" x14ac:dyDescent="0.25">
      <c r="A55" s="238"/>
      <c r="B55" s="278"/>
      <c r="C55" s="279"/>
      <c r="D55" s="281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119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282" t="s">
        <v>91</v>
      </c>
      <c r="B58" s="283"/>
      <c r="C58" s="283"/>
      <c r="D58" s="284"/>
      <c r="E58" s="9"/>
      <c r="F58" s="282" t="s">
        <v>92</v>
      </c>
      <c r="G58" s="283"/>
      <c r="H58" s="283"/>
      <c r="I58" s="283"/>
      <c r="J58" s="284"/>
    </row>
    <row r="59" spans="1:18" x14ac:dyDescent="0.25">
      <c r="A59" s="285"/>
      <c r="B59" s="286"/>
      <c r="C59" s="286"/>
      <c r="D59" s="287"/>
      <c r="E59" s="9"/>
      <c r="F59" s="285"/>
      <c r="G59" s="286"/>
      <c r="H59" s="286"/>
      <c r="I59" s="286"/>
      <c r="J59" s="287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DC0E2-015E-49CD-BA9C-0BF7E6439BE1}">
  <dimension ref="A1"/>
  <sheetViews>
    <sheetView workbookViewId="0">
      <selection activeCell="I4" sqref="I4:J5"/>
    </sheetView>
  </sheetViews>
  <sheetFormatPr defaultRowHeight="15" x14ac:dyDescent="0.25"/>
  <sheetData/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80445-CD51-4D7B-B415-ABCA00CE0122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174" t="s">
        <v>1</v>
      </c>
      <c r="O1" s="174"/>
      <c r="P1" s="132" t="s">
        <v>2</v>
      </c>
      <c r="Q1" s="132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75" t="s">
        <v>7</v>
      </c>
      <c r="B4" s="176"/>
      <c r="C4" s="176"/>
      <c r="D4" s="177"/>
      <c r="E4" s="9"/>
      <c r="F4" s="178" t="s">
        <v>8</v>
      </c>
      <c r="G4" s="180">
        <v>1</v>
      </c>
      <c r="H4" s="182" t="s">
        <v>9</v>
      </c>
      <c r="I4" s="184">
        <v>45792</v>
      </c>
      <c r="J4" s="185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88" t="s">
        <v>7</v>
      </c>
      <c r="B5" s="18" t="s">
        <v>11</v>
      </c>
      <c r="C5" s="12" t="s">
        <v>12</v>
      </c>
      <c r="D5" s="28" t="s">
        <v>13</v>
      </c>
      <c r="E5" s="9"/>
      <c r="F5" s="179"/>
      <c r="G5" s="181"/>
      <c r="H5" s="183"/>
      <c r="I5" s="186"/>
      <c r="J5" s="187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89"/>
      <c r="B6" s="19" t="s">
        <v>15</v>
      </c>
      <c r="C6" s="53">
        <v>350</v>
      </c>
      <c r="D6" s="16">
        <f t="shared" ref="D6:D28" si="1">C6*L6</f>
        <v>257950</v>
      </c>
      <c r="E6" s="9"/>
      <c r="F6" s="191" t="s">
        <v>16</v>
      </c>
      <c r="G6" s="193" t="s">
        <v>128</v>
      </c>
      <c r="H6" s="194"/>
      <c r="I6" s="194"/>
      <c r="J6" s="195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89"/>
      <c r="B7" s="19" t="s">
        <v>18</v>
      </c>
      <c r="C7" s="53">
        <v>1</v>
      </c>
      <c r="D7" s="16">
        <f t="shared" si="1"/>
        <v>725</v>
      </c>
      <c r="E7" s="9"/>
      <c r="F7" s="192"/>
      <c r="G7" s="196"/>
      <c r="H7" s="197"/>
      <c r="I7" s="197"/>
      <c r="J7" s="198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189"/>
      <c r="B8" s="19" t="s">
        <v>20</v>
      </c>
      <c r="C8" s="53"/>
      <c r="D8" s="16">
        <f t="shared" si="1"/>
        <v>0</v>
      </c>
      <c r="E8" s="9"/>
      <c r="F8" s="199" t="s">
        <v>21</v>
      </c>
      <c r="G8" s="201" t="s">
        <v>113</v>
      </c>
      <c r="H8" s="202"/>
      <c r="I8" s="202"/>
      <c r="J8" s="203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189"/>
      <c r="B9" s="19" t="s">
        <v>23</v>
      </c>
      <c r="C9" s="53">
        <v>5</v>
      </c>
      <c r="D9" s="16">
        <f t="shared" si="1"/>
        <v>3535</v>
      </c>
      <c r="E9" s="9"/>
      <c r="F9" s="192"/>
      <c r="G9" s="204"/>
      <c r="H9" s="205"/>
      <c r="I9" s="205"/>
      <c r="J9" s="206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189"/>
      <c r="B10" s="11" t="s">
        <v>25</v>
      </c>
      <c r="C10" s="53"/>
      <c r="D10" s="16">
        <f t="shared" si="1"/>
        <v>0</v>
      </c>
      <c r="E10" s="9"/>
      <c r="F10" s="191" t="s">
        <v>26</v>
      </c>
      <c r="G10" s="207" t="s">
        <v>132</v>
      </c>
      <c r="H10" s="208"/>
      <c r="I10" s="208"/>
      <c r="J10" s="209"/>
      <c r="K10" s="10"/>
      <c r="L10" s="6">
        <f>R36</f>
        <v>972</v>
      </c>
      <c r="P10" s="4"/>
      <c r="Q10" s="4"/>
      <c r="R10" s="5"/>
    </row>
    <row r="11" spans="1:18" ht="15.75" x14ac:dyDescent="0.25">
      <c r="A11" s="189"/>
      <c r="B11" s="20" t="s">
        <v>28</v>
      </c>
      <c r="C11" s="53"/>
      <c r="D11" s="16">
        <f t="shared" si="1"/>
        <v>0</v>
      </c>
      <c r="E11" s="9"/>
      <c r="F11" s="192"/>
      <c r="G11" s="204"/>
      <c r="H11" s="205"/>
      <c r="I11" s="205"/>
      <c r="J11" s="206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89"/>
      <c r="B12" s="20" t="s">
        <v>30</v>
      </c>
      <c r="C12" s="53">
        <v>1</v>
      </c>
      <c r="D12" s="52">
        <f t="shared" si="1"/>
        <v>952</v>
      </c>
      <c r="E12" s="9"/>
      <c r="F12" s="210" t="s">
        <v>33</v>
      </c>
      <c r="G12" s="211"/>
      <c r="H12" s="211"/>
      <c r="I12" s="211"/>
      <c r="J12" s="212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89"/>
      <c r="B13" s="20" t="s">
        <v>32</v>
      </c>
      <c r="C13" s="53">
        <v>14</v>
      </c>
      <c r="D13" s="52">
        <f t="shared" si="1"/>
        <v>4298</v>
      </c>
      <c r="E13" s="9"/>
      <c r="F13" s="213" t="s">
        <v>36</v>
      </c>
      <c r="G13" s="214"/>
      <c r="H13" s="215">
        <f>D29</f>
        <v>267460</v>
      </c>
      <c r="I13" s="216"/>
      <c r="J13" s="217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89"/>
      <c r="B14" s="17" t="s">
        <v>35</v>
      </c>
      <c r="C14" s="53"/>
      <c r="D14" s="34">
        <f t="shared" si="1"/>
        <v>0</v>
      </c>
      <c r="E14" s="9"/>
      <c r="F14" s="218" t="s">
        <v>39</v>
      </c>
      <c r="G14" s="219"/>
      <c r="H14" s="220">
        <f>D54</f>
        <v>42891</v>
      </c>
      <c r="I14" s="221"/>
      <c r="J14" s="222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89"/>
      <c r="B15" s="17" t="s">
        <v>38</v>
      </c>
      <c r="C15" s="53"/>
      <c r="D15" s="34">
        <f t="shared" si="1"/>
        <v>0</v>
      </c>
      <c r="E15" s="9"/>
      <c r="F15" s="223" t="s">
        <v>40</v>
      </c>
      <c r="G15" s="214"/>
      <c r="H15" s="224">
        <f>H13-H14</f>
        <v>224569</v>
      </c>
      <c r="I15" s="225"/>
      <c r="J15" s="226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89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227">
        <v>2853</v>
      </c>
      <c r="I16" s="227"/>
      <c r="J16" s="22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89"/>
      <c r="B17" s="11" t="s">
        <v>137</v>
      </c>
      <c r="C17" s="53"/>
      <c r="D17" s="52">
        <f t="shared" si="1"/>
        <v>0</v>
      </c>
      <c r="E17" s="9"/>
      <c r="F17" s="62"/>
      <c r="G17" s="74" t="s">
        <v>45</v>
      </c>
      <c r="H17" s="200"/>
      <c r="I17" s="200"/>
      <c r="J17" s="200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89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200"/>
      <c r="I18" s="200"/>
      <c r="J18" s="200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89"/>
      <c r="B19" s="17" t="s">
        <v>140</v>
      </c>
      <c r="C19" s="53"/>
      <c r="D19" s="52">
        <f t="shared" si="1"/>
        <v>0</v>
      </c>
      <c r="E19" s="9"/>
      <c r="F19" s="62"/>
      <c r="G19" s="76" t="s">
        <v>50</v>
      </c>
      <c r="H19" s="200"/>
      <c r="I19" s="200"/>
      <c r="J19" s="200"/>
      <c r="L19" s="6">
        <v>1102</v>
      </c>
      <c r="Q19" s="4"/>
      <c r="R19" s="5">
        <f t="shared" si="0"/>
        <v>0</v>
      </c>
    </row>
    <row r="20" spans="1:18" ht="15.75" x14ac:dyDescent="0.25">
      <c r="A20" s="189"/>
      <c r="B20" s="97" t="s">
        <v>139</v>
      </c>
      <c r="C20" s="53"/>
      <c r="D20" s="16">
        <f t="shared" si="1"/>
        <v>0</v>
      </c>
      <c r="E20" s="9"/>
      <c r="F20" s="63"/>
      <c r="G20" s="78" t="s">
        <v>124</v>
      </c>
      <c r="H20" s="227"/>
      <c r="I20" s="227"/>
      <c r="J20" s="227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89"/>
      <c r="B21" s="17" t="s">
        <v>138</v>
      </c>
      <c r="C21" s="53"/>
      <c r="D21" s="52">
        <f t="shared" si="1"/>
        <v>0</v>
      </c>
      <c r="E21" s="9"/>
      <c r="F21" s="77" t="s">
        <v>99</v>
      </c>
      <c r="G21" s="92" t="s">
        <v>98</v>
      </c>
      <c r="H21" s="246" t="s">
        <v>13</v>
      </c>
      <c r="I21" s="247"/>
      <c r="J21" s="248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89"/>
      <c r="B22" s="50" t="s">
        <v>110</v>
      </c>
      <c r="C22" s="53"/>
      <c r="D22" s="52">
        <f t="shared" si="1"/>
        <v>0</v>
      </c>
      <c r="E22" s="9"/>
      <c r="F22" s="85"/>
      <c r="G22" s="81"/>
      <c r="H22" s="249"/>
      <c r="I22" s="249"/>
      <c r="J22" s="249"/>
      <c r="L22" s="7">
        <v>1142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89"/>
      <c r="B23" s="17" t="s">
        <v>125</v>
      </c>
      <c r="C23" s="53"/>
      <c r="D23" s="52">
        <f t="shared" si="1"/>
        <v>0</v>
      </c>
      <c r="E23" s="9"/>
      <c r="F23" s="85"/>
      <c r="G23" s="87"/>
      <c r="H23" s="250"/>
      <c r="I23" s="251"/>
      <c r="J23" s="251"/>
      <c r="L23" s="51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89"/>
      <c r="B24" s="17" t="s">
        <v>126</v>
      </c>
      <c r="C24" s="53"/>
      <c r="D24" s="52">
        <f t="shared" si="1"/>
        <v>0</v>
      </c>
      <c r="E24" s="9"/>
      <c r="F24" s="85"/>
      <c r="G24" s="87"/>
      <c r="H24" s="250"/>
      <c r="I24" s="251"/>
      <c r="J24" s="251"/>
      <c r="L24" s="51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89"/>
      <c r="B25" s="17" t="s">
        <v>121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52" t="s">
        <v>13</v>
      </c>
      <c r="I25" s="253"/>
      <c r="J25" s="254"/>
      <c r="L25" s="51">
        <f>852/24+1.5</f>
        <v>37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89"/>
      <c r="B26" s="17" t="s">
        <v>112</v>
      </c>
      <c r="C26" s="53"/>
      <c r="D26" s="52">
        <f t="shared" si="1"/>
        <v>0</v>
      </c>
      <c r="E26" s="9"/>
      <c r="F26" s="83"/>
      <c r="G26" s="73"/>
      <c r="H26" s="255"/>
      <c r="I26" s="255"/>
      <c r="J26" s="255"/>
      <c r="L26" s="7">
        <f>500/24+1.5</f>
        <v>22.333333333333332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89"/>
      <c r="B27" s="17" t="s">
        <v>120</v>
      </c>
      <c r="C27" s="53"/>
      <c r="D27" s="48">
        <f t="shared" si="1"/>
        <v>0</v>
      </c>
      <c r="E27" s="9"/>
      <c r="F27" s="79"/>
      <c r="G27" s="135"/>
      <c r="H27" s="256"/>
      <c r="I27" s="257"/>
      <c r="J27" s="257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90"/>
      <c r="B28" s="50" t="s">
        <v>97</v>
      </c>
      <c r="C28" s="53"/>
      <c r="D28" s="52">
        <f t="shared" si="1"/>
        <v>0</v>
      </c>
      <c r="E28" s="9"/>
      <c r="F28" s="60"/>
      <c r="G28" s="68"/>
      <c r="H28" s="258"/>
      <c r="I28" s="259"/>
      <c r="J28" s="260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28" t="s">
        <v>36</v>
      </c>
      <c r="B29" s="229"/>
      <c r="C29" s="230"/>
      <c r="D29" s="234">
        <f>SUM(D6:D28)</f>
        <v>267460</v>
      </c>
      <c r="E29" s="9"/>
      <c r="F29" s="236" t="s">
        <v>55</v>
      </c>
      <c r="G29" s="237"/>
      <c r="H29" s="240">
        <f>H15-H16-H17-H18-H19-H20-H22-H23-H24+H26+H27+H28</f>
        <v>221716</v>
      </c>
      <c r="I29" s="241"/>
      <c r="J29" s="242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231"/>
      <c r="B30" s="232"/>
      <c r="C30" s="233"/>
      <c r="D30" s="235"/>
      <c r="E30" s="9"/>
      <c r="F30" s="238"/>
      <c r="G30" s="239"/>
      <c r="H30" s="243"/>
      <c r="I30" s="244"/>
      <c r="J30" s="245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5" t="s">
        <v>58</v>
      </c>
      <c r="B32" s="176"/>
      <c r="C32" s="176"/>
      <c r="D32" s="177"/>
      <c r="E32" s="11"/>
      <c r="F32" s="261" t="s">
        <v>59</v>
      </c>
      <c r="G32" s="262"/>
      <c r="H32" s="262"/>
      <c r="I32" s="262"/>
      <c r="J32" s="263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33" t="s">
        <v>63</v>
      </c>
      <c r="H33" s="261" t="s">
        <v>13</v>
      </c>
      <c r="I33" s="262"/>
      <c r="J33" s="263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88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44">
        <v>202</v>
      </c>
      <c r="H34" s="264">
        <f t="shared" ref="H34:H39" si="2">F34*G34</f>
        <v>202000</v>
      </c>
      <c r="I34" s="265"/>
      <c r="J34" s="266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89"/>
      <c r="B35" s="30" t="s">
        <v>68</v>
      </c>
      <c r="C35" s="57"/>
      <c r="D35" s="33">
        <f>C35*84</f>
        <v>0</v>
      </c>
      <c r="E35" s="9"/>
      <c r="F35" s="64">
        <v>500</v>
      </c>
      <c r="G35" s="45">
        <v>8</v>
      </c>
      <c r="H35" s="264">
        <f t="shared" si="2"/>
        <v>4000</v>
      </c>
      <c r="I35" s="265"/>
      <c r="J35" s="266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90"/>
      <c r="B36" s="29" t="s">
        <v>70</v>
      </c>
      <c r="C36" s="53"/>
      <c r="D36" s="15">
        <f>C36*1.5</f>
        <v>0</v>
      </c>
      <c r="E36" s="9"/>
      <c r="F36" s="15">
        <v>200</v>
      </c>
      <c r="G36" s="41"/>
      <c r="H36" s="264">
        <f t="shared" si="2"/>
        <v>0</v>
      </c>
      <c r="I36" s="265"/>
      <c r="J36" s="266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88" t="s">
        <v>72</v>
      </c>
      <c r="B37" s="31" t="s">
        <v>66</v>
      </c>
      <c r="C37" s="58">
        <v>374</v>
      </c>
      <c r="D37" s="15">
        <f>C37*111</f>
        <v>41514</v>
      </c>
      <c r="E37" s="9"/>
      <c r="F37" s="15">
        <v>100</v>
      </c>
      <c r="G37" s="43"/>
      <c r="H37" s="264">
        <f t="shared" si="2"/>
        <v>0</v>
      </c>
      <c r="I37" s="265"/>
      <c r="J37" s="266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89"/>
      <c r="B38" s="32" t="s">
        <v>68</v>
      </c>
      <c r="C38" s="59"/>
      <c r="D38" s="15">
        <f>C38*84</f>
        <v>0</v>
      </c>
      <c r="E38" s="9"/>
      <c r="F38" s="33">
        <v>50</v>
      </c>
      <c r="G38" s="43"/>
      <c r="H38" s="264">
        <f t="shared" si="2"/>
        <v>0</v>
      </c>
      <c r="I38" s="265"/>
      <c r="J38" s="266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90"/>
      <c r="B39" s="32" t="s">
        <v>70</v>
      </c>
      <c r="C39" s="57"/>
      <c r="D39" s="34">
        <f>C39*4.5</f>
        <v>0</v>
      </c>
      <c r="E39" s="9"/>
      <c r="F39" s="15">
        <v>20</v>
      </c>
      <c r="G39" s="41"/>
      <c r="H39" s="264">
        <f t="shared" si="2"/>
        <v>0</v>
      </c>
      <c r="I39" s="265"/>
      <c r="J39" s="266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88" t="s">
        <v>76</v>
      </c>
      <c r="B40" s="30" t="s">
        <v>66</v>
      </c>
      <c r="C40" s="70">
        <v>1</v>
      </c>
      <c r="D40" s="15">
        <f>C40*111</f>
        <v>111</v>
      </c>
      <c r="E40" s="9"/>
      <c r="F40" s="15">
        <v>10</v>
      </c>
      <c r="G40" s="46"/>
      <c r="H40" s="264"/>
      <c r="I40" s="265"/>
      <c r="J40" s="266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89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264"/>
      <c r="I41" s="265"/>
      <c r="J41" s="266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90"/>
      <c r="B42" s="30" t="s">
        <v>70</v>
      </c>
      <c r="C42" s="71"/>
      <c r="D42" s="15">
        <f>C42*2.25</f>
        <v>0</v>
      </c>
      <c r="E42" s="9"/>
      <c r="F42" s="43" t="s">
        <v>79</v>
      </c>
      <c r="G42" s="264">
        <v>4</v>
      </c>
      <c r="H42" s="265"/>
      <c r="I42" s="265"/>
      <c r="J42" s="266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67" t="s">
        <v>81</v>
      </c>
      <c r="C43" s="71"/>
      <c r="D43" s="15"/>
      <c r="E43" s="9"/>
      <c r="F43" s="65" t="s">
        <v>82</v>
      </c>
      <c r="G43" s="135" t="s">
        <v>83</v>
      </c>
      <c r="H43" s="270" t="s">
        <v>13</v>
      </c>
      <c r="I43" s="271"/>
      <c r="J43" s="272"/>
      <c r="K43" s="24"/>
      <c r="O43" t="s">
        <v>103</v>
      </c>
      <c r="P43" s="4">
        <v>1667</v>
      </c>
      <c r="Q43" s="4"/>
      <c r="R43" s="5"/>
    </row>
    <row r="44" spans="1:18" ht="15.75" x14ac:dyDescent="0.25">
      <c r="A44" s="268"/>
      <c r="B44" s="30" t="s">
        <v>66</v>
      </c>
      <c r="C44" s="53"/>
      <c r="D44" s="15">
        <f>C44*120</f>
        <v>0</v>
      </c>
      <c r="E44" s="9"/>
      <c r="F44" s="41"/>
      <c r="G44" s="69"/>
      <c r="H44" s="255"/>
      <c r="I44" s="255"/>
      <c r="J44" s="255"/>
      <c r="K44" s="24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268"/>
      <c r="B45" s="30" t="s">
        <v>68</v>
      </c>
      <c r="C45" s="90">
        <v>1</v>
      </c>
      <c r="D45" s="15">
        <f>C45*84</f>
        <v>84</v>
      </c>
      <c r="E45" s="9"/>
      <c r="F45" s="41"/>
      <c r="G45" s="69"/>
      <c r="H45" s="255"/>
      <c r="I45" s="255"/>
      <c r="J45" s="255"/>
      <c r="K45" s="24"/>
      <c r="P45" s="4"/>
      <c r="Q45" s="4"/>
      <c r="R45" s="5"/>
    </row>
    <row r="46" spans="1:18" ht="15.75" x14ac:dyDescent="0.25">
      <c r="A46" s="268"/>
      <c r="B46" s="54" t="s">
        <v>70</v>
      </c>
      <c r="C46" s="91">
        <v>10</v>
      </c>
      <c r="D46" s="15">
        <f>C46*1.5</f>
        <v>15</v>
      </c>
      <c r="E46" s="9"/>
      <c r="F46" s="41"/>
      <c r="G46" s="69"/>
      <c r="H46" s="255"/>
      <c r="I46" s="255"/>
      <c r="J46" s="255"/>
      <c r="K46" s="24"/>
      <c r="P46" s="4"/>
      <c r="Q46" s="4"/>
      <c r="R46" s="5"/>
    </row>
    <row r="47" spans="1:18" ht="15.75" x14ac:dyDescent="0.25">
      <c r="A47" s="269"/>
      <c r="B47" s="30"/>
      <c r="C47" s="71"/>
      <c r="D47" s="15"/>
      <c r="E47" s="9"/>
      <c r="F47" s="65"/>
      <c r="G47" s="65"/>
      <c r="H47" s="273"/>
      <c r="I47" s="274"/>
      <c r="J47" s="275"/>
      <c r="K47" s="24"/>
      <c r="P47" s="4"/>
      <c r="Q47" s="4"/>
      <c r="R47" s="5"/>
    </row>
    <row r="48" spans="1:18" ht="15" customHeight="1" x14ac:dyDescent="0.25">
      <c r="A48" s="267" t="s">
        <v>32</v>
      </c>
      <c r="B48" s="30" t="s">
        <v>66</v>
      </c>
      <c r="C48" s="53">
        <v>1</v>
      </c>
      <c r="D48" s="15">
        <f>C48*78</f>
        <v>78</v>
      </c>
      <c r="E48" s="9"/>
      <c r="F48" s="65"/>
      <c r="G48" s="65"/>
      <c r="H48" s="273"/>
      <c r="I48" s="274"/>
      <c r="J48" s="275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68"/>
      <c r="B49" s="32" t="s">
        <v>68</v>
      </c>
      <c r="C49" s="90">
        <v>25</v>
      </c>
      <c r="D49" s="15">
        <f>C49*42</f>
        <v>1050</v>
      </c>
      <c r="E49" s="9"/>
      <c r="F49" s="288" t="s">
        <v>86</v>
      </c>
      <c r="G49" s="240">
        <f>H34+H35+H36+H37+H38+H39+H40+H41+G42+H44+H45+H46</f>
        <v>206004</v>
      </c>
      <c r="H49" s="241"/>
      <c r="I49" s="241"/>
      <c r="J49" s="242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68"/>
      <c r="B50" s="35" t="s">
        <v>70</v>
      </c>
      <c r="C50" s="71">
        <v>26</v>
      </c>
      <c r="D50" s="15">
        <f>C50*1.5</f>
        <v>39</v>
      </c>
      <c r="E50" s="9"/>
      <c r="F50" s="289"/>
      <c r="G50" s="243"/>
      <c r="H50" s="244"/>
      <c r="I50" s="244"/>
      <c r="J50" s="245"/>
      <c r="K50" s="9"/>
      <c r="P50" s="4"/>
      <c r="Q50" s="4"/>
      <c r="R50" s="5"/>
    </row>
    <row r="51" spans="1:18" ht="15" customHeight="1" x14ac:dyDescent="0.25">
      <c r="A51" s="268"/>
      <c r="B51" s="30"/>
      <c r="C51" s="13"/>
      <c r="D51" s="34"/>
      <c r="E51" s="9"/>
      <c r="F51" s="290" t="s">
        <v>135</v>
      </c>
      <c r="G51" s="292">
        <f>G49-H29</f>
        <v>-15712</v>
      </c>
      <c r="H51" s="293"/>
      <c r="I51" s="293"/>
      <c r="J51" s="294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68"/>
      <c r="B52" s="32"/>
      <c r="C52" s="36"/>
      <c r="D52" s="49"/>
      <c r="E52" s="9"/>
      <c r="F52" s="291"/>
      <c r="G52" s="295"/>
      <c r="H52" s="296"/>
      <c r="I52" s="296"/>
      <c r="J52" s="297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69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236" t="s">
        <v>90</v>
      </c>
      <c r="B54" s="276"/>
      <c r="C54" s="277"/>
      <c r="D54" s="280">
        <f>SUM(D34:D53)</f>
        <v>42891</v>
      </c>
      <c r="E54" s="9"/>
      <c r="F54" s="24"/>
      <c r="G54" s="9"/>
      <c r="H54" s="9"/>
      <c r="I54" s="9"/>
      <c r="J54" s="37"/>
      <c r="O54" t="s">
        <v>102</v>
      </c>
      <c r="P54" s="4">
        <v>1582</v>
      </c>
      <c r="R54" s="3">
        <v>1582</v>
      </c>
    </row>
    <row r="55" spans="1:18" x14ac:dyDescent="0.25">
      <c r="A55" s="238"/>
      <c r="B55" s="278"/>
      <c r="C55" s="279"/>
      <c r="D55" s="281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129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282" t="s">
        <v>91</v>
      </c>
      <c r="B58" s="283"/>
      <c r="C58" s="283"/>
      <c r="D58" s="284"/>
      <c r="E58" s="9"/>
      <c r="F58" s="282" t="s">
        <v>92</v>
      </c>
      <c r="G58" s="283"/>
      <c r="H58" s="283"/>
      <c r="I58" s="283"/>
      <c r="J58" s="284"/>
    </row>
    <row r="59" spans="1:18" x14ac:dyDescent="0.25">
      <c r="A59" s="285"/>
      <c r="B59" s="286"/>
      <c r="C59" s="286"/>
      <c r="D59" s="287"/>
      <c r="E59" s="9"/>
      <c r="F59" s="285"/>
      <c r="G59" s="286"/>
      <c r="H59" s="286"/>
      <c r="I59" s="286"/>
      <c r="J59" s="287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DF318-C70C-42C1-8803-9D5163A71005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174" t="s">
        <v>1</v>
      </c>
      <c r="O1" s="174"/>
      <c r="P1" s="132" t="s">
        <v>2</v>
      </c>
      <c r="Q1" s="132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75" t="s">
        <v>7</v>
      </c>
      <c r="B4" s="176"/>
      <c r="C4" s="176"/>
      <c r="D4" s="177"/>
      <c r="E4" s="9"/>
      <c r="F4" s="178" t="s">
        <v>8</v>
      </c>
      <c r="G4" s="180">
        <v>2</v>
      </c>
      <c r="H4" s="182" t="s">
        <v>9</v>
      </c>
      <c r="I4" s="184">
        <v>45792</v>
      </c>
      <c r="J4" s="185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88" t="s">
        <v>7</v>
      </c>
      <c r="B5" s="18" t="s">
        <v>11</v>
      </c>
      <c r="C5" s="12" t="s">
        <v>12</v>
      </c>
      <c r="D5" s="28" t="s">
        <v>13</v>
      </c>
      <c r="E5" s="9"/>
      <c r="F5" s="179"/>
      <c r="G5" s="181"/>
      <c r="H5" s="183"/>
      <c r="I5" s="186"/>
      <c r="J5" s="187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89"/>
      <c r="B6" s="19" t="s">
        <v>15</v>
      </c>
      <c r="C6" s="53">
        <v>677</v>
      </c>
      <c r="D6" s="16">
        <f t="shared" ref="D6:D28" si="1">C6*L6</f>
        <v>498949</v>
      </c>
      <c r="E6" s="9"/>
      <c r="F6" s="191" t="s">
        <v>16</v>
      </c>
      <c r="G6" s="193" t="s">
        <v>127</v>
      </c>
      <c r="H6" s="194"/>
      <c r="I6" s="194"/>
      <c r="J6" s="195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89"/>
      <c r="B7" s="19" t="s">
        <v>18</v>
      </c>
      <c r="C7" s="53">
        <v>2</v>
      </c>
      <c r="D7" s="16">
        <f t="shared" si="1"/>
        <v>1450</v>
      </c>
      <c r="E7" s="9"/>
      <c r="F7" s="192"/>
      <c r="G7" s="196"/>
      <c r="H7" s="197"/>
      <c r="I7" s="197"/>
      <c r="J7" s="198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189"/>
      <c r="B8" s="19" t="s">
        <v>20</v>
      </c>
      <c r="C8" s="53"/>
      <c r="D8" s="16">
        <f t="shared" si="1"/>
        <v>0</v>
      </c>
      <c r="E8" s="9"/>
      <c r="F8" s="199" t="s">
        <v>21</v>
      </c>
      <c r="G8" s="201" t="s">
        <v>115</v>
      </c>
      <c r="H8" s="202"/>
      <c r="I8" s="202"/>
      <c r="J8" s="203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189"/>
      <c r="B9" s="19" t="s">
        <v>23</v>
      </c>
      <c r="C9" s="53">
        <v>114</v>
      </c>
      <c r="D9" s="16">
        <f t="shared" si="1"/>
        <v>80598</v>
      </c>
      <c r="E9" s="9"/>
      <c r="F9" s="192"/>
      <c r="G9" s="204"/>
      <c r="H9" s="205"/>
      <c r="I9" s="205"/>
      <c r="J9" s="206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189"/>
      <c r="B10" s="11" t="s">
        <v>25</v>
      </c>
      <c r="C10" s="53"/>
      <c r="D10" s="16">
        <f t="shared" si="1"/>
        <v>0</v>
      </c>
      <c r="E10" s="9"/>
      <c r="F10" s="191" t="s">
        <v>26</v>
      </c>
      <c r="G10" s="207" t="s">
        <v>116</v>
      </c>
      <c r="H10" s="208"/>
      <c r="I10" s="208"/>
      <c r="J10" s="209"/>
      <c r="K10" s="10"/>
      <c r="L10" s="6">
        <f>R36</f>
        <v>972</v>
      </c>
      <c r="P10" s="4"/>
      <c r="Q10" s="4"/>
      <c r="R10" s="5"/>
    </row>
    <row r="11" spans="1:18" ht="15.75" x14ac:dyDescent="0.25">
      <c r="A11" s="189"/>
      <c r="B11" s="20" t="s">
        <v>28</v>
      </c>
      <c r="C11" s="53"/>
      <c r="D11" s="16">
        <f t="shared" si="1"/>
        <v>0</v>
      </c>
      <c r="E11" s="9"/>
      <c r="F11" s="192"/>
      <c r="G11" s="204"/>
      <c r="H11" s="205"/>
      <c r="I11" s="205"/>
      <c r="J11" s="206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89"/>
      <c r="B12" s="20" t="s">
        <v>30</v>
      </c>
      <c r="C12" s="53"/>
      <c r="D12" s="52">
        <f t="shared" si="1"/>
        <v>0</v>
      </c>
      <c r="E12" s="9"/>
      <c r="F12" s="210" t="s">
        <v>33</v>
      </c>
      <c r="G12" s="211"/>
      <c r="H12" s="211"/>
      <c r="I12" s="211"/>
      <c r="J12" s="212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89"/>
      <c r="B13" s="20" t="s">
        <v>32</v>
      </c>
      <c r="C13" s="53">
        <v>32</v>
      </c>
      <c r="D13" s="52">
        <f t="shared" si="1"/>
        <v>9824</v>
      </c>
      <c r="E13" s="9"/>
      <c r="F13" s="213" t="s">
        <v>36</v>
      </c>
      <c r="G13" s="214"/>
      <c r="H13" s="215">
        <f>D29</f>
        <v>594619</v>
      </c>
      <c r="I13" s="216"/>
      <c r="J13" s="217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89"/>
      <c r="B14" s="17" t="s">
        <v>35</v>
      </c>
      <c r="C14" s="53">
        <v>13</v>
      </c>
      <c r="D14" s="34">
        <f t="shared" si="1"/>
        <v>143</v>
      </c>
      <c r="E14" s="9"/>
      <c r="F14" s="218" t="s">
        <v>39</v>
      </c>
      <c r="G14" s="219"/>
      <c r="H14" s="220">
        <f>D54</f>
        <v>92300.25</v>
      </c>
      <c r="I14" s="221"/>
      <c r="J14" s="222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89"/>
      <c r="B15" s="17" t="s">
        <v>38</v>
      </c>
      <c r="C15" s="53"/>
      <c r="D15" s="34">
        <f t="shared" si="1"/>
        <v>0</v>
      </c>
      <c r="E15" s="9"/>
      <c r="F15" s="223" t="s">
        <v>40</v>
      </c>
      <c r="G15" s="214"/>
      <c r="H15" s="224">
        <f>H13-H14</f>
        <v>502318.75</v>
      </c>
      <c r="I15" s="225"/>
      <c r="J15" s="226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89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227">
        <f>3240+3528</f>
        <v>6768</v>
      </c>
      <c r="I16" s="227"/>
      <c r="J16" s="22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89"/>
      <c r="B17" s="11" t="s">
        <v>93</v>
      </c>
      <c r="C17" s="53"/>
      <c r="D17" s="52">
        <f t="shared" si="1"/>
        <v>0</v>
      </c>
      <c r="E17" s="9"/>
      <c r="F17" s="62"/>
      <c r="G17" s="74" t="s">
        <v>45</v>
      </c>
      <c r="H17" s="200"/>
      <c r="I17" s="200"/>
      <c r="J17" s="200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89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200"/>
      <c r="I18" s="200"/>
      <c r="J18" s="200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89"/>
      <c r="B19" s="17" t="s">
        <v>96</v>
      </c>
      <c r="C19" s="53"/>
      <c r="D19" s="52">
        <f t="shared" si="1"/>
        <v>0</v>
      </c>
      <c r="E19" s="9"/>
      <c r="F19" s="62"/>
      <c r="G19" s="76" t="s">
        <v>50</v>
      </c>
      <c r="H19" s="298"/>
      <c r="I19" s="298"/>
      <c r="J19" s="298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89"/>
      <c r="B20" s="50" t="s">
        <v>131</v>
      </c>
      <c r="C20" s="53"/>
      <c r="D20" s="16">
        <f t="shared" si="1"/>
        <v>0</v>
      </c>
      <c r="E20" s="9"/>
      <c r="F20" s="63"/>
      <c r="G20" s="78" t="s">
        <v>124</v>
      </c>
      <c r="H20" s="227">
        <v>1252</v>
      </c>
      <c r="I20" s="227"/>
      <c r="J20" s="227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89"/>
      <c r="B21" s="17" t="s">
        <v>130</v>
      </c>
      <c r="C21" s="53">
        <v>2</v>
      </c>
      <c r="D21" s="52">
        <f t="shared" si="1"/>
        <v>1300</v>
      </c>
      <c r="E21" s="9"/>
      <c r="F21" s="77" t="s">
        <v>99</v>
      </c>
      <c r="G21" s="92" t="s">
        <v>98</v>
      </c>
      <c r="H21" s="246" t="s">
        <v>13</v>
      </c>
      <c r="I21" s="247"/>
      <c r="J21" s="248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89"/>
      <c r="B22" s="50" t="s">
        <v>104</v>
      </c>
      <c r="C22" s="53"/>
      <c r="D22" s="52">
        <f t="shared" si="1"/>
        <v>0</v>
      </c>
      <c r="E22" s="9"/>
      <c r="F22" s="80"/>
      <c r="G22" s="81"/>
      <c r="H22" s="249"/>
      <c r="I22" s="249"/>
      <c r="J22" s="249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89"/>
      <c r="B23" s="17" t="s">
        <v>107</v>
      </c>
      <c r="C23" s="53"/>
      <c r="D23" s="52">
        <f t="shared" si="1"/>
        <v>0</v>
      </c>
      <c r="E23" s="9"/>
      <c r="F23" s="28"/>
      <c r="G23" s="41"/>
      <c r="H23" s="299"/>
      <c r="I23" s="255"/>
      <c r="J23" s="255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89"/>
      <c r="B24" s="17" t="s">
        <v>133</v>
      </c>
      <c r="C24" s="53"/>
      <c r="D24" s="52">
        <f t="shared" si="1"/>
        <v>0</v>
      </c>
      <c r="E24" s="9"/>
      <c r="F24" s="42"/>
      <c r="G24" s="41"/>
      <c r="H24" s="299"/>
      <c r="I24" s="255"/>
      <c r="J24" s="255"/>
      <c r="L24" s="51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89"/>
      <c r="B25" s="17" t="s">
        <v>134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52" t="s">
        <v>13</v>
      </c>
      <c r="I25" s="253"/>
      <c r="J25" s="254"/>
      <c r="L25" s="51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89"/>
      <c r="B26" s="17" t="s">
        <v>105</v>
      </c>
      <c r="C26" s="53"/>
      <c r="D26" s="52">
        <f t="shared" si="1"/>
        <v>0</v>
      </c>
      <c r="E26" s="9"/>
      <c r="F26" s="72"/>
      <c r="G26" s="13"/>
      <c r="H26" s="300"/>
      <c r="I26" s="301"/>
      <c r="J26" s="302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89"/>
      <c r="B27" s="17" t="s">
        <v>109</v>
      </c>
      <c r="C27" s="53"/>
      <c r="D27" s="48">
        <f t="shared" si="1"/>
        <v>0</v>
      </c>
      <c r="E27" s="9"/>
      <c r="F27" s="67"/>
      <c r="G27" s="67"/>
      <c r="H27" s="303"/>
      <c r="I27" s="304"/>
      <c r="J27" s="305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90"/>
      <c r="B28" s="50" t="s">
        <v>97</v>
      </c>
      <c r="C28" s="53">
        <v>3</v>
      </c>
      <c r="D28" s="52">
        <f t="shared" si="1"/>
        <v>2355</v>
      </c>
      <c r="E28" s="9"/>
      <c r="F28" s="60"/>
      <c r="G28" s="68"/>
      <c r="H28" s="258"/>
      <c r="I28" s="259"/>
      <c r="J28" s="260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28" t="s">
        <v>36</v>
      </c>
      <c r="B29" s="229"/>
      <c r="C29" s="230"/>
      <c r="D29" s="234">
        <f>SUM(D6:D28)</f>
        <v>594619</v>
      </c>
      <c r="E29" s="9"/>
      <c r="F29" s="236" t="s">
        <v>55</v>
      </c>
      <c r="G29" s="237"/>
      <c r="H29" s="240">
        <f>H15-H16-H17-H18-H19-H20-H22-H23-H24+H26+H27</f>
        <v>494298.75</v>
      </c>
      <c r="I29" s="241"/>
      <c r="J29" s="242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231"/>
      <c r="B30" s="232"/>
      <c r="C30" s="233"/>
      <c r="D30" s="235"/>
      <c r="E30" s="9"/>
      <c r="F30" s="238"/>
      <c r="G30" s="239"/>
      <c r="H30" s="243"/>
      <c r="I30" s="244"/>
      <c r="J30" s="245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5" t="s">
        <v>58</v>
      </c>
      <c r="B32" s="176"/>
      <c r="C32" s="176"/>
      <c r="D32" s="177"/>
      <c r="E32" s="11"/>
      <c r="F32" s="261" t="s">
        <v>59</v>
      </c>
      <c r="G32" s="262"/>
      <c r="H32" s="262"/>
      <c r="I32" s="262"/>
      <c r="J32" s="263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33" t="s">
        <v>63</v>
      </c>
      <c r="H33" s="261" t="s">
        <v>13</v>
      </c>
      <c r="I33" s="262"/>
      <c r="J33" s="263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88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82">
        <v>35</v>
      </c>
      <c r="H34" s="264">
        <f>F34*G34</f>
        <v>35000</v>
      </c>
      <c r="I34" s="265"/>
      <c r="J34" s="266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89"/>
      <c r="B35" s="30" t="s">
        <v>68</v>
      </c>
      <c r="C35" s="57">
        <v>2</v>
      </c>
      <c r="D35" s="33">
        <f>C35*84</f>
        <v>168</v>
      </c>
      <c r="E35" s="9"/>
      <c r="F35" s="64">
        <v>500</v>
      </c>
      <c r="G35" s="45">
        <v>43</v>
      </c>
      <c r="H35" s="264">
        <f t="shared" ref="H35:H39" si="2">F35*G35</f>
        <v>21500</v>
      </c>
      <c r="I35" s="265"/>
      <c r="J35" s="266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90"/>
      <c r="B36" s="29" t="s">
        <v>70</v>
      </c>
      <c r="C36" s="53">
        <v>33</v>
      </c>
      <c r="D36" s="15">
        <f>C36*1.5</f>
        <v>49.5</v>
      </c>
      <c r="E36" s="9"/>
      <c r="F36" s="15">
        <v>200</v>
      </c>
      <c r="G36" s="41"/>
      <c r="H36" s="264">
        <f t="shared" si="2"/>
        <v>0</v>
      </c>
      <c r="I36" s="265"/>
      <c r="J36" s="266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88" t="s">
        <v>72</v>
      </c>
      <c r="B37" s="31" t="s">
        <v>66</v>
      </c>
      <c r="C37" s="58">
        <v>794</v>
      </c>
      <c r="D37" s="15">
        <f>C37*111</f>
        <v>88134</v>
      </c>
      <c r="E37" s="9"/>
      <c r="F37" s="15">
        <v>100</v>
      </c>
      <c r="G37" s="43">
        <v>2090</v>
      </c>
      <c r="H37" s="264">
        <f t="shared" si="2"/>
        <v>209000</v>
      </c>
      <c r="I37" s="265"/>
      <c r="J37" s="266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89"/>
      <c r="B38" s="32" t="s">
        <v>68</v>
      </c>
      <c r="C38" s="59">
        <v>18</v>
      </c>
      <c r="D38" s="15">
        <f>C38*84</f>
        <v>1512</v>
      </c>
      <c r="E38" s="9"/>
      <c r="F38" s="33">
        <v>50</v>
      </c>
      <c r="G38" s="43"/>
      <c r="H38" s="264">
        <f t="shared" si="2"/>
        <v>0</v>
      </c>
      <c r="I38" s="265"/>
      <c r="J38" s="266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90"/>
      <c r="B39" s="32" t="s">
        <v>70</v>
      </c>
      <c r="C39" s="57">
        <v>5</v>
      </c>
      <c r="D39" s="34">
        <f>C39*4.5</f>
        <v>22.5</v>
      </c>
      <c r="E39" s="9"/>
      <c r="F39" s="15">
        <v>20</v>
      </c>
      <c r="G39" s="41"/>
      <c r="H39" s="264">
        <f t="shared" si="2"/>
        <v>0</v>
      </c>
      <c r="I39" s="265"/>
      <c r="J39" s="266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88" t="s">
        <v>76</v>
      </c>
      <c r="B40" s="30" t="s">
        <v>66</v>
      </c>
      <c r="C40" s="70">
        <v>2</v>
      </c>
      <c r="D40" s="15">
        <f>C40*111</f>
        <v>222</v>
      </c>
      <c r="E40" s="9"/>
      <c r="F40" s="15">
        <v>10</v>
      </c>
      <c r="G40" s="46"/>
      <c r="H40" s="264"/>
      <c r="I40" s="265"/>
      <c r="J40" s="266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89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264"/>
      <c r="I41" s="265"/>
      <c r="J41" s="266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90"/>
      <c r="B42" s="30" t="s">
        <v>70</v>
      </c>
      <c r="C42" s="71">
        <v>1</v>
      </c>
      <c r="D42" s="15">
        <f>C42*2.25</f>
        <v>2.25</v>
      </c>
      <c r="E42" s="9"/>
      <c r="F42" s="43" t="s">
        <v>79</v>
      </c>
      <c r="G42" s="264">
        <v>87</v>
      </c>
      <c r="H42" s="265"/>
      <c r="I42" s="265"/>
      <c r="J42" s="266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67" t="s">
        <v>81</v>
      </c>
      <c r="C43" s="71"/>
      <c r="D43" s="15"/>
      <c r="E43" s="9"/>
      <c r="F43" s="65" t="s">
        <v>82</v>
      </c>
      <c r="G43" s="135" t="s">
        <v>83</v>
      </c>
      <c r="H43" s="270" t="s">
        <v>13</v>
      </c>
      <c r="I43" s="271"/>
      <c r="J43" s="272"/>
      <c r="K43" s="24"/>
      <c r="P43" s="4"/>
      <c r="Q43" s="4"/>
      <c r="R43" s="5"/>
    </row>
    <row r="44" spans="1:18" ht="15.75" x14ac:dyDescent="0.25">
      <c r="A44" s="268"/>
      <c r="B44" s="30" t="s">
        <v>66</v>
      </c>
      <c r="C44" s="53">
        <v>2</v>
      </c>
      <c r="D44" s="15">
        <f>C44*120</f>
        <v>240</v>
      </c>
      <c r="E44" s="9"/>
      <c r="F44" s="41" t="s">
        <v>148</v>
      </c>
      <c r="G44" s="69" t="s">
        <v>187</v>
      </c>
      <c r="H44" s="255">
        <v>223596</v>
      </c>
      <c r="I44" s="255"/>
      <c r="J44" s="255"/>
      <c r="K44" s="24"/>
      <c r="P44" s="4"/>
      <c r="Q44" s="4"/>
      <c r="R44" s="5"/>
    </row>
    <row r="45" spans="1:18" ht="15.75" x14ac:dyDescent="0.25">
      <c r="A45" s="268"/>
      <c r="B45" s="30" t="s">
        <v>68</v>
      </c>
      <c r="C45" s="90"/>
      <c r="D45" s="15">
        <f>C45*84</f>
        <v>0</v>
      </c>
      <c r="E45" s="9"/>
      <c r="F45" s="41"/>
      <c r="G45" s="69"/>
      <c r="H45" s="255"/>
      <c r="I45" s="255"/>
      <c r="J45" s="255"/>
      <c r="K45" s="24"/>
      <c r="P45" s="4"/>
      <c r="Q45" s="4"/>
      <c r="R45" s="5"/>
    </row>
    <row r="46" spans="1:18" ht="15.75" x14ac:dyDescent="0.25">
      <c r="A46" s="268"/>
      <c r="B46" s="54" t="s">
        <v>70</v>
      </c>
      <c r="C46" s="91">
        <v>1</v>
      </c>
      <c r="D46" s="15">
        <f>C46*1.5</f>
        <v>1.5</v>
      </c>
      <c r="E46" s="9"/>
      <c r="F46" s="41"/>
      <c r="G46" s="134"/>
      <c r="H46" s="306"/>
      <c r="I46" s="306"/>
      <c r="J46" s="306"/>
      <c r="K46" s="24"/>
      <c r="P46" s="4"/>
      <c r="Q46" s="4"/>
      <c r="R46" s="5"/>
    </row>
    <row r="47" spans="1:18" ht="15.75" x14ac:dyDescent="0.25">
      <c r="A47" s="269"/>
      <c r="B47" s="30"/>
      <c r="C47" s="71"/>
      <c r="D47" s="15"/>
      <c r="E47" s="9"/>
      <c r="F47" s="65"/>
      <c r="G47" s="65"/>
      <c r="H47" s="273"/>
      <c r="I47" s="274"/>
      <c r="J47" s="275"/>
      <c r="K47" s="24"/>
      <c r="P47" s="4"/>
      <c r="Q47" s="4"/>
      <c r="R47" s="5"/>
    </row>
    <row r="48" spans="1:18" ht="15" customHeight="1" x14ac:dyDescent="0.25">
      <c r="A48" s="267" t="s">
        <v>32</v>
      </c>
      <c r="B48" s="30" t="s">
        <v>66</v>
      </c>
      <c r="C48" s="53">
        <v>10</v>
      </c>
      <c r="D48" s="15">
        <f>C48*78</f>
        <v>780</v>
      </c>
      <c r="E48" s="9"/>
      <c r="F48" s="65"/>
      <c r="G48" s="65"/>
      <c r="H48" s="273"/>
      <c r="I48" s="274"/>
      <c r="J48" s="275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68"/>
      <c r="B49" s="32" t="s">
        <v>68</v>
      </c>
      <c r="C49" s="90">
        <v>27</v>
      </c>
      <c r="D49" s="15">
        <f>C49*42</f>
        <v>1134</v>
      </c>
      <c r="E49" s="9"/>
      <c r="F49" s="288" t="s">
        <v>86</v>
      </c>
      <c r="G49" s="240">
        <f>H34+H35+H36+H37+H38+H39+H40+H41+G42+H44+H45+H46</f>
        <v>489183</v>
      </c>
      <c r="H49" s="241"/>
      <c r="I49" s="241"/>
      <c r="J49" s="242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68"/>
      <c r="B50" s="35" t="s">
        <v>70</v>
      </c>
      <c r="C50" s="71">
        <v>23</v>
      </c>
      <c r="D50" s="15">
        <f>C50*1.5</f>
        <v>34.5</v>
      </c>
      <c r="E50" s="9"/>
      <c r="F50" s="289"/>
      <c r="G50" s="243"/>
      <c r="H50" s="244"/>
      <c r="I50" s="244"/>
      <c r="J50" s="245"/>
      <c r="K50" s="9"/>
      <c r="P50" s="4"/>
      <c r="Q50" s="4"/>
      <c r="R50" s="5"/>
    </row>
    <row r="51" spans="1:18" ht="15" customHeight="1" x14ac:dyDescent="0.25">
      <c r="A51" s="268"/>
      <c r="B51" s="30"/>
      <c r="C51" s="13"/>
      <c r="D51" s="34"/>
      <c r="E51" s="9"/>
      <c r="F51" s="290" t="s">
        <v>157</v>
      </c>
      <c r="G51" s="314">
        <f>G49-H29</f>
        <v>-5115.75</v>
      </c>
      <c r="H51" s="315"/>
      <c r="I51" s="315"/>
      <c r="J51" s="316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68"/>
      <c r="B52" s="32"/>
      <c r="C52" s="36"/>
      <c r="D52" s="49"/>
      <c r="E52" s="9"/>
      <c r="F52" s="291"/>
      <c r="G52" s="317"/>
      <c r="H52" s="318"/>
      <c r="I52" s="318"/>
      <c r="J52" s="319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69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236" t="s">
        <v>90</v>
      </c>
      <c r="B54" s="276"/>
      <c r="C54" s="277"/>
      <c r="D54" s="280">
        <f>SUM(D34:D53)</f>
        <v>92300.25</v>
      </c>
      <c r="E54" s="9"/>
      <c r="F54" s="24"/>
      <c r="G54" s="9"/>
      <c r="H54" s="9"/>
      <c r="I54" s="9"/>
      <c r="J54" s="37"/>
    </row>
    <row r="55" spans="1:18" x14ac:dyDescent="0.25">
      <c r="A55" s="238"/>
      <c r="B55" s="278"/>
      <c r="C55" s="279"/>
      <c r="D55" s="281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188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282" t="s">
        <v>91</v>
      </c>
      <c r="B58" s="283"/>
      <c r="C58" s="283"/>
      <c r="D58" s="284"/>
      <c r="E58" s="9"/>
      <c r="F58" s="282" t="s">
        <v>92</v>
      </c>
      <c r="G58" s="283"/>
      <c r="H58" s="283"/>
      <c r="I58" s="283"/>
      <c r="J58" s="284"/>
    </row>
    <row r="59" spans="1:18" x14ac:dyDescent="0.25">
      <c r="A59" s="285"/>
      <c r="B59" s="286"/>
      <c r="C59" s="286"/>
      <c r="D59" s="287"/>
      <c r="E59" s="9"/>
      <c r="F59" s="285"/>
      <c r="G59" s="286"/>
      <c r="H59" s="286"/>
      <c r="I59" s="286"/>
      <c r="J59" s="287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B674F-6D18-4C6F-B9ED-582A1F8A40E9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s="8" t="s">
        <v>0</v>
      </c>
      <c r="B1" s="8"/>
      <c r="C1" s="8"/>
      <c r="D1" s="8"/>
      <c r="N1" s="174" t="s">
        <v>1</v>
      </c>
      <c r="O1" s="174"/>
      <c r="P1" s="93" t="s">
        <v>2</v>
      </c>
      <c r="Q1" s="93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75" t="s">
        <v>7</v>
      </c>
      <c r="B4" s="176"/>
      <c r="C4" s="176"/>
      <c r="D4" s="177"/>
      <c r="E4" s="9"/>
      <c r="F4" s="178" t="s">
        <v>8</v>
      </c>
      <c r="G4" s="180">
        <v>3</v>
      </c>
      <c r="H4" s="182" t="s">
        <v>9</v>
      </c>
      <c r="I4" s="184">
        <v>45778</v>
      </c>
      <c r="J4" s="185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88" t="s">
        <v>7</v>
      </c>
      <c r="B5" s="18" t="s">
        <v>11</v>
      </c>
      <c r="C5" s="12" t="s">
        <v>12</v>
      </c>
      <c r="D5" s="28" t="s">
        <v>13</v>
      </c>
      <c r="E5" s="9"/>
      <c r="F5" s="179"/>
      <c r="G5" s="181"/>
      <c r="H5" s="183"/>
      <c r="I5" s="186"/>
      <c r="J5" s="187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89"/>
      <c r="B6" s="19" t="s">
        <v>15</v>
      </c>
      <c r="C6" s="53">
        <v>161</v>
      </c>
      <c r="D6" s="16">
        <f t="shared" ref="D6:D28" si="1">C6*L6</f>
        <v>118657</v>
      </c>
      <c r="E6" s="9"/>
      <c r="F6" s="191" t="s">
        <v>16</v>
      </c>
      <c r="G6" s="193" t="s">
        <v>111</v>
      </c>
      <c r="H6" s="194"/>
      <c r="I6" s="194"/>
      <c r="J6" s="195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89"/>
      <c r="B7" s="19" t="s">
        <v>18</v>
      </c>
      <c r="C7" s="53">
        <v>7</v>
      </c>
      <c r="D7" s="16">
        <f t="shared" si="1"/>
        <v>5075</v>
      </c>
      <c r="E7" s="9"/>
      <c r="F7" s="192"/>
      <c r="G7" s="196"/>
      <c r="H7" s="197"/>
      <c r="I7" s="197"/>
      <c r="J7" s="198"/>
      <c r="K7" s="10"/>
      <c r="L7" s="6">
        <f>R41</f>
        <v>725</v>
      </c>
      <c r="P7" s="4"/>
      <c r="Q7" s="4"/>
      <c r="R7" s="5"/>
    </row>
    <row r="8" spans="1:19" ht="14.45" customHeight="1" x14ac:dyDescent="0.25">
      <c r="A8" s="189"/>
      <c r="B8" s="19" t="s">
        <v>20</v>
      </c>
      <c r="C8" s="53"/>
      <c r="D8" s="16">
        <f t="shared" si="1"/>
        <v>0</v>
      </c>
      <c r="E8" s="9"/>
      <c r="F8" s="199" t="s">
        <v>21</v>
      </c>
      <c r="G8" s="201" t="s">
        <v>122</v>
      </c>
      <c r="H8" s="202"/>
      <c r="I8" s="202"/>
      <c r="J8" s="203"/>
      <c r="K8" s="10"/>
      <c r="L8" s="6">
        <f>R40</f>
        <v>1033</v>
      </c>
      <c r="P8" s="4"/>
      <c r="Q8" s="4"/>
      <c r="R8" s="5"/>
    </row>
    <row r="9" spans="1:19" ht="14.45" customHeight="1" x14ac:dyDescent="0.25">
      <c r="A9" s="189"/>
      <c r="B9" s="19" t="s">
        <v>23</v>
      </c>
      <c r="C9" s="53">
        <v>30</v>
      </c>
      <c r="D9" s="16">
        <f t="shared" si="1"/>
        <v>21210</v>
      </c>
      <c r="E9" s="9"/>
      <c r="F9" s="192"/>
      <c r="G9" s="204"/>
      <c r="H9" s="205"/>
      <c r="I9" s="205"/>
      <c r="J9" s="206"/>
      <c r="K9" s="10"/>
      <c r="L9" s="6">
        <f>R38</f>
        <v>707</v>
      </c>
      <c r="P9" s="4"/>
      <c r="Q9" s="4"/>
      <c r="R9" s="5"/>
    </row>
    <row r="10" spans="1:19" ht="14.45" customHeight="1" x14ac:dyDescent="0.25">
      <c r="A10" s="189"/>
      <c r="B10" s="11" t="s">
        <v>25</v>
      </c>
      <c r="C10" s="53"/>
      <c r="D10" s="16">
        <f t="shared" si="1"/>
        <v>0</v>
      </c>
      <c r="E10" s="9"/>
      <c r="F10" s="191" t="s">
        <v>26</v>
      </c>
      <c r="G10" s="207" t="s">
        <v>123</v>
      </c>
      <c r="H10" s="208"/>
      <c r="I10" s="208"/>
      <c r="J10" s="209"/>
      <c r="K10" s="10"/>
      <c r="L10" s="6">
        <f>R36</f>
        <v>972</v>
      </c>
      <c r="P10" s="4"/>
      <c r="Q10" s="4"/>
      <c r="R10" s="5"/>
    </row>
    <row r="11" spans="1:19" ht="15.75" x14ac:dyDescent="0.25">
      <c r="A11" s="189"/>
      <c r="B11" s="20" t="s">
        <v>28</v>
      </c>
      <c r="C11" s="53">
        <v>2</v>
      </c>
      <c r="D11" s="16">
        <f t="shared" si="1"/>
        <v>2250</v>
      </c>
      <c r="E11" s="9"/>
      <c r="F11" s="192"/>
      <c r="G11" s="204"/>
      <c r="H11" s="205"/>
      <c r="I11" s="205"/>
      <c r="J11" s="206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89"/>
      <c r="B12" s="20" t="s">
        <v>30</v>
      </c>
      <c r="C12" s="53">
        <f>2</f>
        <v>2</v>
      </c>
      <c r="D12" s="52">
        <f t="shared" si="1"/>
        <v>1904</v>
      </c>
      <c r="E12" s="9"/>
      <c r="F12" s="210" t="s">
        <v>33</v>
      </c>
      <c r="G12" s="211"/>
      <c r="H12" s="211"/>
      <c r="I12" s="211"/>
      <c r="J12" s="212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89"/>
      <c r="B13" s="20" t="s">
        <v>32</v>
      </c>
      <c r="C13" s="53">
        <v>7</v>
      </c>
      <c r="D13" s="52">
        <f t="shared" si="1"/>
        <v>2149</v>
      </c>
      <c r="E13" s="9"/>
      <c r="F13" s="213" t="s">
        <v>36</v>
      </c>
      <c r="G13" s="214"/>
      <c r="H13" s="215">
        <f>D29</f>
        <v>155368</v>
      </c>
      <c r="I13" s="216"/>
      <c r="J13" s="217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89"/>
      <c r="B14" s="17" t="s">
        <v>35</v>
      </c>
      <c r="C14" s="53">
        <v>18</v>
      </c>
      <c r="D14" s="34">
        <f t="shared" si="1"/>
        <v>198</v>
      </c>
      <c r="E14" s="9"/>
      <c r="F14" s="218" t="s">
        <v>39</v>
      </c>
      <c r="G14" s="219"/>
      <c r="H14" s="220">
        <f>D54</f>
        <v>24092.25</v>
      </c>
      <c r="I14" s="221"/>
      <c r="J14" s="222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89"/>
      <c r="B15" s="17" t="s">
        <v>38</v>
      </c>
      <c r="C15" s="53"/>
      <c r="D15" s="34">
        <f t="shared" si="1"/>
        <v>0</v>
      </c>
      <c r="E15" s="9"/>
      <c r="F15" s="223" t="s">
        <v>40</v>
      </c>
      <c r="G15" s="214"/>
      <c r="H15" s="224">
        <f>H13-H14</f>
        <v>131275.75</v>
      </c>
      <c r="I15" s="225"/>
      <c r="J15" s="226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89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227">
        <f>396+600</f>
        <v>996</v>
      </c>
      <c r="I16" s="227"/>
      <c r="J16" s="22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89"/>
      <c r="B17" s="11" t="s">
        <v>114</v>
      </c>
      <c r="C17" s="53"/>
      <c r="D17" s="52">
        <f t="shared" si="1"/>
        <v>0</v>
      </c>
      <c r="E17" s="9"/>
      <c r="F17" s="62"/>
      <c r="G17" s="74" t="s">
        <v>45</v>
      </c>
      <c r="H17" s="200"/>
      <c r="I17" s="200"/>
      <c r="J17" s="200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89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200"/>
      <c r="I18" s="200"/>
      <c r="J18" s="200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89"/>
      <c r="B19" s="17" t="s">
        <v>118</v>
      </c>
      <c r="C19" s="53"/>
      <c r="D19" s="52">
        <f t="shared" si="1"/>
        <v>0</v>
      </c>
      <c r="E19" s="9"/>
      <c r="F19" s="62"/>
      <c r="G19" s="76" t="s">
        <v>50</v>
      </c>
      <c r="H19" s="313"/>
      <c r="I19" s="313"/>
      <c r="J19" s="313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89"/>
      <c r="B20" s="50" t="s">
        <v>108</v>
      </c>
      <c r="C20" s="53"/>
      <c r="D20" s="16">
        <f t="shared" si="1"/>
        <v>0</v>
      </c>
      <c r="E20" s="9"/>
      <c r="F20" s="63"/>
      <c r="G20" s="78" t="s">
        <v>124</v>
      </c>
      <c r="H20" s="227"/>
      <c r="I20" s="227"/>
      <c r="J20" s="227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89"/>
      <c r="B21" s="17" t="s">
        <v>130</v>
      </c>
      <c r="C21" s="53"/>
      <c r="D21" s="52">
        <f t="shared" si="1"/>
        <v>0</v>
      </c>
      <c r="E21" s="9"/>
      <c r="F21" s="77" t="s">
        <v>99</v>
      </c>
      <c r="G21" s="92" t="s">
        <v>98</v>
      </c>
      <c r="H21" s="246" t="s">
        <v>13</v>
      </c>
      <c r="I21" s="247"/>
      <c r="J21" s="248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89"/>
      <c r="B22" s="50" t="s">
        <v>104</v>
      </c>
      <c r="C22" s="53"/>
      <c r="D22" s="52">
        <f t="shared" si="1"/>
        <v>0</v>
      </c>
      <c r="E22" s="9"/>
      <c r="F22" s="85"/>
      <c r="G22" s="81"/>
      <c r="H22" s="249"/>
      <c r="I22" s="249"/>
      <c r="J22" s="249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89"/>
      <c r="B23" s="17" t="s">
        <v>107</v>
      </c>
      <c r="C23" s="53"/>
      <c r="D23" s="52">
        <f t="shared" si="1"/>
        <v>0</v>
      </c>
      <c r="E23" s="9"/>
      <c r="F23" s="86"/>
      <c r="G23" s="87"/>
      <c r="H23" s="299"/>
      <c r="I23" s="255"/>
      <c r="J23" s="255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89"/>
      <c r="B24" s="17" t="s">
        <v>101</v>
      </c>
      <c r="C24" s="53"/>
      <c r="D24" s="52">
        <f t="shared" si="1"/>
        <v>0</v>
      </c>
      <c r="E24" s="9"/>
      <c r="F24" s="42"/>
      <c r="G24" s="41"/>
      <c r="H24" s="299"/>
      <c r="I24" s="255"/>
      <c r="J24" s="255"/>
      <c r="L24" s="51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89"/>
      <c r="B25" s="17" t="s">
        <v>117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52" t="s">
        <v>13</v>
      </c>
      <c r="I25" s="253"/>
      <c r="J25" s="254"/>
      <c r="L25" s="51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89"/>
      <c r="B26" s="17" t="s">
        <v>105</v>
      </c>
      <c r="C26" s="53"/>
      <c r="D26" s="52">
        <f t="shared" si="1"/>
        <v>0</v>
      </c>
      <c r="E26" s="9"/>
      <c r="F26" s="72"/>
      <c r="G26" s="65"/>
      <c r="H26" s="300"/>
      <c r="I26" s="301"/>
      <c r="J26" s="302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89"/>
      <c r="B27" s="17" t="s">
        <v>109</v>
      </c>
      <c r="C27" s="53"/>
      <c r="D27" s="48">
        <f t="shared" si="1"/>
        <v>0</v>
      </c>
      <c r="E27" s="9"/>
      <c r="F27" s="88"/>
      <c r="G27" s="89"/>
      <c r="H27" s="303"/>
      <c r="I27" s="304"/>
      <c r="J27" s="305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90"/>
      <c r="B28" s="50" t="s">
        <v>97</v>
      </c>
      <c r="C28" s="53">
        <v>5</v>
      </c>
      <c r="D28" s="52">
        <f t="shared" si="1"/>
        <v>3925</v>
      </c>
      <c r="E28" s="9"/>
      <c r="F28" s="60"/>
      <c r="G28" s="68"/>
      <c r="H28" s="258"/>
      <c r="I28" s="259"/>
      <c r="J28" s="260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28" t="s">
        <v>36</v>
      </c>
      <c r="B29" s="229"/>
      <c r="C29" s="230"/>
      <c r="D29" s="234">
        <f>SUM(D6:D28)</f>
        <v>155368</v>
      </c>
      <c r="E29" s="9"/>
      <c r="F29" s="236" t="s">
        <v>55</v>
      </c>
      <c r="G29" s="237"/>
      <c r="H29" s="240">
        <f>H15-H16-H17-H18-H19-H20-H22-H23-H24+H26+H27</f>
        <v>130279.75</v>
      </c>
      <c r="I29" s="241"/>
      <c r="J29" s="242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231"/>
      <c r="B30" s="232"/>
      <c r="C30" s="233"/>
      <c r="D30" s="235"/>
      <c r="E30" s="9"/>
      <c r="F30" s="238"/>
      <c r="G30" s="239"/>
      <c r="H30" s="243"/>
      <c r="I30" s="244"/>
      <c r="J30" s="245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5" t="s">
        <v>58</v>
      </c>
      <c r="B32" s="176"/>
      <c r="C32" s="176"/>
      <c r="D32" s="177"/>
      <c r="E32" s="11"/>
      <c r="F32" s="261" t="s">
        <v>59</v>
      </c>
      <c r="G32" s="262"/>
      <c r="H32" s="262"/>
      <c r="I32" s="262"/>
      <c r="J32" s="263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94" t="s">
        <v>63</v>
      </c>
      <c r="H33" s="261" t="s">
        <v>13</v>
      </c>
      <c r="I33" s="262"/>
      <c r="J33" s="263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88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82">
        <v>89</v>
      </c>
      <c r="H34" s="264">
        <f>F34*G34</f>
        <v>89000</v>
      </c>
      <c r="I34" s="265"/>
      <c r="J34" s="266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89"/>
      <c r="B35" s="30" t="s">
        <v>68</v>
      </c>
      <c r="C35" s="57"/>
      <c r="D35" s="33">
        <f>C35*84</f>
        <v>0</v>
      </c>
      <c r="E35" s="9"/>
      <c r="F35" s="64">
        <v>500</v>
      </c>
      <c r="G35" s="45">
        <v>69</v>
      </c>
      <c r="H35" s="264">
        <f>F35*G35</f>
        <v>34500</v>
      </c>
      <c r="I35" s="265"/>
      <c r="J35" s="266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90"/>
      <c r="B36" s="29" t="s">
        <v>70</v>
      </c>
      <c r="C36" s="53">
        <v>5</v>
      </c>
      <c r="D36" s="15">
        <f>C36*1.5</f>
        <v>7.5</v>
      </c>
      <c r="E36" s="9"/>
      <c r="F36" s="15">
        <v>200</v>
      </c>
      <c r="G36" s="41">
        <v>7</v>
      </c>
      <c r="H36" s="264">
        <f t="shared" ref="H36:H39" si="2">F36*G36</f>
        <v>1400</v>
      </c>
      <c r="I36" s="265"/>
      <c r="J36" s="266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88" t="s">
        <v>72</v>
      </c>
      <c r="B37" s="31" t="s">
        <v>66</v>
      </c>
      <c r="C37" s="58">
        <v>189</v>
      </c>
      <c r="D37" s="15">
        <f>C37*111</f>
        <v>20979</v>
      </c>
      <c r="E37" s="9"/>
      <c r="F37" s="15">
        <v>100</v>
      </c>
      <c r="G37" s="43">
        <v>44</v>
      </c>
      <c r="H37" s="264">
        <f t="shared" si="2"/>
        <v>4400</v>
      </c>
      <c r="I37" s="265"/>
      <c r="J37" s="266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89"/>
      <c r="B38" s="32" t="s">
        <v>68</v>
      </c>
      <c r="C38" s="59">
        <v>6</v>
      </c>
      <c r="D38" s="15">
        <f>C38*84</f>
        <v>504</v>
      </c>
      <c r="E38" s="9"/>
      <c r="F38" s="33">
        <v>50</v>
      </c>
      <c r="G38" s="43">
        <v>10</v>
      </c>
      <c r="H38" s="264">
        <f t="shared" si="2"/>
        <v>500</v>
      </c>
      <c r="I38" s="265"/>
      <c r="J38" s="266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90"/>
      <c r="B39" s="32" t="s">
        <v>70</v>
      </c>
      <c r="C39" s="57">
        <v>3</v>
      </c>
      <c r="D39" s="34">
        <f>C39*4.5</f>
        <v>13.5</v>
      </c>
      <c r="E39" s="9"/>
      <c r="F39" s="15">
        <v>20</v>
      </c>
      <c r="G39" s="41"/>
      <c r="H39" s="264">
        <f t="shared" si="2"/>
        <v>0</v>
      </c>
      <c r="I39" s="265"/>
      <c r="J39" s="266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88" t="s">
        <v>76</v>
      </c>
      <c r="B40" s="30" t="s">
        <v>66</v>
      </c>
      <c r="C40" s="70">
        <v>18</v>
      </c>
      <c r="D40" s="15">
        <f>C40*111</f>
        <v>1998</v>
      </c>
      <c r="E40" s="9"/>
      <c r="F40" s="15">
        <v>10</v>
      </c>
      <c r="G40" s="46"/>
      <c r="H40" s="264"/>
      <c r="I40" s="265"/>
      <c r="J40" s="266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89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264"/>
      <c r="I41" s="265"/>
      <c r="J41" s="266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90"/>
      <c r="B42" s="30" t="s">
        <v>70</v>
      </c>
      <c r="C42" s="71">
        <v>3</v>
      </c>
      <c r="D42" s="15">
        <f>C42*2.25</f>
        <v>6.75</v>
      </c>
      <c r="E42" s="9"/>
      <c r="F42" s="43" t="s">
        <v>79</v>
      </c>
      <c r="G42" s="264">
        <v>72</v>
      </c>
      <c r="H42" s="265"/>
      <c r="I42" s="265"/>
      <c r="J42" s="266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67" t="s">
        <v>81</v>
      </c>
      <c r="C43" s="71"/>
      <c r="D43" s="15"/>
      <c r="E43" s="9"/>
      <c r="F43" s="65" t="s">
        <v>82</v>
      </c>
      <c r="G43" s="96" t="s">
        <v>83</v>
      </c>
      <c r="H43" s="270" t="s">
        <v>13</v>
      </c>
      <c r="I43" s="271"/>
      <c r="J43" s="272"/>
      <c r="K43" s="24"/>
      <c r="P43" s="4"/>
      <c r="Q43" s="4"/>
      <c r="R43" s="5"/>
    </row>
    <row r="44" spans="1:18" ht="15.75" x14ac:dyDescent="0.25">
      <c r="A44" s="268"/>
      <c r="B44" s="30" t="s">
        <v>66</v>
      </c>
      <c r="C44" s="53"/>
      <c r="D44" s="15">
        <f>C44*120</f>
        <v>0</v>
      </c>
      <c r="E44" s="9"/>
      <c r="F44" s="41"/>
      <c r="G44" s="84"/>
      <c r="H44" s="255"/>
      <c r="I44" s="255"/>
      <c r="J44" s="255"/>
      <c r="K44" s="24"/>
      <c r="P44" s="4"/>
      <c r="Q44" s="4"/>
      <c r="R44" s="5"/>
    </row>
    <row r="45" spans="1:18" ht="15.75" x14ac:dyDescent="0.25">
      <c r="A45" s="268"/>
      <c r="B45" s="30" t="s">
        <v>68</v>
      </c>
      <c r="C45" s="90">
        <v>2</v>
      </c>
      <c r="D45" s="15">
        <f>C45*84</f>
        <v>168</v>
      </c>
      <c r="E45" s="9"/>
      <c r="F45" s="41"/>
      <c r="G45" s="84"/>
      <c r="H45" s="255"/>
      <c r="I45" s="255"/>
      <c r="J45" s="255"/>
      <c r="K45" s="24"/>
      <c r="P45" s="4"/>
      <c r="Q45" s="4"/>
      <c r="R45" s="5"/>
    </row>
    <row r="46" spans="1:18" ht="15.75" x14ac:dyDescent="0.25">
      <c r="A46" s="268"/>
      <c r="B46" s="54" t="s">
        <v>70</v>
      </c>
      <c r="C46" s="91">
        <v>2</v>
      </c>
      <c r="D46" s="15">
        <f>C46*1.5</f>
        <v>3</v>
      </c>
      <c r="E46" s="9"/>
      <c r="F46" s="41"/>
      <c r="G46" s="69"/>
      <c r="H46" s="306"/>
      <c r="I46" s="306"/>
      <c r="J46" s="306"/>
      <c r="K46" s="24"/>
      <c r="P46" s="4"/>
      <c r="Q46" s="4"/>
      <c r="R46" s="5"/>
    </row>
    <row r="47" spans="1:18" ht="15.75" x14ac:dyDescent="0.25">
      <c r="A47" s="269"/>
      <c r="B47" s="30"/>
      <c r="C47" s="71"/>
      <c r="D47" s="15"/>
      <c r="E47" s="9"/>
      <c r="F47" s="65"/>
      <c r="G47" s="65"/>
      <c r="H47" s="273"/>
      <c r="I47" s="274"/>
      <c r="J47" s="275"/>
      <c r="K47" s="24"/>
      <c r="P47" s="4"/>
      <c r="Q47" s="4"/>
      <c r="R47" s="5"/>
    </row>
    <row r="48" spans="1:18" ht="15" customHeight="1" x14ac:dyDescent="0.25">
      <c r="A48" s="267" t="s">
        <v>32</v>
      </c>
      <c r="B48" s="30" t="s">
        <v>66</v>
      </c>
      <c r="C48" s="53">
        <v>5</v>
      </c>
      <c r="D48" s="15">
        <f>C48*78</f>
        <v>390</v>
      </c>
      <c r="E48" s="9"/>
      <c r="F48" s="65"/>
      <c r="G48" s="65"/>
      <c r="H48" s="273"/>
      <c r="I48" s="274"/>
      <c r="J48" s="275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68"/>
      <c r="B49" s="32" t="s">
        <v>68</v>
      </c>
      <c r="C49" s="90"/>
      <c r="D49" s="15">
        <f>C49*42</f>
        <v>0</v>
      </c>
      <c r="E49" s="9"/>
      <c r="F49" s="288" t="s">
        <v>86</v>
      </c>
      <c r="G49" s="240">
        <f>H34+H35+H36+H37+H38+H39+H40+H41+G42+H44+H45+H46</f>
        <v>129872</v>
      </c>
      <c r="H49" s="241"/>
      <c r="I49" s="241"/>
      <c r="J49" s="242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68"/>
      <c r="B50" s="35" t="s">
        <v>70</v>
      </c>
      <c r="C50" s="71">
        <v>15</v>
      </c>
      <c r="D50" s="15">
        <f>C50*1.5</f>
        <v>22.5</v>
      </c>
      <c r="E50" s="9"/>
      <c r="F50" s="289"/>
      <c r="G50" s="243"/>
      <c r="H50" s="244"/>
      <c r="I50" s="244"/>
      <c r="J50" s="245"/>
      <c r="K50" s="9"/>
      <c r="P50" s="4"/>
      <c r="Q50" s="4"/>
      <c r="R50" s="5"/>
    </row>
    <row r="51" spans="1:18" ht="15" customHeight="1" x14ac:dyDescent="0.25">
      <c r="A51" s="268"/>
      <c r="B51" s="30"/>
      <c r="C51" s="53"/>
      <c r="D51" s="34"/>
      <c r="E51" s="9"/>
      <c r="F51" s="290" t="s">
        <v>135</v>
      </c>
      <c r="G51" s="314">
        <f>G49-H29</f>
        <v>-407.75</v>
      </c>
      <c r="H51" s="315"/>
      <c r="I51" s="315"/>
      <c r="J51" s="316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68"/>
      <c r="B52" s="32"/>
      <c r="C52" s="36"/>
      <c r="D52" s="49"/>
      <c r="E52" s="9"/>
      <c r="F52" s="291"/>
      <c r="G52" s="317"/>
      <c r="H52" s="318"/>
      <c r="I52" s="318"/>
      <c r="J52" s="319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69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236" t="s">
        <v>90</v>
      </c>
      <c r="B54" s="276"/>
      <c r="C54" s="277"/>
      <c r="D54" s="280">
        <f>SUM(D34:D53)</f>
        <v>24092.25</v>
      </c>
      <c r="E54" s="9"/>
      <c r="F54" s="24"/>
      <c r="G54" s="9"/>
      <c r="H54" s="9"/>
      <c r="I54" s="9"/>
      <c r="J54" s="37"/>
    </row>
    <row r="55" spans="1:18" x14ac:dyDescent="0.25">
      <c r="A55" s="238"/>
      <c r="B55" s="278"/>
      <c r="C55" s="279"/>
      <c r="D55" s="281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119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282" t="s">
        <v>91</v>
      </c>
      <c r="B58" s="283"/>
      <c r="C58" s="283"/>
      <c r="D58" s="284"/>
      <c r="E58" s="9"/>
      <c r="F58" s="282" t="s">
        <v>92</v>
      </c>
      <c r="G58" s="283"/>
      <c r="H58" s="283"/>
      <c r="I58" s="283"/>
      <c r="J58" s="284"/>
    </row>
    <row r="59" spans="1:18" x14ac:dyDescent="0.25">
      <c r="A59" s="285"/>
      <c r="B59" s="286"/>
      <c r="C59" s="286"/>
      <c r="D59" s="287"/>
      <c r="E59" s="9"/>
      <c r="F59" s="285"/>
      <c r="G59" s="286"/>
      <c r="H59" s="286"/>
      <c r="I59" s="286"/>
      <c r="J59" s="287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AEE97C-3120-41BA-9F16-7CB36F747E1D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s="8" t="s">
        <v>0</v>
      </c>
      <c r="B1" s="8"/>
      <c r="C1" s="8"/>
      <c r="D1" s="8"/>
      <c r="N1" s="174" t="s">
        <v>1</v>
      </c>
      <c r="O1" s="174"/>
      <c r="P1" s="132" t="s">
        <v>2</v>
      </c>
      <c r="Q1" s="132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75" t="s">
        <v>7</v>
      </c>
      <c r="B4" s="176"/>
      <c r="C4" s="176"/>
      <c r="D4" s="177"/>
      <c r="E4" s="9"/>
      <c r="F4" s="178" t="s">
        <v>8</v>
      </c>
      <c r="G4" s="180">
        <v>3</v>
      </c>
      <c r="H4" s="182" t="s">
        <v>9</v>
      </c>
      <c r="I4" s="184">
        <v>45792</v>
      </c>
      <c r="J4" s="185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88" t="s">
        <v>7</v>
      </c>
      <c r="B5" s="18" t="s">
        <v>11</v>
      </c>
      <c r="C5" s="12" t="s">
        <v>12</v>
      </c>
      <c r="D5" s="28" t="s">
        <v>13</v>
      </c>
      <c r="E5" s="9"/>
      <c r="F5" s="179"/>
      <c r="G5" s="181"/>
      <c r="H5" s="183"/>
      <c r="I5" s="186"/>
      <c r="J5" s="187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89"/>
      <c r="B6" s="19" t="s">
        <v>15</v>
      </c>
      <c r="C6" s="53">
        <v>536</v>
      </c>
      <c r="D6" s="16">
        <f t="shared" ref="D6:D28" si="1">C6*L6</f>
        <v>395032</v>
      </c>
      <c r="E6" s="9"/>
      <c r="F6" s="191" t="s">
        <v>16</v>
      </c>
      <c r="G6" s="193" t="s">
        <v>123</v>
      </c>
      <c r="H6" s="194"/>
      <c r="I6" s="194"/>
      <c r="J6" s="195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89"/>
      <c r="B7" s="19" t="s">
        <v>18</v>
      </c>
      <c r="C7" s="53">
        <v>20</v>
      </c>
      <c r="D7" s="16">
        <f t="shared" si="1"/>
        <v>14500</v>
      </c>
      <c r="E7" s="9"/>
      <c r="F7" s="192"/>
      <c r="G7" s="196"/>
      <c r="H7" s="197"/>
      <c r="I7" s="197"/>
      <c r="J7" s="198"/>
      <c r="K7" s="10"/>
      <c r="L7" s="6">
        <f>R41</f>
        <v>725</v>
      </c>
      <c r="P7" s="4"/>
      <c r="Q7" s="4"/>
      <c r="R7" s="5"/>
    </row>
    <row r="8" spans="1:19" ht="14.45" customHeight="1" x14ac:dyDescent="0.25">
      <c r="A8" s="189"/>
      <c r="B8" s="19" t="s">
        <v>20</v>
      </c>
      <c r="C8" s="53">
        <v>2</v>
      </c>
      <c r="D8" s="16">
        <f t="shared" si="1"/>
        <v>2066</v>
      </c>
      <c r="E8" s="9"/>
      <c r="F8" s="199" t="s">
        <v>21</v>
      </c>
      <c r="G8" s="201" t="s">
        <v>122</v>
      </c>
      <c r="H8" s="202"/>
      <c r="I8" s="202"/>
      <c r="J8" s="203"/>
      <c r="K8" s="10"/>
      <c r="L8" s="6">
        <f>R40</f>
        <v>1033</v>
      </c>
      <c r="P8" s="4"/>
      <c r="Q8" s="4"/>
      <c r="R8" s="5"/>
    </row>
    <row r="9" spans="1:19" ht="14.45" customHeight="1" x14ac:dyDescent="0.25">
      <c r="A9" s="189"/>
      <c r="B9" s="19" t="s">
        <v>23</v>
      </c>
      <c r="C9" s="53">
        <v>74</v>
      </c>
      <c r="D9" s="16">
        <f t="shared" si="1"/>
        <v>52318</v>
      </c>
      <c r="E9" s="9"/>
      <c r="F9" s="192"/>
      <c r="G9" s="204"/>
      <c r="H9" s="205"/>
      <c r="I9" s="205"/>
      <c r="J9" s="206"/>
      <c r="K9" s="10"/>
      <c r="L9" s="6">
        <f>R38</f>
        <v>707</v>
      </c>
      <c r="P9" s="4"/>
      <c r="Q9" s="4"/>
      <c r="R9" s="5"/>
    </row>
    <row r="10" spans="1:19" ht="14.45" customHeight="1" x14ac:dyDescent="0.25">
      <c r="A10" s="189"/>
      <c r="B10" s="11" t="s">
        <v>25</v>
      </c>
      <c r="C10" s="53">
        <v>1</v>
      </c>
      <c r="D10" s="16">
        <f t="shared" si="1"/>
        <v>972</v>
      </c>
      <c r="E10" s="9"/>
      <c r="F10" s="191" t="s">
        <v>26</v>
      </c>
      <c r="G10" s="207" t="s">
        <v>123</v>
      </c>
      <c r="H10" s="208"/>
      <c r="I10" s="208"/>
      <c r="J10" s="209"/>
      <c r="K10" s="10"/>
      <c r="L10" s="6">
        <f>R36</f>
        <v>972</v>
      </c>
      <c r="P10" s="4"/>
      <c r="Q10" s="4"/>
      <c r="R10" s="5"/>
    </row>
    <row r="11" spans="1:19" ht="15.75" x14ac:dyDescent="0.25">
      <c r="A11" s="189"/>
      <c r="B11" s="20" t="s">
        <v>28</v>
      </c>
      <c r="C11" s="53">
        <v>3</v>
      </c>
      <c r="D11" s="16">
        <f t="shared" si="1"/>
        <v>3375</v>
      </c>
      <c r="E11" s="9"/>
      <c r="F11" s="192"/>
      <c r="G11" s="204"/>
      <c r="H11" s="205"/>
      <c r="I11" s="205"/>
      <c r="J11" s="206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89"/>
      <c r="B12" s="20" t="s">
        <v>30</v>
      </c>
      <c r="C12" s="53">
        <v>2</v>
      </c>
      <c r="D12" s="52">
        <f t="shared" si="1"/>
        <v>1904</v>
      </c>
      <c r="E12" s="9"/>
      <c r="F12" s="210" t="s">
        <v>33</v>
      </c>
      <c r="G12" s="211"/>
      <c r="H12" s="211"/>
      <c r="I12" s="211"/>
      <c r="J12" s="212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89"/>
      <c r="B13" s="20" t="s">
        <v>32</v>
      </c>
      <c r="C13" s="53">
        <v>24</v>
      </c>
      <c r="D13" s="52">
        <f t="shared" si="1"/>
        <v>7368</v>
      </c>
      <c r="E13" s="9"/>
      <c r="F13" s="213" t="s">
        <v>36</v>
      </c>
      <c r="G13" s="214"/>
      <c r="H13" s="215">
        <f>D29</f>
        <v>481007</v>
      </c>
      <c r="I13" s="216"/>
      <c r="J13" s="217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89"/>
      <c r="B14" s="17" t="s">
        <v>35</v>
      </c>
      <c r="C14" s="53"/>
      <c r="D14" s="34">
        <f t="shared" si="1"/>
        <v>0</v>
      </c>
      <c r="E14" s="9"/>
      <c r="F14" s="218" t="s">
        <v>39</v>
      </c>
      <c r="G14" s="219"/>
      <c r="H14" s="220">
        <f>D54</f>
        <v>74809.5</v>
      </c>
      <c r="I14" s="221"/>
      <c r="J14" s="222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89"/>
      <c r="B15" s="17" t="s">
        <v>38</v>
      </c>
      <c r="C15" s="53"/>
      <c r="D15" s="34">
        <f t="shared" si="1"/>
        <v>0</v>
      </c>
      <c r="E15" s="9"/>
      <c r="F15" s="223" t="s">
        <v>40</v>
      </c>
      <c r="G15" s="214"/>
      <c r="H15" s="224">
        <f>H13-H14</f>
        <v>406197.5</v>
      </c>
      <c r="I15" s="225"/>
      <c r="J15" s="226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89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227">
        <f>900+978+936</f>
        <v>2814</v>
      </c>
      <c r="I16" s="227"/>
      <c r="J16" s="22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89"/>
      <c r="B17" s="11" t="s">
        <v>185</v>
      </c>
      <c r="C17" s="53">
        <v>1</v>
      </c>
      <c r="D17" s="52">
        <f t="shared" si="1"/>
        <v>1582</v>
      </c>
      <c r="E17" s="9"/>
      <c r="F17" s="62"/>
      <c r="G17" s="74" t="s">
        <v>45</v>
      </c>
      <c r="H17" s="200"/>
      <c r="I17" s="200"/>
      <c r="J17" s="200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89"/>
      <c r="B18" s="22" t="s">
        <v>95</v>
      </c>
      <c r="C18" s="53">
        <v>2</v>
      </c>
      <c r="D18" s="52">
        <f t="shared" si="1"/>
        <v>1240</v>
      </c>
      <c r="E18" s="9"/>
      <c r="F18" s="62"/>
      <c r="G18" s="74" t="s">
        <v>47</v>
      </c>
      <c r="H18" s="200"/>
      <c r="I18" s="200"/>
      <c r="J18" s="200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89"/>
      <c r="B19" s="17" t="s">
        <v>118</v>
      </c>
      <c r="C19" s="53"/>
      <c r="D19" s="52">
        <f t="shared" si="1"/>
        <v>0</v>
      </c>
      <c r="E19" s="9"/>
      <c r="F19" s="62"/>
      <c r="G19" s="76" t="s">
        <v>50</v>
      </c>
      <c r="H19" s="313"/>
      <c r="I19" s="313"/>
      <c r="J19" s="313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89"/>
      <c r="B20" s="50" t="s">
        <v>108</v>
      </c>
      <c r="C20" s="53"/>
      <c r="D20" s="16">
        <f t="shared" si="1"/>
        <v>0</v>
      </c>
      <c r="E20" s="9"/>
      <c r="F20" s="63"/>
      <c r="G20" s="78" t="s">
        <v>124</v>
      </c>
      <c r="H20" s="227">
        <f>626*4</f>
        <v>2504</v>
      </c>
      <c r="I20" s="227"/>
      <c r="J20" s="227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89"/>
      <c r="B21" s="17" t="s">
        <v>184</v>
      </c>
      <c r="C21" s="53">
        <v>1</v>
      </c>
      <c r="D21" s="52">
        <f t="shared" si="1"/>
        <v>650</v>
      </c>
      <c r="E21" s="9"/>
      <c r="F21" s="77" t="s">
        <v>99</v>
      </c>
      <c r="G21" s="92" t="s">
        <v>98</v>
      </c>
      <c r="H21" s="246" t="s">
        <v>13</v>
      </c>
      <c r="I21" s="247"/>
      <c r="J21" s="248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89"/>
      <c r="B22" s="50" t="s">
        <v>104</v>
      </c>
      <c r="C22" s="53"/>
      <c r="D22" s="52">
        <f t="shared" si="1"/>
        <v>0</v>
      </c>
      <c r="E22" s="9"/>
      <c r="F22" s="85"/>
      <c r="G22" s="81"/>
      <c r="H22" s="249"/>
      <c r="I22" s="249"/>
      <c r="J22" s="249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89"/>
      <c r="B23" s="17" t="s">
        <v>107</v>
      </c>
      <c r="C23" s="53"/>
      <c r="D23" s="52">
        <f t="shared" si="1"/>
        <v>0</v>
      </c>
      <c r="E23" s="9"/>
      <c r="F23" s="86"/>
      <c r="G23" s="87"/>
      <c r="H23" s="299"/>
      <c r="I23" s="255"/>
      <c r="J23" s="255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89"/>
      <c r="B24" s="17" t="s">
        <v>101</v>
      </c>
      <c r="C24" s="53"/>
      <c r="D24" s="52">
        <f t="shared" si="1"/>
        <v>0</v>
      </c>
      <c r="E24" s="9"/>
      <c r="F24" s="42"/>
      <c r="G24" s="41"/>
      <c r="H24" s="299"/>
      <c r="I24" s="255"/>
      <c r="J24" s="255"/>
      <c r="L24" s="51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89"/>
      <c r="B25" s="17" t="s">
        <v>117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52" t="s">
        <v>13</v>
      </c>
      <c r="I25" s="253"/>
      <c r="J25" s="254"/>
      <c r="L25" s="51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89"/>
      <c r="B26" s="17" t="s">
        <v>105</v>
      </c>
      <c r="C26" s="53"/>
      <c r="D26" s="52">
        <f t="shared" si="1"/>
        <v>0</v>
      </c>
      <c r="E26" s="9"/>
      <c r="F26" s="72"/>
      <c r="G26" s="65"/>
      <c r="H26" s="300"/>
      <c r="I26" s="301"/>
      <c r="J26" s="302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89"/>
      <c r="B27" s="17" t="s">
        <v>109</v>
      </c>
      <c r="C27" s="53"/>
      <c r="D27" s="48">
        <f t="shared" si="1"/>
        <v>0</v>
      </c>
      <c r="E27" s="9"/>
      <c r="F27" s="88"/>
      <c r="G27" s="89"/>
      <c r="H27" s="303"/>
      <c r="I27" s="304"/>
      <c r="J27" s="305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90"/>
      <c r="B28" s="50" t="s">
        <v>97</v>
      </c>
      <c r="C28" s="53"/>
      <c r="D28" s="52">
        <f t="shared" si="1"/>
        <v>0</v>
      </c>
      <c r="E28" s="9"/>
      <c r="F28" s="60"/>
      <c r="G28" s="68"/>
      <c r="H28" s="258"/>
      <c r="I28" s="259"/>
      <c r="J28" s="260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28" t="s">
        <v>36</v>
      </c>
      <c r="B29" s="229"/>
      <c r="C29" s="230"/>
      <c r="D29" s="234">
        <f>SUM(D6:D28)</f>
        <v>481007</v>
      </c>
      <c r="E29" s="9"/>
      <c r="F29" s="236" t="s">
        <v>55</v>
      </c>
      <c r="G29" s="237"/>
      <c r="H29" s="240">
        <f>H15-H16-H17-H18-H19-H20-H22-H23-H24+H26+H27</f>
        <v>400879.5</v>
      </c>
      <c r="I29" s="241"/>
      <c r="J29" s="242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231"/>
      <c r="B30" s="232"/>
      <c r="C30" s="233"/>
      <c r="D30" s="235"/>
      <c r="E30" s="9"/>
      <c r="F30" s="238"/>
      <c r="G30" s="239"/>
      <c r="H30" s="243"/>
      <c r="I30" s="244"/>
      <c r="J30" s="245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5" t="s">
        <v>58</v>
      </c>
      <c r="B32" s="176"/>
      <c r="C32" s="176"/>
      <c r="D32" s="177"/>
      <c r="E32" s="11"/>
      <c r="F32" s="261" t="s">
        <v>59</v>
      </c>
      <c r="G32" s="262"/>
      <c r="H32" s="262"/>
      <c r="I32" s="262"/>
      <c r="J32" s="263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33" t="s">
        <v>63</v>
      </c>
      <c r="H33" s="261" t="s">
        <v>13</v>
      </c>
      <c r="I33" s="262"/>
      <c r="J33" s="263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88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82">
        <v>198</v>
      </c>
      <c r="H34" s="264">
        <f>F34*G34</f>
        <v>198000</v>
      </c>
      <c r="I34" s="265"/>
      <c r="J34" s="266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89"/>
      <c r="B35" s="30" t="s">
        <v>68</v>
      </c>
      <c r="C35" s="57"/>
      <c r="D35" s="33">
        <f>C35*84</f>
        <v>0</v>
      </c>
      <c r="E35" s="9"/>
      <c r="F35" s="64">
        <v>500</v>
      </c>
      <c r="G35" s="45">
        <v>101</v>
      </c>
      <c r="H35" s="264">
        <f>F35*G35</f>
        <v>50500</v>
      </c>
      <c r="I35" s="265"/>
      <c r="J35" s="266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90"/>
      <c r="B36" s="29" t="s">
        <v>70</v>
      </c>
      <c r="C36" s="53">
        <v>5</v>
      </c>
      <c r="D36" s="15">
        <f>C36*1.5</f>
        <v>7.5</v>
      </c>
      <c r="E36" s="9"/>
      <c r="F36" s="15">
        <v>200</v>
      </c>
      <c r="G36" s="41">
        <v>17</v>
      </c>
      <c r="H36" s="264">
        <f t="shared" ref="H36:H39" si="2">F36*G36</f>
        <v>3400</v>
      </c>
      <c r="I36" s="265"/>
      <c r="J36" s="266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88" t="s">
        <v>72</v>
      </c>
      <c r="B37" s="31" t="s">
        <v>66</v>
      </c>
      <c r="C37" s="58">
        <v>626</v>
      </c>
      <c r="D37" s="15">
        <f>C37*111</f>
        <v>69486</v>
      </c>
      <c r="E37" s="9"/>
      <c r="F37" s="15">
        <v>100</v>
      </c>
      <c r="G37" s="43">
        <v>416</v>
      </c>
      <c r="H37" s="264">
        <f t="shared" si="2"/>
        <v>41600</v>
      </c>
      <c r="I37" s="265"/>
      <c r="J37" s="266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89"/>
      <c r="B38" s="32" t="s">
        <v>68</v>
      </c>
      <c r="C38" s="59">
        <v>15</v>
      </c>
      <c r="D38" s="15">
        <f>C38*84</f>
        <v>1260</v>
      </c>
      <c r="E38" s="9"/>
      <c r="F38" s="33">
        <v>50</v>
      </c>
      <c r="G38" s="43">
        <v>290</v>
      </c>
      <c r="H38" s="264">
        <f t="shared" si="2"/>
        <v>14500</v>
      </c>
      <c r="I38" s="265"/>
      <c r="J38" s="266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90"/>
      <c r="B39" s="32" t="s">
        <v>70</v>
      </c>
      <c r="C39" s="57"/>
      <c r="D39" s="34">
        <f>C39*4.5</f>
        <v>0</v>
      </c>
      <c r="E39" s="9"/>
      <c r="F39" s="15">
        <v>20</v>
      </c>
      <c r="G39" s="41">
        <v>4</v>
      </c>
      <c r="H39" s="264">
        <f t="shared" si="2"/>
        <v>80</v>
      </c>
      <c r="I39" s="265"/>
      <c r="J39" s="266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88" t="s">
        <v>76</v>
      </c>
      <c r="B40" s="30" t="s">
        <v>66</v>
      </c>
      <c r="C40" s="70">
        <v>15</v>
      </c>
      <c r="D40" s="15">
        <f>C40*111</f>
        <v>1665</v>
      </c>
      <c r="E40" s="9"/>
      <c r="F40" s="15">
        <v>10</v>
      </c>
      <c r="G40" s="46"/>
      <c r="H40" s="264"/>
      <c r="I40" s="265"/>
      <c r="J40" s="266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89"/>
      <c r="B41" s="30" t="s">
        <v>68</v>
      </c>
      <c r="C41" s="53">
        <v>1</v>
      </c>
      <c r="D41" s="15">
        <f>C41*84</f>
        <v>84</v>
      </c>
      <c r="E41" s="9"/>
      <c r="F41" s="15">
        <v>5</v>
      </c>
      <c r="G41" s="46"/>
      <c r="H41" s="264"/>
      <c r="I41" s="265"/>
      <c r="J41" s="266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90"/>
      <c r="B42" s="30" t="s">
        <v>70</v>
      </c>
      <c r="C42" s="71">
        <v>4</v>
      </c>
      <c r="D42" s="15">
        <f>C42*2.25</f>
        <v>9</v>
      </c>
      <c r="E42" s="9"/>
      <c r="F42" s="43" t="s">
        <v>79</v>
      </c>
      <c r="G42" s="264"/>
      <c r="H42" s="265"/>
      <c r="I42" s="265"/>
      <c r="J42" s="266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67" t="s">
        <v>81</v>
      </c>
      <c r="C43" s="71"/>
      <c r="D43" s="15"/>
      <c r="E43" s="9"/>
      <c r="F43" s="65" t="s">
        <v>82</v>
      </c>
      <c r="G43" s="135" t="s">
        <v>83</v>
      </c>
      <c r="H43" s="270" t="s">
        <v>13</v>
      </c>
      <c r="I43" s="271"/>
      <c r="J43" s="272"/>
      <c r="K43" s="24"/>
      <c r="P43" s="4"/>
      <c r="Q43" s="4"/>
      <c r="R43" s="5"/>
    </row>
    <row r="44" spans="1:18" ht="15.75" x14ac:dyDescent="0.25">
      <c r="A44" s="268"/>
      <c r="B44" s="30" t="s">
        <v>66</v>
      </c>
      <c r="C44" s="53">
        <v>7</v>
      </c>
      <c r="D44" s="15">
        <f>C44*120</f>
        <v>840</v>
      </c>
      <c r="E44" s="9"/>
      <c r="F44" s="41" t="s">
        <v>148</v>
      </c>
      <c r="G44" s="84" t="s">
        <v>186</v>
      </c>
      <c r="H44" s="255">
        <v>92544</v>
      </c>
      <c r="I44" s="255"/>
      <c r="J44" s="255"/>
      <c r="K44" s="24"/>
      <c r="P44" s="4"/>
      <c r="Q44" s="4"/>
      <c r="R44" s="5"/>
    </row>
    <row r="45" spans="1:18" ht="15.75" x14ac:dyDescent="0.25">
      <c r="A45" s="268"/>
      <c r="B45" s="30" t="s">
        <v>68</v>
      </c>
      <c r="C45" s="90"/>
      <c r="D45" s="15">
        <f>C45*84</f>
        <v>0</v>
      </c>
      <c r="E45" s="9"/>
      <c r="F45" s="41"/>
      <c r="G45" s="84"/>
      <c r="H45" s="255"/>
      <c r="I45" s="255"/>
      <c r="J45" s="255"/>
      <c r="K45" s="24"/>
      <c r="P45" s="4"/>
      <c r="Q45" s="4"/>
      <c r="R45" s="5"/>
    </row>
    <row r="46" spans="1:18" ht="15.75" x14ac:dyDescent="0.25">
      <c r="A46" s="268"/>
      <c r="B46" s="54" t="s">
        <v>70</v>
      </c>
      <c r="C46" s="91">
        <v>3</v>
      </c>
      <c r="D46" s="15">
        <f>C46*1.5</f>
        <v>4.5</v>
      </c>
      <c r="E46" s="9"/>
      <c r="F46" s="41"/>
      <c r="G46" s="69"/>
      <c r="H46" s="306"/>
      <c r="I46" s="306"/>
      <c r="J46" s="306"/>
      <c r="K46" s="24"/>
      <c r="P46" s="4"/>
      <c r="Q46" s="4"/>
      <c r="R46" s="5"/>
    </row>
    <row r="47" spans="1:18" ht="15.75" x14ac:dyDescent="0.25">
      <c r="A47" s="269"/>
      <c r="B47" s="30"/>
      <c r="C47" s="71"/>
      <c r="D47" s="15"/>
      <c r="E47" s="9"/>
      <c r="F47" s="65"/>
      <c r="G47" s="65"/>
      <c r="H47" s="273"/>
      <c r="I47" s="274"/>
      <c r="J47" s="275"/>
      <c r="K47" s="24"/>
      <c r="P47" s="4"/>
      <c r="Q47" s="4"/>
      <c r="R47" s="5"/>
    </row>
    <row r="48" spans="1:18" ht="15" customHeight="1" x14ac:dyDescent="0.25">
      <c r="A48" s="267" t="s">
        <v>32</v>
      </c>
      <c r="B48" s="30" t="s">
        <v>66</v>
      </c>
      <c r="C48" s="53">
        <v>18</v>
      </c>
      <c r="D48" s="15">
        <f>C48*78</f>
        <v>1404</v>
      </c>
      <c r="E48" s="9"/>
      <c r="F48" s="65"/>
      <c r="G48" s="65"/>
      <c r="H48" s="273"/>
      <c r="I48" s="274"/>
      <c r="J48" s="275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68"/>
      <c r="B49" s="32" t="s">
        <v>68</v>
      </c>
      <c r="C49" s="90">
        <v>1</v>
      </c>
      <c r="D49" s="15">
        <f>C49*42</f>
        <v>42</v>
      </c>
      <c r="E49" s="9"/>
      <c r="F49" s="288" t="s">
        <v>86</v>
      </c>
      <c r="G49" s="240">
        <f>H34+H35+H36+H37+H38+H39+H40+H41+G42+H44+H45+H46</f>
        <v>400624</v>
      </c>
      <c r="H49" s="241"/>
      <c r="I49" s="241"/>
      <c r="J49" s="242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68"/>
      <c r="B50" s="35" t="s">
        <v>70</v>
      </c>
      <c r="C50" s="71">
        <v>5</v>
      </c>
      <c r="D50" s="15">
        <f>C50*1.5</f>
        <v>7.5</v>
      </c>
      <c r="E50" s="9"/>
      <c r="F50" s="289"/>
      <c r="G50" s="243"/>
      <c r="H50" s="244"/>
      <c r="I50" s="244"/>
      <c r="J50" s="245"/>
      <c r="K50" s="9"/>
      <c r="P50" s="4"/>
      <c r="Q50" s="4"/>
      <c r="R50" s="5"/>
    </row>
    <row r="51" spans="1:18" ht="15" customHeight="1" x14ac:dyDescent="0.25">
      <c r="A51" s="268"/>
      <c r="B51" s="30"/>
      <c r="C51" s="53"/>
      <c r="D51" s="34"/>
      <c r="E51" s="9"/>
      <c r="F51" s="290" t="s">
        <v>135</v>
      </c>
      <c r="G51" s="314">
        <f>G49-H29</f>
        <v>-255.5</v>
      </c>
      <c r="H51" s="315"/>
      <c r="I51" s="315"/>
      <c r="J51" s="316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68"/>
      <c r="B52" s="32"/>
      <c r="C52" s="36"/>
      <c r="D52" s="49"/>
      <c r="E52" s="9"/>
      <c r="F52" s="291"/>
      <c r="G52" s="317"/>
      <c r="H52" s="318"/>
      <c r="I52" s="318"/>
      <c r="J52" s="319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69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236" t="s">
        <v>90</v>
      </c>
      <c r="B54" s="276"/>
      <c r="C54" s="277"/>
      <c r="D54" s="280">
        <f>SUM(D34:D53)</f>
        <v>74809.5</v>
      </c>
      <c r="E54" s="9"/>
      <c r="F54" s="24"/>
      <c r="G54" s="9"/>
      <c r="H54" s="9"/>
      <c r="I54" s="9"/>
      <c r="J54" s="37"/>
    </row>
    <row r="55" spans="1:18" x14ac:dyDescent="0.25">
      <c r="A55" s="238"/>
      <c r="B55" s="278"/>
      <c r="C55" s="279"/>
      <c r="D55" s="281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161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282" t="s">
        <v>91</v>
      </c>
      <c r="B58" s="283"/>
      <c r="C58" s="283"/>
      <c r="D58" s="284"/>
      <c r="E58" s="9"/>
      <c r="F58" s="282" t="s">
        <v>92</v>
      </c>
      <c r="G58" s="283"/>
      <c r="H58" s="283"/>
      <c r="I58" s="283"/>
      <c r="J58" s="284"/>
    </row>
    <row r="59" spans="1:18" x14ac:dyDescent="0.25">
      <c r="A59" s="285"/>
      <c r="B59" s="286"/>
      <c r="C59" s="286"/>
      <c r="D59" s="287"/>
      <c r="E59" s="9"/>
      <c r="F59" s="285"/>
      <c r="G59" s="286"/>
      <c r="H59" s="286"/>
      <c r="I59" s="286"/>
      <c r="J59" s="287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2A600-1267-4BC1-8DBB-59798F451770}">
  <dimension ref="A1"/>
  <sheetViews>
    <sheetView workbookViewId="0">
      <selection activeCell="I4" sqref="I4:J5"/>
    </sheetView>
  </sheetViews>
  <sheetFormatPr defaultRowHeight="15" x14ac:dyDescent="0.25"/>
  <sheetData/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5AADB-DB22-4F30-85A8-B0C7F493F581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174" t="s">
        <v>1</v>
      </c>
      <c r="O1" s="174"/>
      <c r="P1" s="132" t="s">
        <v>2</v>
      </c>
      <c r="Q1" s="132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75" t="s">
        <v>7</v>
      </c>
      <c r="B4" s="176"/>
      <c r="C4" s="176"/>
      <c r="D4" s="177"/>
      <c r="E4" s="9"/>
      <c r="F4" s="178" t="s">
        <v>8</v>
      </c>
      <c r="G4" s="180">
        <v>1</v>
      </c>
      <c r="H4" s="182" t="s">
        <v>9</v>
      </c>
      <c r="I4" s="184">
        <v>45793</v>
      </c>
      <c r="J4" s="185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88" t="s">
        <v>7</v>
      </c>
      <c r="B5" s="18" t="s">
        <v>11</v>
      </c>
      <c r="C5" s="12" t="s">
        <v>12</v>
      </c>
      <c r="D5" s="28" t="s">
        <v>13</v>
      </c>
      <c r="E5" s="9"/>
      <c r="F5" s="179"/>
      <c r="G5" s="181"/>
      <c r="H5" s="183"/>
      <c r="I5" s="186"/>
      <c r="J5" s="187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89"/>
      <c r="B6" s="19" t="s">
        <v>15</v>
      </c>
      <c r="C6" s="53">
        <v>1016</v>
      </c>
      <c r="D6" s="16">
        <f t="shared" ref="D6:D28" si="1">C6*L6</f>
        <v>748792</v>
      </c>
      <c r="E6" s="9"/>
      <c r="F6" s="191" t="s">
        <v>16</v>
      </c>
      <c r="G6" s="193" t="s">
        <v>128</v>
      </c>
      <c r="H6" s="194"/>
      <c r="I6" s="194"/>
      <c r="J6" s="195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89"/>
      <c r="B7" s="19" t="s">
        <v>18</v>
      </c>
      <c r="C7" s="53">
        <v>1</v>
      </c>
      <c r="D7" s="16">
        <f t="shared" si="1"/>
        <v>725</v>
      </c>
      <c r="E7" s="9"/>
      <c r="F7" s="192"/>
      <c r="G7" s="196"/>
      <c r="H7" s="197"/>
      <c r="I7" s="197"/>
      <c r="J7" s="198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189"/>
      <c r="B8" s="19" t="s">
        <v>20</v>
      </c>
      <c r="C8" s="53"/>
      <c r="D8" s="16">
        <f t="shared" si="1"/>
        <v>0</v>
      </c>
      <c r="E8" s="9"/>
      <c r="F8" s="199" t="s">
        <v>21</v>
      </c>
      <c r="G8" s="201" t="s">
        <v>113</v>
      </c>
      <c r="H8" s="202"/>
      <c r="I8" s="202"/>
      <c r="J8" s="203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189"/>
      <c r="B9" s="19" t="s">
        <v>23</v>
      </c>
      <c r="C9" s="53">
        <v>120</v>
      </c>
      <c r="D9" s="16">
        <f t="shared" si="1"/>
        <v>84840</v>
      </c>
      <c r="E9" s="9"/>
      <c r="F9" s="192"/>
      <c r="G9" s="204"/>
      <c r="H9" s="205"/>
      <c r="I9" s="205"/>
      <c r="J9" s="206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189"/>
      <c r="B10" s="11" t="s">
        <v>25</v>
      </c>
      <c r="C10" s="53"/>
      <c r="D10" s="16">
        <f t="shared" si="1"/>
        <v>0</v>
      </c>
      <c r="E10" s="9"/>
      <c r="F10" s="191" t="s">
        <v>26</v>
      </c>
      <c r="G10" s="207" t="s">
        <v>132</v>
      </c>
      <c r="H10" s="208"/>
      <c r="I10" s="208"/>
      <c r="J10" s="209"/>
      <c r="K10" s="10"/>
      <c r="L10" s="6">
        <f>R36</f>
        <v>972</v>
      </c>
      <c r="P10" s="4"/>
      <c r="Q10" s="4"/>
      <c r="R10" s="5"/>
    </row>
    <row r="11" spans="1:18" ht="15.75" x14ac:dyDescent="0.25">
      <c r="A11" s="189"/>
      <c r="B11" s="20" t="s">
        <v>28</v>
      </c>
      <c r="C11" s="53"/>
      <c r="D11" s="16">
        <f t="shared" si="1"/>
        <v>0</v>
      </c>
      <c r="E11" s="9"/>
      <c r="F11" s="192"/>
      <c r="G11" s="204"/>
      <c r="H11" s="205"/>
      <c r="I11" s="205"/>
      <c r="J11" s="206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89"/>
      <c r="B12" s="20" t="s">
        <v>30</v>
      </c>
      <c r="C12" s="53"/>
      <c r="D12" s="52">
        <f t="shared" si="1"/>
        <v>0</v>
      </c>
      <c r="E12" s="9"/>
      <c r="F12" s="210" t="s">
        <v>33</v>
      </c>
      <c r="G12" s="211"/>
      <c r="H12" s="211"/>
      <c r="I12" s="211"/>
      <c r="J12" s="212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89"/>
      <c r="B13" s="20" t="s">
        <v>32</v>
      </c>
      <c r="C13" s="53">
        <v>49</v>
      </c>
      <c r="D13" s="52">
        <f t="shared" si="1"/>
        <v>15043</v>
      </c>
      <c r="E13" s="9"/>
      <c r="F13" s="213" t="s">
        <v>36</v>
      </c>
      <c r="G13" s="214"/>
      <c r="H13" s="215">
        <f>D29</f>
        <v>849400</v>
      </c>
      <c r="I13" s="216"/>
      <c r="J13" s="217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89"/>
      <c r="B14" s="17" t="s">
        <v>35</v>
      </c>
      <c r="C14" s="53"/>
      <c r="D14" s="34">
        <f t="shared" si="1"/>
        <v>0</v>
      </c>
      <c r="E14" s="9"/>
      <c r="F14" s="218" t="s">
        <v>39</v>
      </c>
      <c r="G14" s="219"/>
      <c r="H14" s="220">
        <f>D54</f>
        <v>171141</v>
      </c>
      <c r="I14" s="221"/>
      <c r="J14" s="222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89"/>
      <c r="B15" s="17" t="s">
        <v>38</v>
      </c>
      <c r="C15" s="53"/>
      <c r="D15" s="34">
        <f t="shared" si="1"/>
        <v>0</v>
      </c>
      <c r="E15" s="9"/>
      <c r="F15" s="223" t="s">
        <v>40</v>
      </c>
      <c r="G15" s="214"/>
      <c r="H15" s="224">
        <f>H13-H14</f>
        <v>678259</v>
      </c>
      <c r="I15" s="225"/>
      <c r="J15" s="226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89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227">
        <f>1890+8431</f>
        <v>10321</v>
      </c>
      <c r="I16" s="227"/>
      <c r="J16" s="22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89"/>
      <c r="B17" s="11" t="s">
        <v>137</v>
      </c>
      <c r="C17" s="53"/>
      <c r="D17" s="52">
        <f t="shared" si="1"/>
        <v>0</v>
      </c>
      <c r="E17" s="9"/>
      <c r="F17" s="62"/>
      <c r="G17" s="74" t="s">
        <v>45</v>
      </c>
      <c r="H17" s="200"/>
      <c r="I17" s="200"/>
      <c r="J17" s="200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89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200"/>
      <c r="I18" s="200"/>
      <c r="J18" s="200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89"/>
      <c r="B19" s="17" t="s">
        <v>140</v>
      </c>
      <c r="C19" s="53"/>
      <c r="D19" s="52">
        <f t="shared" si="1"/>
        <v>0</v>
      </c>
      <c r="E19" s="9"/>
      <c r="F19" s="62"/>
      <c r="G19" s="76" t="s">
        <v>50</v>
      </c>
      <c r="H19" s="200"/>
      <c r="I19" s="200"/>
      <c r="J19" s="200"/>
      <c r="L19" s="6">
        <v>1102</v>
      </c>
      <c r="Q19" s="4"/>
      <c r="R19" s="5">
        <f t="shared" si="0"/>
        <v>0</v>
      </c>
    </row>
    <row r="20" spans="1:18" ht="15.75" x14ac:dyDescent="0.25">
      <c r="A20" s="189"/>
      <c r="B20" s="97" t="s">
        <v>139</v>
      </c>
      <c r="C20" s="53"/>
      <c r="D20" s="16">
        <f t="shared" si="1"/>
        <v>0</v>
      </c>
      <c r="E20" s="9"/>
      <c r="F20" s="63"/>
      <c r="G20" s="78" t="s">
        <v>124</v>
      </c>
      <c r="H20" s="227"/>
      <c r="I20" s="227"/>
      <c r="J20" s="227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89"/>
      <c r="B21" s="17" t="s">
        <v>138</v>
      </c>
      <c r="C21" s="53"/>
      <c r="D21" s="52">
        <f t="shared" si="1"/>
        <v>0</v>
      </c>
      <c r="E21" s="9"/>
      <c r="F21" s="77" t="s">
        <v>99</v>
      </c>
      <c r="G21" s="92" t="s">
        <v>98</v>
      </c>
      <c r="H21" s="246" t="s">
        <v>13</v>
      </c>
      <c r="I21" s="247"/>
      <c r="J21" s="248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89"/>
      <c r="B22" s="50" t="s">
        <v>110</v>
      </c>
      <c r="C22" s="53"/>
      <c r="D22" s="52">
        <f t="shared" si="1"/>
        <v>0</v>
      </c>
      <c r="E22" s="9"/>
      <c r="F22" s="85"/>
      <c r="G22" s="81"/>
      <c r="H22" s="249"/>
      <c r="I22" s="249"/>
      <c r="J22" s="249"/>
      <c r="L22" s="7">
        <v>1142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89"/>
      <c r="B23" s="17" t="s">
        <v>125</v>
      </c>
      <c r="C23" s="53"/>
      <c r="D23" s="52">
        <f t="shared" si="1"/>
        <v>0</v>
      </c>
      <c r="E23" s="9"/>
      <c r="F23" s="85"/>
      <c r="G23" s="87"/>
      <c r="H23" s="250"/>
      <c r="I23" s="251"/>
      <c r="J23" s="251"/>
      <c r="L23" s="51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89"/>
      <c r="B24" s="17" t="s">
        <v>126</v>
      </c>
      <c r="C24" s="53"/>
      <c r="D24" s="52">
        <f t="shared" si="1"/>
        <v>0</v>
      </c>
      <c r="E24" s="9"/>
      <c r="F24" s="85"/>
      <c r="G24" s="87"/>
      <c r="H24" s="250"/>
      <c r="I24" s="251"/>
      <c r="J24" s="251"/>
      <c r="L24" s="51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89"/>
      <c r="B25" s="17" t="s">
        <v>121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52" t="s">
        <v>13</v>
      </c>
      <c r="I25" s="253"/>
      <c r="J25" s="254"/>
      <c r="L25" s="51">
        <f>852/24+1.5</f>
        <v>37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89"/>
      <c r="B26" s="17" t="s">
        <v>112</v>
      </c>
      <c r="C26" s="53"/>
      <c r="D26" s="52">
        <f t="shared" si="1"/>
        <v>0</v>
      </c>
      <c r="E26" s="9"/>
      <c r="F26" s="83" t="s">
        <v>152</v>
      </c>
      <c r="G26" s="73">
        <v>2023</v>
      </c>
      <c r="H26" s="255">
        <v>49305</v>
      </c>
      <c r="I26" s="255"/>
      <c r="J26" s="255"/>
      <c r="L26" s="7">
        <f>500/24+1.5</f>
        <v>22.333333333333332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89"/>
      <c r="B27" s="17" t="s">
        <v>120</v>
      </c>
      <c r="C27" s="53"/>
      <c r="D27" s="48">
        <f t="shared" si="1"/>
        <v>0</v>
      </c>
      <c r="E27" s="9"/>
      <c r="F27" s="79"/>
      <c r="G27" s="135"/>
      <c r="H27" s="256"/>
      <c r="I27" s="257"/>
      <c r="J27" s="257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90"/>
      <c r="B28" s="50" t="s">
        <v>97</v>
      </c>
      <c r="C28" s="53"/>
      <c r="D28" s="52">
        <f t="shared" si="1"/>
        <v>0</v>
      </c>
      <c r="E28" s="9"/>
      <c r="F28" s="60"/>
      <c r="G28" s="68"/>
      <c r="H28" s="258"/>
      <c r="I28" s="259"/>
      <c r="J28" s="260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28" t="s">
        <v>36</v>
      </c>
      <c r="B29" s="229"/>
      <c r="C29" s="230"/>
      <c r="D29" s="234">
        <f>SUM(D6:D28)</f>
        <v>849400</v>
      </c>
      <c r="E29" s="9"/>
      <c r="F29" s="236" t="s">
        <v>55</v>
      </c>
      <c r="G29" s="237"/>
      <c r="H29" s="240">
        <f>H15-H16-H17-H18-H19-H20-H22-H23-H24+H26+H27+H28</f>
        <v>717243</v>
      </c>
      <c r="I29" s="241"/>
      <c r="J29" s="242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231"/>
      <c r="B30" s="232"/>
      <c r="C30" s="233"/>
      <c r="D30" s="235"/>
      <c r="E30" s="9"/>
      <c r="F30" s="238"/>
      <c r="G30" s="239"/>
      <c r="H30" s="243"/>
      <c r="I30" s="244"/>
      <c r="J30" s="245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5" t="s">
        <v>58</v>
      </c>
      <c r="B32" s="176"/>
      <c r="C32" s="176"/>
      <c r="D32" s="177"/>
      <c r="E32" s="11"/>
      <c r="F32" s="261" t="s">
        <v>59</v>
      </c>
      <c r="G32" s="262"/>
      <c r="H32" s="262"/>
      <c r="I32" s="262"/>
      <c r="J32" s="263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33" t="s">
        <v>63</v>
      </c>
      <c r="H33" s="261" t="s">
        <v>13</v>
      </c>
      <c r="I33" s="262"/>
      <c r="J33" s="263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88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44">
        <v>76</v>
      </c>
      <c r="H34" s="264">
        <f t="shared" ref="H34:H39" si="2">F34*G34</f>
        <v>76000</v>
      </c>
      <c r="I34" s="265"/>
      <c r="J34" s="266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89"/>
      <c r="B35" s="30" t="s">
        <v>68</v>
      </c>
      <c r="C35" s="57">
        <v>1</v>
      </c>
      <c r="D35" s="33">
        <f>C35*84</f>
        <v>84</v>
      </c>
      <c r="E35" s="9"/>
      <c r="F35" s="64">
        <v>500</v>
      </c>
      <c r="G35" s="45">
        <v>33</v>
      </c>
      <c r="H35" s="264">
        <f t="shared" si="2"/>
        <v>16500</v>
      </c>
      <c r="I35" s="265"/>
      <c r="J35" s="266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90"/>
      <c r="B36" s="29" t="s">
        <v>70</v>
      </c>
      <c r="C36" s="53">
        <v>21</v>
      </c>
      <c r="D36" s="15">
        <f>C36*1.5</f>
        <v>31.5</v>
      </c>
      <c r="E36" s="9"/>
      <c r="F36" s="15">
        <v>200</v>
      </c>
      <c r="G36" s="41"/>
      <c r="H36" s="264">
        <f t="shared" si="2"/>
        <v>0</v>
      </c>
      <c r="I36" s="265"/>
      <c r="J36" s="266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88" t="s">
        <v>72</v>
      </c>
      <c r="B37" s="31" t="s">
        <v>66</v>
      </c>
      <c r="C37" s="58">
        <v>1460</v>
      </c>
      <c r="D37" s="15">
        <f>C37*111</f>
        <v>162060</v>
      </c>
      <c r="E37" s="9"/>
      <c r="F37" s="15">
        <v>100</v>
      </c>
      <c r="G37" s="43">
        <v>16</v>
      </c>
      <c r="H37" s="264">
        <f t="shared" si="2"/>
        <v>1600</v>
      </c>
      <c r="I37" s="265"/>
      <c r="J37" s="266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89"/>
      <c r="B38" s="32" t="s">
        <v>68</v>
      </c>
      <c r="C38" s="59">
        <v>41</v>
      </c>
      <c r="D38" s="15">
        <f>C38*84</f>
        <v>3444</v>
      </c>
      <c r="E38" s="9"/>
      <c r="F38" s="33">
        <v>50</v>
      </c>
      <c r="G38" s="43">
        <v>10</v>
      </c>
      <c r="H38" s="264">
        <f t="shared" si="2"/>
        <v>500</v>
      </c>
      <c r="I38" s="265"/>
      <c r="J38" s="266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90"/>
      <c r="B39" s="32" t="s">
        <v>70</v>
      </c>
      <c r="C39" s="57">
        <v>7</v>
      </c>
      <c r="D39" s="34">
        <f>C39*4.5</f>
        <v>31.5</v>
      </c>
      <c r="E39" s="9"/>
      <c r="F39" s="15">
        <v>20</v>
      </c>
      <c r="G39" s="41"/>
      <c r="H39" s="264">
        <f t="shared" si="2"/>
        <v>0</v>
      </c>
      <c r="I39" s="265"/>
      <c r="J39" s="266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88" t="s">
        <v>76</v>
      </c>
      <c r="B40" s="30" t="s">
        <v>66</v>
      </c>
      <c r="C40" s="70">
        <v>10</v>
      </c>
      <c r="D40" s="15">
        <f>C40*111</f>
        <v>1110</v>
      </c>
      <c r="E40" s="9"/>
      <c r="F40" s="15">
        <v>10</v>
      </c>
      <c r="G40" s="46"/>
      <c r="H40" s="264"/>
      <c r="I40" s="265"/>
      <c r="J40" s="266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89"/>
      <c r="B41" s="30" t="s">
        <v>68</v>
      </c>
      <c r="C41" s="53">
        <v>4</v>
      </c>
      <c r="D41" s="15">
        <f>C41*84</f>
        <v>336</v>
      </c>
      <c r="E41" s="9"/>
      <c r="F41" s="15">
        <v>5</v>
      </c>
      <c r="G41" s="46"/>
      <c r="H41" s="264"/>
      <c r="I41" s="265"/>
      <c r="J41" s="266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90"/>
      <c r="B42" s="30" t="s">
        <v>70</v>
      </c>
      <c r="C42" s="71">
        <v>6</v>
      </c>
      <c r="D42" s="15">
        <f>C42*2.25</f>
        <v>13.5</v>
      </c>
      <c r="E42" s="9"/>
      <c r="F42" s="43" t="s">
        <v>79</v>
      </c>
      <c r="G42" s="264">
        <v>15</v>
      </c>
      <c r="H42" s="265"/>
      <c r="I42" s="265"/>
      <c r="J42" s="266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67" t="s">
        <v>81</v>
      </c>
      <c r="C43" s="71"/>
      <c r="D43" s="15"/>
      <c r="E43" s="9"/>
      <c r="F43" s="65" t="s">
        <v>82</v>
      </c>
      <c r="G43" s="135" t="s">
        <v>83</v>
      </c>
      <c r="H43" s="270" t="s">
        <v>13</v>
      </c>
      <c r="I43" s="271"/>
      <c r="J43" s="272"/>
      <c r="K43" s="24"/>
      <c r="O43" t="s">
        <v>103</v>
      </c>
      <c r="P43" s="4">
        <v>1667</v>
      </c>
      <c r="Q43" s="4"/>
      <c r="R43" s="5"/>
    </row>
    <row r="44" spans="1:18" ht="15.75" x14ac:dyDescent="0.25">
      <c r="A44" s="268"/>
      <c r="B44" s="30" t="s">
        <v>66</v>
      </c>
      <c r="C44" s="53">
        <v>20</v>
      </c>
      <c r="D44" s="15">
        <f>C44*120</f>
        <v>2400</v>
      </c>
      <c r="E44" s="9"/>
      <c r="F44" s="41" t="s">
        <v>148</v>
      </c>
      <c r="G44" s="69" t="s">
        <v>189</v>
      </c>
      <c r="H44" s="255">
        <v>123948.5</v>
      </c>
      <c r="I44" s="255"/>
      <c r="J44" s="255"/>
      <c r="K44" s="24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268"/>
      <c r="B45" s="30" t="s">
        <v>68</v>
      </c>
      <c r="C45" s="90">
        <v>9</v>
      </c>
      <c r="D45" s="15">
        <f>C45*84</f>
        <v>756</v>
      </c>
      <c r="E45" s="9"/>
      <c r="F45" s="41" t="s">
        <v>148</v>
      </c>
      <c r="G45" s="69" t="s">
        <v>190</v>
      </c>
      <c r="H45" s="255">
        <v>498788</v>
      </c>
      <c r="I45" s="255"/>
      <c r="J45" s="255"/>
      <c r="K45" s="24"/>
      <c r="P45" s="4"/>
      <c r="Q45" s="4"/>
      <c r="R45" s="5"/>
    </row>
    <row r="46" spans="1:18" ht="15.75" x14ac:dyDescent="0.25">
      <c r="A46" s="268"/>
      <c r="B46" s="54" t="s">
        <v>70</v>
      </c>
      <c r="C46" s="91">
        <v>33</v>
      </c>
      <c r="D46" s="15">
        <f>C46*1.5</f>
        <v>49.5</v>
      </c>
      <c r="E46" s="9"/>
      <c r="F46" s="41"/>
      <c r="G46" s="69"/>
      <c r="H46" s="255"/>
      <c r="I46" s="255"/>
      <c r="J46" s="255"/>
      <c r="K46" s="24"/>
      <c r="P46" s="4"/>
      <c r="Q46" s="4"/>
      <c r="R46" s="5"/>
    </row>
    <row r="47" spans="1:18" ht="15.75" x14ac:dyDescent="0.25">
      <c r="A47" s="269"/>
      <c r="B47" s="30"/>
      <c r="C47" s="71"/>
      <c r="D47" s="15"/>
      <c r="E47" s="9"/>
      <c r="F47" s="65"/>
      <c r="G47" s="65"/>
      <c r="H47" s="273"/>
      <c r="I47" s="274"/>
      <c r="J47" s="275"/>
      <c r="K47" s="24"/>
      <c r="P47" s="4"/>
      <c r="Q47" s="4"/>
      <c r="R47" s="5"/>
    </row>
    <row r="48" spans="1:18" ht="15" customHeight="1" x14ac:dyDescent="0.25">
      <c r="A48" s="267" t="s">
        <v>32</v>
      </c>
      <c r="B48" s="30" t="s">
        <v>66</v>
      </c>
      <c r="C48" s="53">
        <v>4</v>
      </c>
      <c r="D48" s="15">
        <f>C48*78</f>
        <v>312</v>
      </c>
      <c r="E48" s="9"/>
      <c r="F48" s="65"/>
      <c r="G48" s="65"/>
      <c r="H48" s="273"/>
      <c r="I48" s="274"/>
      <c r="J48" s="275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68"/>
      <c r="B49" s="32" t="s">
        <v>68</v>
      </c>
      <c r="C49" s="90">
        <v>11</v>
      </c>
      <c r="D49" s="15">
        <f>C49*42</f>
        <v>462</v>
      </c>
      <c r="E49" s="9"/>
      <c r="F49" s="288" t="s">
        <v>86</v>
      </c>
      <c r="G49" s="240">
        <f>H34+H35+H36+H37+H38+H39+H40+H41+G42+H44+H45+H46</f>
        <v>717351.5</v>
      </c>
      <c r="H49" s="241"/>
      <c r="I49" s="241"/>
      <c r="J49" s="242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68"/>
      <c r="B50" s="35" t="s">
        <v>70</v>
      </c>
      <c r="C50" s="71">
        <v>34</v>
      </c>
      <c r="D50" s="15">
        <f>C50*1.5</f>
        <v>51</v>
      </c>
      <c r="E50" s="9"/>
      <c r="F50" s="289"/>
      <c r="G50" s="243"/>
      <c r="H50" s="244"/>
      <c r="I50" s="244"/>
      <c r="J50" s="245"/>
      <c r="K50" s="9"/>
      <c r="P50" s="4"/>
      <c r="Q50" s="4"/>
      <c r="R50" s="5"/>
    </row>
    <row r="51" spans="1:18" ht="15" customHeight="1" x14ac:dyDescent="0.25">
      <c r="A51" s="268"/>
      <c r="B51" s="30"/>
      <c r="C51" s="13"/>
      <c r="D51" s="34"/>
      <c r="E51" s="9"/>
      <c r="F51" s="290" t="s">
        <v>147</v>
      </c>
      <c r="G51" s="320">
        <f>G49-H29</f>
        <v>108.5</v>
      </c>
      <c r="H51" s="321"/>
      <c r="I51" s="321"/>
      <c r="J51" s="322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68"/>
      <c r="B52" s="32"/>
      <c r="C52" s="36"/>
      <c r="D52" s="49"/>
      <c r="E52" s="9"/>
      <c r="F52" s="291"/>
      <c r="G52" s="323"/>
      <c r="H52" s="324"/>
      <c r="I52" s="324"/>
      <c r="J52" s="325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69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236" t="s">
        <v>90</v>
      </c>
      <c r="B54" s="276"/>
      <c r="C54" s="277"/>
      <c r="D54" s="280">
        <f>SUM(D34:D53)</f>
        <v>171141</v>
      </c>
      <c r="E54" s="9"/>
      <c r="F54" s="24"/>
      <c r="G54" s="9"/>
      <c r="H54" s="9"/>
      <c r="I54" s="9"/>
      <c r="J54" s="37"/>
      <c r="O54" t="s">
        <v>102</v>
      </c>
      <c r="P54" s="4">
        <v>1582</v>
      </c>
      <c r="R54" s="3">
        <v>1582</v>
      </c>
    </row>
    <row r="55" spans="1:18" x14ac:dyDescent="0.25">
      <c r="A55" s="238"/>
      <c r="B55" s="278"/>
      <c r="C55" s="279"/>
      <c r="D55" s="281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129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282" t="s">
        <v>91</v>
      </c>
      <c r="B58" s="283"/>
      <c r="C58" s="283"/>
      <c r="D58" s="284"/>
      <c r="E58" s="9"/>
      <c r="F58" s="282" t="s">
        <v>92</v>
      </c>
      <c r="G58" s="283"/>
      <c r="H58" s="283"/>
      <c r="I58" s="283"/>
      <c r="J58" s="284"/>
    </row>
    <row r="59" spans="1:18" x14ac:dyDescent="0.25">
      <c r="A59" s="285"/>
      <c r="B59" s="286"/>
      <c r="C59" s="286"/>
      <c r="D59" s="287"/>
      <c r="E59" s="9"/>
      <c r="F59" s="285"/>
      <c r="G59" s="286"/>
      <c r="H59" s="286"/>
      <c r="I59" s="286"/>
      <c r="J59" s="287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FA201-CC62-41C8-8E33-8830768140A5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174" t="s">
        <v>1</v>
      </c>
      <c r="O1" s="174"/>
      <c r="P1" s="132" t="s">
        <v>2</v>
      </c>
      <c r="Q1" s="132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75" t="s">
        <v>7</v>
      </c>
      <c r="B4" s="176"/>
      <c r="C4" s="176"/>
      <c r="D4" s="177"/>
      <c r="E4" s="9"/>
      <c r="F4" s="178" t="s">
        <v>8</v>
      </c>
      <c r="G4" s="180">
        <v>2</v>
      </c>
      <c r="H4" s="182" t="s">
        <v>9</v>
      </c>
      <c r="I4" s="184">
        <v>45793</v>
      </c>
      <c r="J4" s="185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88" t="s">
        <v>7</v>
      </c>
      <c r="B5" s="18" t="s">
        <v>11</v>
      </c>
      <c r="C5" s="12" t="s">
        <v>12</v>
      </c>
      <c r="D5" s="28" t="s">
        <v>13</v>
      </c>
      <c r="E5" s="9"/>
      <c r="F5" s="179"/>
      <c r="G5" s="181"/>
      <c r="H5" s="183"/>
      <c r="I5" s="186"/>
      <c r="J5" s="187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89"/>
      <c r="B6" s="19" t="s">
        <v>15</v>
      </c>
      <c r="C6" s="53">
        <v>527</v>
      </c>
      <c r="D6" s="16">
        <f t="shared" ref="D6:D28" si="1">C6*L6</f>
        <v>388399</v>
      </c>
      <c r="E6" s="9"/>
      <c r="F6" s="191" t="s">
        <v>16</v>
      </c>
      <c r="G6" s="193" t="s">
        <v>127</v>
      </c>
      <c r="H6" s="194"/>
      <c r="I6" s="194"/>
      <c r="J6" s="195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89"/>
      <c r="B7" s="19" t="s">
        <v>18</v>
      </c>
      <c r="C7" s="53">
        <v>3</v>
      </c>
      <c r="D7" s="16">
        <f t="shared" si="1"/>
        <v>2175</v>
      </c>
      <c r="E7" s="9"/>
      <c r="F7" s="192"/>
      <c r="G7" s="196"/>
      <c r="H7" s="197"/>
      <c r="I7" s="197"/>
      <c r="J7" s="198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189"/>
      <c r="B8" s="19" t="s">
        <v>20</v>
      </c>
      <c r="C8" s="53"/>
      <c r="D8" s="16">
        <f t="shared" si="1"/>
        <v>0</v>
      </c>
      <c r="E8" s="9"/>
      <c r="F8" s="199" t="s">
        <v>21</v>
      </c>
      <c r="G8" s="201" t="s">
        <v>115</v>
      </c>
      <c r="H8" s="202"/>
      <c r="I8" s="202"/>
      <c r="J8" s="203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189"/>
      <c r="B9" s="19" t="s">
        <v>23</v>
      </c>
      <c r="C9" s="53">
        <v>112</v>
      </c>
      <c r="D9" s="16">
        <f t="shared" si="1"/>
        <v>79184</v>
      </c>
      <c r="E9" s="9"/>
      <c r="F9" s="192"/>
      <c r="G9" s="204"/>
      <c r="H9" s="205"/>
      <c r="I9" s="205"/>
      <c r="J9" s="206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189"/>
      <c r="B10" s="11" t="s">
        <v>25</v>
      </c>
      <c r="C10" s="53"/>
      <c r="D10" s="16">
        <f t="shared" si="1"/>
        <v>0</v>
      </c>
      <c r="E10" s="9"/>
      <c r="F10" s="191" t="s">
        <v>26</v>
      </c>
      <c r="G10" s="207" t="s">
        <v>116</v>
      </c>
      <c r="H10" s="208"/>
      <c r="I10" s="208"/>
      <c r="J10" s="209"/>
      <c r="K10" s="10"/>
      <c r="L10" s="6">
        <f>R36</f>
        <v>972</v>
      </c>
      <c r="P10" s="4"/>
      <c r="Q10" s="4"/>
      <c r="R10" s="5"/>
    </row>
    <row r="11" spans="1:18" ht="15.75" x14ac:dyDescent="0.25">
      <c r="A11" s="189"/>
      <c r="B11" s="20" t="s">
        <v>28</v>
      </c>
      <c r="C11" s="53"/>
      <c r="D11" s="16">
        <f t="shared" si="1"/>
        <v>0</v>
      </c>
      <c r="E11" s="9"/>
      <c r="F11" s="192"/>
      <c r="G11" s="204"/>
      <c r="H11" s="205"/>
      <c r="I11" s="205"/>
      <c r="J11" s="206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89"/>
      <c r="B12" s="20" t="s">
        <v>30</v>
      </c>
      <c r="C12" s="53"/>
      <c r="D12" s="52">
        <f t="shared" si="1"/>
        <v>0</v>
      </c>
      <c r="E12" s="9"/>
      <c r="F12" s="210" t="s">
        <v>33</v>
      </c>
      <c r="G12" s="211"/>
      <c r="H12" s="211"/>
      <c r="I12" s="211"/>
      <c r="J12" s="212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89"/>
      <c r="B13" s="20" t="s">
        <v>32</v>
      </c>
      <c r="C13" s="53">
        <v>25</v>
      </c>
      <c r="D13" s="52">
        <f t="shared" si="1"/>
        <v>7675</v>
      </c>
      <c r="E13" s="9"/>
      <c r="F13" s="213" t="s">
        <v>36</v>
      </c>
      <c r="G13" s="214"/>
      <c r="H13" s="215">
        <f>D29</f>
        <v>479146</v>
      </c>
      <c r="I13" s="216"/>
      <c r="J13" s="217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89"/>
      <c r="B14" s="17" t="s">
        <v>35</v>
      </c>
      <c r="C14" s="53">
        <v>13</v>
      </c>
      <c r="D14" s="34">
        <f t="shared" si="1"/>
        <v>143</v>
      </c>
      <c r="E14" s="9"/>
      <c r="F14" s="218" t="s">
        <v>39</v>
      </c>
      <c r="G14" s="219"/>
      <c r="H14" s="220">
        <f>D54</f>
        <v>84018</v>
      </c>
      <c r="I14" s="221"/>
      <c r="J14" s="222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89"/>
      <c r="B15" s="17" t="s">
        <v>38</v>
      </c>
      <c r="C15" s="53"/>
      <c r="D15" s="34">
        <f t="shared" si="1"/>
        <v>0</v>
      </c>
      <c r="E15" s="9"/>
      <c r="F15" s="223" t="s">
        <v>40</v>
      </c>
      <c r="G15" s="214"/>
      <c r="H15" s="224">
        <f>H13-H14</f>
        <v>395128</v>
      </c>
      <c r="I15" s="225"/>
      <c r="J15" s="226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89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227">
        <f>5193</f>
        <v>5193</v>
      </c>
      <c r="I16" s="227"/>
      <c r="J16" s="22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89"/>
      <c r="B17" s="11" t="s">
        <v>93</v>
      </c>
      <c r="C17" s="53"/>
      <c r="D17" s="52">
        <f t="shared" si="1"/>
        <v>0</v>
      </c>
      <c r="E17" s="9"/>
      <c r="F17" s="62"/>
      <c r="G17" s="74" t="s">
        <v>45</v>
      </c>
      <c r="H17" s="200"/>
      <c r="I17" s="200"/>
      <c r="J17" s="200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89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200"/>
      <c r="I18" s="200"/>
      <c r="J18" s="200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89"/>
      <c r="B19" s="17" t="s">
        <v>96</v>
      </c>
      <c r="C19" s="53"/>
      <c r="D19" s="52">
        <f t="shared" si="1"/>
        <v>0</v>
      </c>
      <c r="E19" s="9"/>
      <c r="F19" s="62"/>
      <c r="G19" s="76" t="s">
        <v>50</v>
      </c>
      <c r="H19" s="298"/>
      <c r="I19" s="298"/>
      <c r="J19" s="298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89"/>
      <c r="B20" s="50" t="s">
        <v>131</v>
      </c>
      <c r="C20" s="53"/>
      <c r="D20" s="16">
        <f t="shared" si="1"/>
        <v>0</v>
      </c>
      <c r="E20" s="9"/>
      <c r="F20" s="63"/>
      <c r="G20" s="78" t="s">
        <v>124</v>
      </c>
      <c r="H20" s="200"/>
      <c r="I20" s="200"/>
      <c r="J20" s="200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89"/>
      <c r="B21" s="17" t="s">
        <v>130</v>
      </c>
      <c r="C21" s="53"/>
      <c r="D21" s="52">
        <f t="shared" si="1"/>
        <v>0</v>
      </c>
      <c r="E21" s="9"/>
      <c r="F21" s="77" t="s">
        <v>99</v>
      </c>
      <c r="G21" s="92" t="s">
        <v>98</v>
      </c>
      <c r="H21" s="246" t="s">
        <v>13</v>
      </c>
      <c r="I21" s="247"/>
      <c r="J21" s="248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89"/>
      <c r="B22" s="50" t="s">
        <v>104</v>
      </c>
      <c r="C22" s="53"/>
      <c r="D22" s="52">
        <f t="shared" si="1"/>
        <v>0</v>
      </c>
      <c r="E22" s="9"/>
      <c r="F22" s="80"/>
      <c r="G22" s="81"/>
      <c r="H22" s="249"/>
      <c r="I22" s="249"/>
      <c r="J22" s="249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89"/>
      <c r="B23" s="17" t="s">
        <v>107</v>
      </c>
      <c r="C23" s="53"/>
      <c r="D23" s="52">
        <f t="shared" si="1"/>
        <v>0</v>
      </c>
      <c r="E23" s="9"/>
      <c r="F23" s="28"/>
      <c r="G23" s="41"/>
      <c r="H23" s="299"/>
      <c r="I23" s="255"/>
      <c r="J23" s="255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89"/>
      <c r="B24" s="17" t="s">
        <v>133</v>
      </c>
      <c r="C24" s="53"/>
      <c r="D24" s="52">
        <f t="shared" si="1"/>
        <v>0</v>
      </c>
      <c r="E24" s="9"/>
      <c r="F24" s="42"/>
      <c r="G24" s="41"/>
      <c r="H24" s="299"/>
      <c r="I24" s="255"/>
      <c r="J24" s="255"/>
      <c r="L24" s="51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89"/>
      <c r="B25" s="17" t="s">
        <v>134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52" t="s">
        <v>13</v>
      </c>
      <c r="I25" s="253"/>
      <c r="J25" s="254"/>
      <c r="L25" s="51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89"/>
      <c r="B26" s="17" t="s">
        <v>105</v>
      </c>
      <c r="C26" s="53"/>
      <c r="D26" s="52">
        <f t="shared" si="1"/>
        <v>0</v>
      </c>
      <c r="E26" s="9"/>
      <c r="F26" s="72"/>
      <c r="G26" s="13"/>
      <c r="H26" s="300"/>
      <c r="I26" s="301"/>
      <c r="J26" s="302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89"/>
      <c r="B27" s="17" t="s">
        <v>109</v>
      </c>
      <c r="C27" s="53"/>
      <c r="D27" s="48">
        <f t="shared" si="1"/>
        <v>0</v>
      </c>
      <c r="E27" s="9"/>
      <c r="F27" s="67"/>
      <c r="G27" s="67"/>
      <c r="H27" s="303"/>
      <c r="I27" s="304"/>
      <c r="J27" s="305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90"/>
      <c r="B28" s="50" t="s">
        <v>97</v>
      </c>
      <c r="C28" s="53">
        <v>2</v>
      </c>
      <c r="D28" s="52">
        <f t="shared" si="1"/>
        <v>1570</v>
      </c>
      <c r="E28" s="9"/>
      <c r="F28" s="60"/>
      <c r="G28" s="68"/>
      <c r="H28" s="258"/>
      <c r="I28" s="259"/>
      <c r="J28" s="260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28" t="s">
        <v>36</v>
      </c>
      <c r="B29" s="229"/>
      <c r="C29" s="230"/>
      <c r="D29" s="234">
        <f>SUM(D6:D28)</f>
        <v>479146</v>
      </c>
      <c r="E29" s="9"/>
      <c r="F29" s="236" t="s">
        <v>55</v>
      </c>
      <c r="G29" s="237"/>
      <c r="H29" s="240">
        <f>H15-H16-H17-H18-H19-H20-H22-H23-H24+H26+H27</f>
        <v>389935</v>
      </c>
      <c r="I29" s="241"/>
      <c r="J29" s="242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231"/>
      <c r="B30" s="232"/>
      <c r="C30" s="233"/>
      <c r="D30" s="235"/>
      <c r="E30" s="9"/>
      <c r="F30" s="238"/>
      <c r="G30" s="239"/>
      <c r="H30" s="243"/>
      <c r="I30" s="244"/>
      <c r="J30" s="245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5" t="s">
        <v>58</v>
      </c>
      <c r="B32" s="176"/>
      <c r="C32" s="176"/>
      <c r="D32" s="177"/>
      <c r="E32" s="11"/>
      <c r="F32" s="261" t="s">
        <v>59</v>
      </c>
      <c r="G32" s="262"/>
      <c r="H32" s="262"/>
      <c r="I32" s="262"/>
      <c r="J32" s="263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33" t="s">
        <v>63</v>
      </c>
      <c r="H33" s="261" t="s">
        <v>13</v>
      </c>
      <c r="I33" s="262"/>
      <c r="J33" s="263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88" t="s">
        <v>65</v>
      </c>
      <c r="B34" s="29" t="s">
        <v>66</v>
      </c>
      <c r="C34" s="56">
        <v>3</v>
      </c>
      <c r="D34" s="33">
        <f>C34*120</f>
        <v>360</v>
      </c>
      <c r="E34" s="9"/>
      <c r="F34" s="15">
        <v>1000</v>
      </c>
      <c r="G34" s="82">
        <v>41</v>
      </c>
      <c r="H34" s="264">
        <f>F34*G34</f>
        <v>41000</v>
      </c>
      <c r="I34" s="265"/>
      <c r="J34" s="266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89"/>
      <c r="B35" s="30" t="s">
        <v>68</v>
      </c>
      <c r="C35" s="57"/>
      <c r="D35" s="33">
        <f>C35*84</f>
        <v>0</v>
      </c>
      <c r="E35" s="9"/>
      <c r="F35" s="64">
        <v>500</v>
      </c>
      <c r="G35" s="45">
        <v>6</v>
      </c>
      <c r="H35" s="264">
        <f t="shared" ref="H35:H39" si="2">F35*G35</f>
        <v>3000</v>
      </c>
      <c r="I35" s="265"/>
      <c r="J35" s="266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90"/>
      <c r="B36" s="29" t="s">
        <v>70</v>
      </c>
      <c r="C36" s="53"/>
      <c r="D36" s="15">
        <f>C36*1.5</f>
        <v>0</v>
      </c>
      <c r="E36" s="9"/>
      <c r="F36" s="15">
        <v>200</v>
      </c>
      <c r="G36" s="41">
        <v>1</v>
      </c>
      <c r="H36" s="264">
        <f t="shared" si="2"/>
        <v>200</v>
      </c>
      <c r="I36" s="265"/>
      <c r="J36" s="266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88" t="s">
        <v>72</v>
      </c>
      <c r="B37" s="31" t="s">
        <v>66</v>
      </c>
      <c r="C37" s="58">
        <v>742</v>
      </c>
      <c r="D37" s="15">
        <f>C37*111</f>
        <v>82362</v>
      </c>
      <c r="E37" s="9"/>
      <c r="F37" s="15">
        <v>100</v>
      </c>
      <c r="G37" s="43">
        <v>50</v>
      </c>
      <c r="H37" s="264">
        <f t="shared" si="2"/>
        <v>5000</v>
      </c>
      <c r="I37" s="265"/>
      <c r="J37" s="266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89"/>
      <c r="B38" s="32" t="s">
        <v>68</v>
      </c>
      <c r="C38" s="59">
        <v>1</v>
      </c>
      <c r="D38" s="15">
        <f>C38*84</f>
        <v>84</v>
      </c>
      <c r="E38" s="9"/>
      <c r="F38" s="33">
        <v>50</v>
      </c>
      <c r="G38" s="43">
        <v>112</v>
      </c>
      <c r="H38" s="264">
        <f t="shared" si="2"/>
        <v>5600</v>
      </c>
      <c r="I38" s="265"/>
      <c r="J38" s="266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90"/>
      <c r="B39" s="32" t="s">
        <v>70</v>
      </c>
      <c r="C39" s="57">
        <v>3</v>
      </c>
      <c r="D39" s="34">
        <f>C39*4.5</f>
        <v>13.5</v>
      </c>
      <c r="E39" s="9"/>
      <c r="F39" s="15">
        <v>20</v>
      </c>
      <c r="G39" s="41">
        <v>4</v>
      </c>
      <c r="H39" s="264">
        <f t="shared" si="2"/>
        <v>80</v>
      </c>
      <c r="I39" s="265"/>
      <c r="J39" s="266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88" t="s">
        <v>76</v>
      </c>
      <c r="B40" s="30" t="s">
        <v>66</v>
      </c>
      <c r="C40" s="70">
        <v>4</v>
      </c>
      <c r="D40" s="15">
        <f>C40*111</f>
        <v>444</v>
      </c>
      <c r="E40" s="9"/>
      <c r="F40" s="15">
        <v>10</v>
      </c>
      <c r="G40" s="46"/>
      <c r="H40" s="264"/>
      <c r="I40" s="265"/>
      <c r="J40" s="266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89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264"/>
      <c r="I41" s="265"/>
      <c r="J41" s="266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90"/>
      <c r="B42" s="30" t="s">
        <v>70</v>
      </c>
      <c r="C42" s="71">
        <v>8</v>
      </c>
      <c r="D42" s="15">
        <f>C42*2.25</f>
        <v>18</v>
      </c>
      <c r="E42" s="9"/>
      <c r="F42" s="43" t="s">
        <v>79</v>
      </c>
      <c r="G42" s="264">
        <v>243</v>
      </c>
      <c r="H42" s="265"/>
      <c r="I42" s="265"/>
      <c r="J42" s="266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67" t="s">
        <v>81</v>
      </c>
      <c r="C43" s="71"/>
      <c r="D43" s="15"/>
      <c r="E43" s="9"/>
      <c r="F43" s="65" t="s">
        <v>82</v>
      </c>
      <c r="G43" s="135" t="s">
        <v>83</v>
      </c>
      <c r="H43" s="270" t="s">
        <v>13</v>
      </c>
      <c r="I43" s="271"/>
      <c r="J43" s="272"/>
      <c r="K43" s="24"/>
      <c r="P43" s="4"/>
      <c r="Q43" s="4"/>
      <c r="R43" s="5"/>
    </row>
    <row r="44" spans="1:18" ht="15.75" x14ac:dyDescent="0.25">
      <c r="A44" s="268"/>
      <c r="B44" s="30" t="s">
        <v>66</v>
      </c>
      <c r="C44" s="53"/>
      <c r="D44" s="15">
        <f>C44*120</f>
        <v>0</v>
      </c>
      <c r="E44" s="9"/>
      <c r="F44" s="41" t="s">
        <v>148</v>
      </c>
      <c r="G44" s="69" t="s">
        <v>191</v>
      </c>
      <c r="H44" s="255">
        <v>333944</v>
      </c>
      <c r="I44" s="255"/>
      <c r="J44" s="255"/>
      <c r="K44" s="24"/>
      <c r="P44" s="4"/>
      <c r="Q44" s="4"/>
      <c r="R44" s="5"/>
    </row>
    <row r="45" spans="1:18" ht="15.75" x14ac:dyDescent="0.25">
      <c r="A45" s="268"/>
      <c r="B45" s="30" t="s">
        <v>68</v>
      </c>
      <c r="C45" s="90"/>
      <c r="D45" s="15">
        <f>C45*84</f>
        <v>0</v>
      </c>
      <c r="E45" s="9"/>
      <c r="F45" s="41"/>
      <c r="G45" s="69"/>
      <c r="H45" s="255"/>
      <c r="I45" s="255"/>
      <c r="J45" s="255"/>
      <c r="K45" s="24"/>
      <c r="P45" s="4"/>
      <c r="Q45" s="4"/>
      <c r="R45" s="5"/>
    </row>
    <row r="46" spans="1:18" ht="15.75" x14ac:dyDescent="0.25">
      <c r="A46" s="268"/>
      <c r="B46" s="54" t="s">
        <v>70</v>
      </c>
      <c r="C46" s="91"/>
      <c r="D46" s="15">
        <f>C46*1.5</f>
        <v>0</v>
      </c>
      <c r="E46" s="9"/>
      <c r="F46" s="41"/>
      <c r="G46" s="134"/>
      <c r="H46" s="306"/>
      <c r="I46" s="306"/>
      <c r="J46" s="306"/>
      <c r="K46" s="24"/>
      <c r="P46" s="4"/>
      <c r="Q46" s="4"/>
      <c r="R46" s="5"/>
    </row>
    <row r="47" spans="1:18" ht="15.75" x14ac:dyDescent="0.25">
      <c r="A47" s="269"/>
      <c r="B47" s="30"/>
      <c r="C47" s="71"/>
      <c r="D47" s="15"/>
      <c r="E47" s="9"/>
      <c r="F47" s="65"/>
      <c r="G47" s="65"/>
      <c r="H47" s="273"/>
      <c r="I47" s="274"/>
      <c r="J47" s="275"/>
      <c r="K47" s="24"/>
      <c r="P47" s="4"/>
      <c r="Q47" s="4"/>
      <c r="R47" s="5"/>
    </row>
    <row r="48" spans="1:18" ht="15" customHeight="1" x14ac:dyDescent="0.25">
      <c r="A48" s="267" t="s">
        <v>32</v>
      </c>
      <c r="B48" s="30" t="s">
        <v>66</v>
      </c>
      <c r="C48" s="53">
        <v>8</v>
      </c>
      <c r="D48" s="15">
        <f>C48*78</f>
        <v>624</v>
      </c>
      <c r="E48" s="9"/>
      <c r="F48" s="65"/>
      <c r="G48" s="65"/>
      <c r="H48" s="273"/>
      <c r="I48" s="274"/>
      <c r="J48" s="275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68"/>
      <c r="B49" s="32" t="s">
        <v>68</v>
      </c>
      <c r="C49" s="90">
        <v>2</v>
      </c>
      <c r="D49" s="15">
        <f>C49*42</f>
        <v>84</v>
      </c>
      <c r="E49" s="9"/>
      <c r="F49" s="288" t="s">
        <v>86</v>
      </c>
      <c r="G49" s="240">
        <f>H34+H35+H36+H37+H38+H39+H40+H41+G42+H44+H45+H46</f>
        <v>389067</v>
      </c>
      <c r="H49" s="241"/>
      <c r="I49" s="241"/>
      <c r="J49" s="242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68"/>
      <c r="B50" s="35" t="s">
        <v>70</v>
      </c>
      <c r="C50" s="71">
        <v>19</v>
      </c>
      <c r="D50" s="15">
        <f>C50*1.5</f>
        <v>28.5</v>
      </c>
      <c r="E50" s="9"/>
      <c r="F50" s="289"/>
      <c r="G50" s="243"/>
      <c r="H50" s="244"/>
      <c r="I50" s="244"/>
      <c r="J50" s="245"/>
      <c r="K50" s="9"/>
      <c r="P50" s="4"/>
      <c r="Q50" s="4"/>
      <c r="R50" s="5"/>
    </row>
    <row r="51" spans="1:18" ht="15" customHeight="1" x14ac:dyDescent="0.25">
      <c r="A51" s="268"/>
      <c r="B51" s="30"/>
      <c r="C51" s="13"/>
      <c r="D51" s="34"/>
      <c r="E51" s="9"/>
      <c r="F51" s="290" t="s">
        <v>157</v>
      </c>
      <c r="G51" s="314">
        <f>G49-H29</f>
        <v>-868</v>
      </c>
      <c r="H51" s="315"/>
      <c r="I51" s="315"/>
      <c r="J51" s="316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68"/>
      <c r="B52" s="32"/>
      <c r="C52" s="36"/>
      <c r="D52" s="49"/>
      <c r="E52" s="9"/>
      <c r="F52" s="291"/>
      <c r="G52" s="317"/>
      <c r="H52" s="318"/>
      <c r="I52" s="318"/>
      <c r="J52" s="319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69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236" t="s">
        <v>90</v>
      </c>
      <c r="B54" s="276"/>
      <c r="C54" s="277"/>
      <c r="D54" s="280">
        <f>SUM(D34:D53)</f>
        <v>84018</v>
      </c>
      <c r="E54" s="9"/>
      <c r="F54" s="24"/>
      <c r="G54" s="9"/>
      <c r="H54" s="9"/>
      <c r="I54" s="9"/>
      <c r="J54" s="37"/>
    </row>
    <row r="55" spans="1:18" x14ac:dyDescent="0.25">
      <c r="A55" s="238"/>
      <c r="B55" s="278"/>
      <c r="C55" s="279"/>
      <c r="D55" s="281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136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282" t="s">
        <v>91</v>
      </c>
      <c r="B58" s="283"/>
      <c r="C58" s="283"/>
      <c r="D58" s="284"/>
      <c r="E58" s="9"/>
      <c r="F58" s="282" t="s">
        <v>92</v>
      </c>
      <c r="G58" s="283"/>
      <c r="H58" s="283"/>
      <c r="I58" s="283"/>
      <c r="J58" s="284"/>
    </row>
    <row r="59" spans="1:18" x14ac:dyDescent="0.25">
      <c r="A59" s="285"/>
      <c r="B59" s="286"/>
      <c r="C59" s="286"/>
      <c r="D59" s="287"/>
      <c r="E59" s="9"/>
      <c r="F59" s="285"/>
      <c r="G59" s="286"/>
      <c r="H59" s="286"/>
      <c r="I59" s="286"/>
      <c r="J59" s="287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F427A-81F7-47C7-9752-4DAB02FDCEC4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s="8" t="s">
        <v>0</v>
      </c>
      <c r="B1" s="8"/>
      <c r="C1" s="8"/>
      <c r="D1" s="8"/>
      <c r="N1" s="174" t="s">
        <v>1</v>
      </c>
      <c r="O1" s="174"/>
      <c r="P1" s="132" t="s">
        <v>2</v>
      </c>
      <c r="Q1" s="132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75" t="s">
        <v>7</v>
      </c>
      <c r="B4" s="176"/>
      <c r="C4" s="176"/>
      <c r="D4" s="177"/>
      <c r="E4" s="9"/>
      <c r="F4" s="178" t="s">
        <v>8</v>
      </c>
      <c r="G4" s="180">
        <v>3</v>
      </c>
      <c r="H4" s="182" t="s">
        <v>9</v>
      </c>
      <c r="I4" s="184">
        <v>45793</v>
      </c>
      <c r="J4" s="185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88" t="s">
        <v>7</v>
      </c>
      <c r="B5" s="18" t="s">
        <v>11</v>
      </c>
      <c r="C5" s="12" t="s">
        <v>12</v>
      </c>
      <c r="D5" s="28" t="s">
        <v>13</v>
      </c>
      <c r="E5" s="9"/>
      <c r="F5" s="179"/>
      <c r="G5" s="181"/>
      <c r="H5" s="183"/>
      <c r="I5" s="186"/>
      <c r="J5" s="187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89"/>
      <c r="B6" s="19" t="s">
        <v>15</v>
      </c>
      <c r="C6" s="53">
        <v>708</v>
      </c>
      <c r="D6" s="16">
        <f t="shared" ref="D6:D28" si="1">C6*L6</f>
        <v>521796</v>
      </c>
      <c r="E6" s="9"/>
      <c r="F6" s="191" t="s">
        <v>16</v>
      </c>
      <c r="G6" s="193" t="s">
        <v>111</v>
      </c>
      <c r="H6" s="194"/>
      <c r="I6" s="194"/>
      <c r="J6" s="195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89"/>
      <c r="B7" s="19" t="s">
        <v>18</v>
      </c>
      <c r="C7" s="53">
        <v>18</v>
      </c>
      <c r="D7" s="16">
        <f t="shared" si="1"/>
        <v>13050</v>
      </c>
      <c r="E7" s="9"/>
      <c r="F7" s="192"/>
      <c r="G7" s="196"/>
      <c r="H7" s="197"/>
      <c r="I7" s="197"/>
      <c r="J7" s="198"/>
      <c r="K7" s="10"/>
      <c r="L7" s="6">
        <f>R41</f>
        <v>725</v>
      </c>
      <c r="P7" s="4"/>
      <c r="Q7" s="4"/>
      <c r="R7" s="5"/>
    </row>
    <row r="8" spans="1:19" ht="14.45" customHeight="1" x14ac:dyDescent="0.25">
      <c r="A8" s="189"/>
      <c r="B8" s="19" t="s">
        <v>20</v>
      </c>
      <c r="C8" s="53"/>
      <c r="D8" s="16">
        <f t="shared" si="1"/>
        <v>0</v>
      </c>
      <c r="E8" s="9"/>
      <c r="F8" s="199" t="s">
        <v>21</v>
      </c>
      <c r="G8" s="201" t="s">
        <v>122</v>
      </c>
      <c r="H8" s="202"/>
      <c r="I8" s="202"/>
      <c r="J8" s="203"/>
      <c r="K8" s="10"/>
      <c r="L8" s="6">
        <f>R40</f>
        <v>1033</v>
      </c>
      <c r="P8" s="4"/>
      <c r="Q8" s="4"/>
      <c r="R8" s="5"/>
    </row>
    <row r="9" spans="1:19" ht="14.45" customHeight="1" x14ac:dyDescent="0.25">
      <c r="A9" s="189"/>
      <c r="B9" s="19" t="s">
        <v>23</v>
      </c>
      <c r="C9" s="53">
        <v>125</v>
      </c>
      <c r="D9" s="16">
        <f t="shared" si="1"/>
        <v>88375</v>
      </c>
      <c r="E9" s="9"/>
      <c r="F9" s="192"/>
      <c r="G9" s="204"/>
      <c r="H9" s="205"/>
      <c r="I9" s="205"/>
      <c r="J9" s="206"/>
      <c r="K9" s="10"/>
      <c r="L9" s="6">
        <f>R38</f>
        <v>707</v>
      </c>
      <c r="P9" s="4"/>
      <c r="Q9" s="4"/>
      <c r="R9" s="5"/>
    </row>
    <row r="10" spans="1:19" ht="14.45" customHeight="1" x14ac:dyDescent="0.25">
      <c r="A10" s="189"/>
      <c r="B10" s="11" t="s">
        <v>25</v>
      </c>
      <c r="C10" s="53">
        <v>2</v>
      </c>
      <c r="D10" s="16">
        <f t="shared" si="1"/>
        <v>1944</v>
      </c>
      <c r="E10" s="9"/>
      <c r="F10" s="191" t="s">
        <v>26</v>
      </c>
      <c r="G10" s="207" t="s">
        <v>123</v>
      </c>
      <c r="H10" s="208"/>
      <c r="I10" s="208"/>
      <c r="J10" s="209"/>
      <c r="K10" s="10"/>
      <c r="L10" s="6">
        <f>R36</f>
        <v>972</v>
      </c>
      <c r="P10" s="4"/>
      <c r="Q10" s="4"/>
      <c r="R10" s="5"/>
    </row>
    <row r="11" spans="1:19" ht="15.75" x14ac:dyDescent="0.25">
      <c r="A11" s="189"/>
      <c r="B11" s="20" t="s">
        <v>28</v>
      </c>
      <c r="C11" s="53"/>
      <c r="D11" s="16">
        <f t="shared" si="1"/>
        <v>0</v>
      </c>
      <c r="E11" s="9"/>
      <c r="F11" s="192"/>
      <c r="G11" s="204"/>
      <c r="H11" s="205"/>
      <c r="I11" s="205"/>
      <c r="J11" s="206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89"/>
      <c r="B12" s="20" t="s">
        <v>30</v>
      </c>
      <c r="C12" s="53">
        <v>1</v>
      </c>
      <c r="D12" s="52">
        <f t="shared" si="1"/>
        <v>952</v>
      </c>
      <c r="E12" s="9"/>
      <c r="F12" s="210" t="s">
        <v>33</v>
      </c>
      <c r="G12" s="211"/>
      <c r="H12" s="211"/>
      <c r="I12" s="211"/>
      <c r="J12" s="212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89"/>
      <c r="B13" s="20" t="s">
        <v>32</v>
      </c>
      <c r="C13" s="53">
        <v>33</v>
      </c>
      <c r="D13" s="52">
        <f t="shared" si="1"/>
        <v>10131</v>
      </c>
      <c r="E13" s="9"/>
      <c r="F13" s="213" t="s">
        <v>36</v>
      </c>
      <c r="G13" s="214"/>
      <c r="H13" s="215">
        <f>D29</f>
        <v>640958</v>
      </c>
      <c r="I13" s="216"/>
      <c r="J13" s="217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89"/>
      <c r="B14" s="17" t="s">
        <v>35</v>
      </c>
      <c r="C14" s="53"/>
      <c r="D14" s="34">
        <f t="shared" si="1"/>
        <v>0</v>
      </c>
      <c r="E14" s="9"/>
      <c r="F14" s="218" t="s">
        <v>39</v>
      </c>
      <c r="G14" s="219"/>
      <c r="H14" s="220">
        <f>D54</f>
        <v>122733.75</v>
      </c>
      <c r="I14" s="221"/>
      <c r="J14" s="222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89"/>
      <c r="B15" s="17" t="s">
        <v>38</v>
      </c>
      <c r="C15" s="53"/>
      <c r="D15" s="34">
        <f t="shared" si="1"/>
        <v>0</v>
      </c>
      <c r="E15" s="9"/>
      <c r="F15" s="223" t="s">
        <v>40</v>
      </c>
      <c r="G15" s="214"/>
      <c r="H15" s="224">
        <f>H13-H14</f>
        <v>518224.25</v>
      </c>
      <c r="I15" s="225"/>
      <c r="J15" s="226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89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227">
        <f>1356+756+1128+312</f>
        <v>3552</v>
      </c>
      <c r="I16" s="227"/>
      <c r="J16" s="22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89"/>
      <c r="B17" s="11" t="s">
        <v>114</v>
      </c>
      <c r="C17" s="53"/>
      <c r="D17" s="52">
        <f t="shared" si="1"/>
        <v>0</v>
      </c>
      <c r="E17" s="9"/>
      <c r="F17" s="62"/>
      <c r="G17" s="74" t="s">
        <v>45</v>
      </c>
      <c r="H17" s="200"/>
      <c r="I17" s="200"/>
      <c r="J17" s="200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89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200"/>
      <c r="I18" s="200"/>
      <c r="J18" s="200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89"/>
      <c r="B19" s="17" t="s">
        <v>118</v>
      </c>
      <c r="C19" s="53"/>
      <c r="D19" s="52">
        <f t="shared" si="1"/>
        <v>0</v>
      </c>
      <c r="E19" s="9"/>
      <c r="F19" s="62"/>
      <c r="G19" s="76" t="s">
        <v>50</v>
      </c>
      <c r="H19" s="313"/>
      <c r="I19" s="313"/>
      <c r="J19" s="313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89"/>
      <c r="B20" s="50" t="s">
        <v>108</v>
      </c>
      <c r="C20" s="53"/>
      <c r="D20" s="16">
        <f t="shared" si="1"/>
        <v>0</v>
      </c>
      <c r="E20" s="9"/>
      <c r="F20" s="63"/>
      <c r="G20" s="78" t="s">
        <v>124</v>
      </c>
      <c r="H20" s="227"/>
      <c r="I20" s="227"/>
      <c r="J20" s="227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89"/>
      <c r="B21" s="17" t="s">
        <v>130</v>
      </c>
      <c r="C21" s="53"/>
      <c r="D21" s="52">
        <f t="shared" si="1"/>
        <v>0</v>
      </c>
      <c r="E21" s="9"/>
      <c r="F21" s="77" t="s">
        <v>99</v>
      </c>
      <c r="G21" s="92" t="s">
        <v>98</v>
      </c>
      <c r="H21" s="246" t="s">
        <v>13</v>
      </c>
      <c r="I21" s="247"/>
      <c r="J21" s="248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89"/>
      <c r="B22" s="50" t="s">
        <v>104</v>
      </c>
      <c r="C22" s="53"/>
      <c r="D22" s="52">
        <f t="shared" si="1"/>
        <v>0</v>
      </c>
      <c r="E22" s="9"/>
      <c r="F22" s="85" t="s">
        <v>160</v>
      </c>
      <c r="G22" s="81">
        <v>2162</v>
      </c>
      <c r="H22" s="249">
        <v>126412</v>
      </c>
      <c r="I22" s="249"/>
      <c r="J22" s="249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89"/>
      <c r="B23" s="17" t="s">
        <v>107</v>
      </c>
      <c r="C23" s="53"/>
      <c r="D23" s="52">
        <f t="shared" si="1"/>
        <v>0</v>
      </c>
      <c r="E23" s="9"/>
      <c r="F23" s="86"/>
      <c r="G23" s="87"/>
      <c r="H23" s="299"/>
      <c r="I23" s="255"/>
      <c r="J23" s="255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89"/>
      <c r="B24" s="17" t="s">
        <v>101</v>
      </c>
      <c r="C24" s="53"/>
      <c r="D24" s="52">
        <f t="shared" si="1"/>
        <v>0</v>
      </c>
      <c r="E24" s="9"/>
      <c r="F24" s="42"/>
      <c r="G24" s="41"/>
      <c r="H24" s="299"/>
      <c r="I24" s="255"/>
      <c r="J24" s="255"/>
      <c r="L24" s="51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89"/>
      <c r="B25" s="17" t="s">
        <v>117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52" t="s">
        <v>13</v>
      </c>
      <c r="I25" s="253"/>
      <c r="J25" s="254"/>
      <c r="L25" s="51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89"/>
      <c r="B26" s="17" t="s">
        <v>105</v>
      </c>
      <c r="C26" s="53"/>
      <c r="D26" s="52">
        <f t="shared" si="1"/>
        <v>0</v>
      </c>
      <c r="E26" s="9"/>
      <c r="F26" s="144" t="s">
        <v>163</v>
      </c>
      <c r="G26" s="65"/>
      <c r="H26" s="300">
        <v>249804</v>
      </c>
      <c r="I26" s="301"/>
      <c r="J26" s="302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89"/>
      <c r="B27" s="17" t="s">
        <v>109</v>
      </c>
      <c r="C27" s="53"/>
      <c r="D27" s="48">
        <f t="shared" si="1"/>
        <v>0</v>
      </c>
      <c r="E27" s="9"/>
      <c r="F27" s="88"/>
      <c r="G27" s="89"/>
      <c r="H27" s="303"/>
      <c r="I27" s="304"/>
      <c r="J27" s="305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90"/>
      <c r="B28" s="50" t="s">
        <v>97</v>
      </c>
      <c r="C28" s="53">
        <v>6</v>
      </c>
      <c r="D28" s="52">
        <f t="shared" si="1"/>
        <v>4710</v>
      </c>
      <c r="E28" s="9"/>
      <c r="F28" s="60"/>
      <c r="G28" s="68"/>
      <c r="H28" s="258"/>
      <c r="I28" s="259"/>
      <c r="J28" s="260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28" t="s">
        <v>36</v>
      </c>
      <c r="B29" s="229"/>
      <c r="C29" s="230"/>
      <c r="D29" s="234">
        <f>SUM(D6:D28)</f>
        <v>640958</v>
      </c>
      <c r="E29" s="9"/>
      <c r="F29" s="236" t="s">
        <v>55</v>
      </c>
      <c r="G29" s="237"/>
      <c r="H29" s="240">
        <f>H15-H16-H17-H18-H19-H20-H22-H23-H24+H26+H27</f>
        <v>638064.25</v>
      </c>
      <c r="I29" s="241"/>
      <c r="J29" s="242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231"/>
      <c r="B30" s="232"/>
      <c r="C30" s="233"/>
      <c r="D30" s="235"/>
      <c r="E30" s="9"/>
      <c r="F30" s="238"/>
      <c r="G30" s="239"/>
      <c r="H30" s="243"/>
      <c r="I30" s="244"/>
      <c r="J30" s="245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5" t="s">
        <v>58</v>
      </c>
      <c r="B32" s="176"/>
      <c r="C32" s="176"/>
      <c r="D32" s="177"/>
      <c r="E32" s="11"/>
      <c r="F32" s="261" t="s">
        <v>59</v>
      </c>
      <c r="G32" s="262"/>
      <c r="H32" s="262"/>
      <c r="I32" s="262"/>
      <c r="J32" s="263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33" t="s">
        <v>63</v>
      </c>
      <c r="H33" s="261" t="s">
        <v>13</v>
      </c>
      <c r="I33" s="262"/>
      <c r="J33" s="263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88" t="s">
        <v>65</v>
      </c>
      <c r="B34" s="29" t="s">
        <v>66</v>
      </c>
      <c r="C34" s="56">
        <v>3</v>
      </c>
      <c r="D34" s="33">
        <f>C34*120</f>
        <v>360</v>
      </c>
      <c r="E34" s="9"/>
      <c r="F34" s="15">
        <v>1000</v>
      </c>
      <c r="G34" s="82">
        <v>362</v>
      </c>
      <c r="H34" s="264">
        <f>F34*G34</f>
        <v>362000</v>
      </c>
      <c r="I34" s="265"/>
      <c r="J34" s="266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89"/>
      <c r="B35" s="30" t="s">
        <v>68</v>
      </c>
      <c r="C35" s="57">
        <v>1</v>
      </c>
      <c r="D35" s="33">
        <f>C35*84</f>
        <v>84</v>
      </c>
      <c r="E35" s="9"/>
      <c r="F35" s="64">
        <v>500</v>
      </c>
      <c r="G35" s="45">
        <v>226</v>
      </c>
      <c r="H35" s="264">
        <f>F35*G35</f>
        <v>113000</v>
      </c>
      <c r="I35" s="265"/>
      <c r="J35" s="266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90"/>
      <c r="B36" s="29" t="s">
        <v>70</v>
      </c>
      <c r="C36" s="53"/>
      <c r="D36" s="15">
        <f>C36*1.5</f>
        <v>0</v>
      </c>
      <c r="E36" s="9"/>
      <c r="F36" s="15">
        <v>200</v>
      </c>
      <c r="G36" s="41">
        <v>12</v>
      </c>
      <c r="H36" s="264">
        <f t="shared" ref="H36:H39" si="2">F36*G36</f>
        <v>2400</v>
      </c>
      <c r="I36" s="265"/>
      <c r="J36" s="266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88" t="s">
        <v>72</v>
      </c>
      <c r="B37" s="31" t="s">
        <v>66</v>
      </c>
      <c r="C37" s="58">
        <v>1016</v>
      </c>
      <c r="D37" s="15">
        <f>C37*111</f>
        <v>112776</v>
      </c>
      <c r="E37" s="9"/>
      <c r="F37" s="15">
        <v>100</v>
      </c>
      <c r="G37" s="43">
        <v>460</v>
      </c>
      <c r="H37" s="264">
        <f t="shared" si="2"/>
        <v>46000</v>
      </c>
      <c r="I37" s="265"/>
      <c r="J37" s="266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89"/>
      <c r="B38" s="32" t="s">
        <v>68</v>
      </c>
      <c r="C38" s="59">
        <v>43</v>
      </c>
      <c r="D38" s="15">
        <f>C38*84</f>
        <v>3612</v>
      </c>
      <c r="E38" s="9"/>
      <c r="F38" s="33">
        <v>50</v>
      </c>
      <c r="G38" s="43">
        <v>120</v>
      </c>
      <c r="H38" s="264">
        <f t="shared" si="2"/>
        <v>6000</v>
      </c>
      <c r="I38" s="265"/>
      <c r="J38" s="266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90"/>
      <c r="B39" s="32" t="s">
        <v>70</v>
      </c>
      <c r="C39" s="57"/>
      <c r="D39" s="34">
        <f>C39*4.5</f>
        <v>0</v>
      </c>
      <c r="E39" s="9"/>
      <c r="F39" s="15">
        <v>20</v>
      </c>
      <c r="G39" s="41">
        <v>6</v>
      </c>
      <c r="H39" s="264">
        <f t="shared" si="2"/>
        <v>120</v>
      </c>
      <c r="I39" s="265"/>
      <c r="J39" s="266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88" t="s">
        <v>76</v>
      </c>
      <c r="B40" s="30" t="s">
        <v>66</v>
      </c>
      <c r="C40" s="70">
        <v>19</v>
      </c>
      <c r="D40" s="15">
        <f>C40*111</f>
        <v>2109</v>
      </c>
      <c r="E40" s="9"/>
      <c r="F40" s="15">
        <v>10</v>
      </c>
      <c r="G40" s="46"/>
      <c r="H40" s="264"/>
      <c r="I40" s="265"/>
      <c r="J40" s="266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89"/>
      <c r="B41" s="30" t="s">
        <v>68</v>
      </c>
      <c r="C41" s="53">
        <v>3</v>
      </c>
      <c r="D41" s="15">
        <f>C41*84</f>
        <v>252</v>
      </c>
      <c r="E41" s="9"/>
      <c r="F41" s="15">
        <v>5</v>
      </c>
      <c r="G41" s="46"/>
      <c r="H41" s="264"/>
      <c r="I41" s="265"/>
      <c r="J41" s="266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90"/>
      <c r="B42" s="30" t="s">
        <v>70</v>
      </c>
      <c r="C42" s="71">
        <v>9</v>
      </c>
      <c r="D42" s="15">
        <f>C42*2.25</f>
        <v>20.25</v>
      </c>
      <c r="E42" s="9"/>
      <c r="F42" s="43" t="s">
        <v>79</v>
      </c>
      <c r="G42" s="264">
        <v>57</v>
      </c>
      <c r="H42" s="265"/>
      <c r="I42" s="265"/>
      <c r="J42" s="266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67" t="s">
        <v>81</v>
      </c>
      <c r="C43" s="71"/>
      <c r="D43" s="15"/>
      <c r="E43" s="9"/>
      <c r="F43" s="65" t="s">
        <v>82</v>
      </c>
      <c r="G43" s="135" t="s">
        <v>83</v>
      </c>
      <c r="H43" s="270" t="s">
        <v>13</v>
      </c>
      <c r="I43" s="271"/>
      <c r="J43" s="272"/>
      <c r="K43" s="24"/>
      <c r="P43" s="4"/>
      <c r="Q43" s="4"/>
      <c r="R43" s="5"/>
    </row>
    <row r="44" spans="1:18" ht="15.75" x14ac:dyDescent="0.25">
      <c r="A44" s="268"/>
      <c r="B44" s="30" t="s">
        <v>66</v>
      </c>
      <c r="C44" s="53">
        <v>5</v>
      </c>
      <c r="D44" s="15">
        <f>C44*120</f>
        <v>600</v>
      </c>
      <c r="E44" s="9"/>
      <c r="F44" s="41" t="s">
        <v>154</v>
      </c>
      <c r="G44" s="84" t="s">
        <v>178</v>
      </c>
      <c r="H44" s="255">
        <v>119168</v>
      </c>
      <c r="I44" s="255"/>
      <c r="J44" s="255"/>
      <c r="K44" s="24"/>
      <c r="P44" s="4"/>
      <c r="Q44" s="4"/>
      <c r="R44" s="5"/>
    </row>
    <row r="45" spans="1:18" ht="15.75" x14ac:dyDescent="0.25">
      <c r="A45" s="268"/>
      <c r="B45" s="30" t="s">
        <v>68</v>
      </c>
      <c r="C45" s="90"/>
      <c r="D45" s="15">
        <f>C45*84</f>
        <v>0</v>
      </c>
      <c r="E45" s="9"/>
      <c r="F45" s="41"/>
      <c r="G45" s="84"/>
      <c r="H45" s="255"/>
      <c r="I45" s="255"/>
      <c r="J45" s="255"/>
      <c r="K45" s="24"/>
      <c r="P45" s="4"/>
      <c r="Q45" s="4"/>
      <c r="R45" s="5"/>
    </row>
    <row r="46" spans="1:18" ht="15.75" x14ac:dyDescent="0.25">
      <c r="A46" s="268"/>
      <c r="B46" s="54" t="s">
        <v>70</v>
      </c>
      <c r="C46" s="91">
        <v>27</v>
      </c>
      <c r="D46" s="15">
        <f>C46*1.5</f>
        <v>40.5</v>
      </c>
      <c r="E46" s="9"/>
      <c r="F46" s="41"/>
      <c r="G46" s="69"/>
      <c r="H46" s="306"/>
      <c r="I46" s="306"/>
      <c r="J46" s="306"/>
      <c r="K46" s="24"/>
      <c r="P46" s="4"/>
      <c r="Q46" s="4"/>
      <c r="R46" s="5"/>
    </row>
    <row r="47" spans="1:18" ht="15.75" x14ac:dyDescent="0.25">
      <c r="A47" s="269"/>
      <c r="B47" s="30"/>
      <c r="C47" s="71"/>
      <c r="D47" s="15"/>
      <c r="E47" s="9"/>
      <c r="F47" s="65"/>
      <c r="G47" s="65"/>
      <c r="H47" s="273"/>
      <c r="I47" s="274"/>
      <c r="J47" s="275"/>
      <c r="K47" s="24"/>
      <c r="P47" s="4"/>
      <c r="Q47" s="4"/>
      <c r="R47" s="5"/>
    </row>
    <row r="48" spans="1:18" ht="15" customHeight="1" x14ac:dyDescent="0.25">
      <c r="A48" s="267" t="s">
        <v>32</v>
      </c>
      <c r="B48" s="30" t="s">
        <v>66</v>
      </c>
      <c r="C48" s="53">
        <v>12</v>
      </c>
      <c r="D48" s="15">
        <f>C48*78</f>
        <v>936</v>
      </c>
      <c r="E48" s="9"/>
      <c r="F48" s="65"/>
      <c r="G48" s="65"/>
      <c r="H48" s="273"/>
      <c r="I48" s="274"/>
      <c r="J48" s="275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68"/>
      <c r="B49" s="32" t="s">
        <v>68</v>
      </c>
      <c r="C49" s="90">
        <v>46</v>
      </c>
      <c r="D49" s="15">
        <f>C49*42</f>
        <v>1932</v>
      </c>
      <c r="E49" s="9"/>
      <c r="F49" s="288" t="s">
        <v>86</v>
      </c>
      <c r="G49" s="240">
        <f>H34+H35+H36+H37+H38+H39+H40+H41+G42+H44+H45+H46</f>
        <v>648745</v>
      </c>
      <c r="H49" s="241"/>
      <c r="I49" s="241"/>
      <c r="J49" s="242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68"/>
      <c r="B50" s="35" t="s">
        <v>70</v>
      </c>
      <c r="C50" s="71">
        <v>8</v>
      </c>
      <c r="D50" s="15">
        <f>C50*1.5</f>
        <v>12</v>
      </c>
      <c r="E50" s="9"/>
      <c r="F50" s="289"/>
      <c r="G50" s="243"/>
      <c r="H50" s="244"/>
      <c r="I50" s="244"/>
      <c r="J50" s="245"/>
      <c r="K50" s="9"/>
      <c r="P50" s="4"/>
      <c r="Q50" s="4"/>
      <c r="R50" s="5"/>
    </row>
    <row r="51" spans="1:18" ht="15" customHeight="1" x14ac:dyDescent="0.25">
      <c r="A51" s="268"/>
      <c r="B51" s="30"/>
      <c r="C51" s="53"/>
      <c r="D51" s="34"/>
      <c r="E51" s="9"/>
      <c r="F51" s="290" t="s">
        <v>147</v>
      </c>
      <c r="G51" s="307">
        <f>G49-H29</f>
        <v>10680.75</v>
      </c>
      <c r="H51" s="308"/>
      <c r="I51" s="308"/>
      <c r="J51" s="309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68"/>
      <c r="B52" s="32"/>
      <c r="C52" s="36"/>
      <c r="D52" s="49"/>
      <c r="E52" s="9"/>
      <c r="F52" s="291"/>
      <c r="G52" s="310"/>
      <c r="H52" s="311"/>
      <c r="I52" s="311"/>
      <c r="J52" s="312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69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236" t="s">
        <v>90</v>
      </c>
      <c r="B54" s="276"/>
      <c r="C54" s="277"/>
      <c r="D54" s="280">
        <f>SUM(D34:D53)</f>
        <v>122733.75</v>
      </c>
      <c r="E54" s="9"/>
      <c r="F54" s="24"/>
      <c r="G54" s="9"/>
      <c r="H54" s="9"/>
      <c r="I54" s="9"/>
      <c r="J54" s="37"/>
    </row>
    <row r="55" spans="1:18" x14ac:dyDescent="0.25">
      <c r="A55" s="238"/>
      <c r="B55" s="278"/>
      <c r="C55" s="279"/>
      <c r="D55" s="281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119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282" t="s">
        <v>91</v>
      </c>
      <c r="B58" s="283"/>
      <c r="C58" s="283"/>
      <c r="D58" s="284"/>
      <c r="E58" s="9"/>
      <c r="F58" s="282" t="s">
        <v>92</v>
      </c>
      <c r="G58" s="283"/>
      <c r="H58" s="283"/>
      <c r="I58" s="283"/>
      <c r="J58" s="284"/>
    </row>
    <row r="59" spans="1:18" x14ac:dyDescent="0.25">
      <c r="A59" s="285"/>
      <c r="B59" s="286"/>
      <c r="C59" s="286"/>
      <c r="D59" s="287"/>
      <c r="E59" s="9"/>
      <c r="F59" s="285"/>
      <c r="G59" s="286"/>
      <c r="H59" s="286"/>
      <c r="I59" s="286"/>
      <c r="J59" s="287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DDC30-1F35-4FD8-BB61-5EE8A522796C}">
  <dimension ref="A1"/>
  <sheetViews>
    <sheetView workbookViewId="0">
      <selection activeCell="I4" sqref="I4:J5"/>
    </sheetView>
  </sheetViews>
  <sheetFormatPr defaultRowHeight="15" x14ac:dyDescent="0.25"/>
  <sheetData/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D5B796-8DC1-49AD-A534-0E19C9D12983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174" t="s">
        <v>1</v>
      </c>
      <c r="O1" s="174"/>
      <c r="P1" s="140" t="s">
        <v>2</v>
      </c>
      <c r="Q1" s="140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75" t="s">
        <v>7</v>
      </c>
      <c r="B4" s="176"/>
      <c r="C4" s="176"/>
      <c r="D4" s="177"/>
      <c r="E4" s="9"/>
      <c r="F4" s="178" t="s">
        <v>8</v>
      </c>
      <c r="G4" s="180">
        <v>1</v>
      </c>
      <c r="H4" s="182" t="s">
        <v>9</v>
      </c>
      <c r="I4" s="184">
        <v>45794</v>
      </c>
      <c r="J4" s="185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88" t="s">
        <v>7</v>
      </c>
      <c r="B5" s="18" t="s">
        <v>11</v>
      </c>
      <c r="C5" s="12" t="s">
        <v>12</v>
      </c>
      <c r="D5" s="28" t="s">
        <v>13</v>
      </c>
      <c r="E5" s="9"/>
      <c r="F5" s="179"/>
      <c r="G5" s="181"/>
      <c r="H5" s="183"/>
      <c r="I5" s="186"/>
      <c r="J5" s="187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89"/>
      <c r="B6" s="19" t="s">
        <v>15</v>
      </c>
      <c r="C6" s="53">
        <v>491</v>
      </c>
      <c r="D6" s="16">
        <f t="shared" ref="D6:D28" si="1">C6*L6</f>
        <v>361867</v>
      </c>
      <c r="E6" s="9"/>
      <c r="F6" s="191" t="s">
        <v>16</v>
      </c>
      <c r="G6" s="193" t="s">
        <v>128</v>
      </c>
      <c r="H6" s="194"/>
      <c r="I6" s="194"/>
      <c r="J6" s="195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89"/>
      <c r="B7" s="19" t="s">
        <v>18</v>
      </c>
      <c r="C7" s="53">
        <v>6</v>
      </c>
      <c r="D7" s="16">
        <f t="shared" si="1"/>
        <v>4350</v>
      </c>
      <c r="E7" s="9"/>
      <c r="F7" s="192"/>
      <c r="G7" s="196"/>
      <c r="H7" s="197"/>
      <c r="I7" s="197"/>
      <c r="J7" s="198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189"/>
      <c r="B8" s="19" t="s">
        <v>20</v>
      </c>
      <c r="C8" s="53"/>
      <c r="D8" s="16">
        <f t="shared" si="1"/>
        <v>0</v>
      </c>
      <c r="E8" s="9"/>
      <c r="F8" s="199" t="s">
        <v>21</v>
      </c>
      <c r="G8" s="201" t="s">
        <v>113</v>
      </c>
      <c r="H8" s="202"/>
      <c r="I8" s="202"/>
      <c r="J8" s="203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189"/>
      <c r="B9" s="19" t="s">
        <v>23</v>
      </c>
      <c r="C9" s="53">
        <v>56</v>
      </c>
      <c r="D9" s="16">
        <f t="shared" si="1"/>
        <v>39592</v>
      </c>
      <c r="E9" s="9"/>
      <c r="F9" s="192"/>
      <c r="G9" s="204"/>
      <c r="H9" s="205"/>
      <c r="I9" s="205"/>
      <c r="J9" s="206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189"/>
      <c r="B10" s="11" t="s">
        <v>25</v>
      </c>
      <c r="C10" s="53"/>
      <c r="D10" s="16">
        <f t="shared" si="1"/>
        <v>0</v>
      </c>
      <c r="E10" s="9"/>
      <c r="F10" s="191" t="s">
        <v>26</v>
      </c>
      <c r="G10" s="207" t="s">
        <v>132</v>
      </c>
      <c r="H10" s="208"/>
      <c r="I10" s="208"/>
      <c r="J10" s="209"/>
      <c r="K10" s="10"/>
      <c r="L10" s="6">
        <f>R36</f>
        <v>972</v>
      </c>
      <c r="P10" s="4"/>
      <c r="Q10" s="4"/>
      <c r="R10" s="5"/>
    </row>
    <row r="11" spans="1:18" ht="15.75" x14ac:dyDescent="0.25">
      <c r="A11" s="189"/>
      <c r="B11" s="20" t="s">
        <v>28</v>
      </c>
      <c r="C11" s="53"/>
      <c r="D11" s="16">
        <f t="shared" si="1"/>
        <v>0</v>
      </c>
      <c r="E11" s="9"/>
      <c r="F11" s="192"/>
      <c r="G11" s="204"/>
      <c r="H11" s="205"/>
      <c r="I11" s="205"/>
      <c r="J11" s="206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89"/>
      <c r="B12" s="20" t="s">
        <v>30</v>
      </c>
      <c r="C12" s="53"/>
      <c r="D12" s="52">
        <f t="shared" si="1"/>
        <v>0</v>
      </c>
      <c r="E12" s="9"/>
      <c r="F12" s="210" t="s">
        <v>33</v>
      </c>
      <c r="G12" s="211"/>
      <c r="H12" s="211"/>
      <c r="I12" s="211"/>
      <c r="J12" s="212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89"/>
      <c r="B13" s="20" t="s">
        <v>32</v>
      </c>
      <c r="C13" s="53">
        <v>19</v>
      </c>
      <c r="D13" s="52">
        <f t="shared" si="1"/>
        <v>5833</v>
      </c>
      <c r="E13" s="9"/>
      <c r="F13" s="213" t="s">
        <v>36</v>
      </c>
      <c r="G13" s="214"/>
      <c r="H13" s="215">
        <f>D29</f>
        <v>413917</v>
      </c>
      <c r="I13" s="216"/>
      <c r="J13" s="217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89"/>
      <c r="B14" s="17" t="s">
        <v>35</v>
      </c>
      <c r="C14" s="53">
        <v>20</v>
      </c>
      <c r="D14" s="34">
        <f t="shared" si="1"/>
        <v>220</v>
      </c>
      <c r="E14" s="9"/>
      <c r="F14" s="218" t="s">
        <v>39</v>
      </c>
      <c r="G14" s="219"/>
      <c r="H14" s="220">
        <f>D54</f>
        <v>66881.25</v>
      </c>
      <c r="I14" s="221"/>
      <c r="J14" s="222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89"/>
      <c r="B15" s="17" t="s">
        <v>38</v>
      </c>
      <c r="C15" s="53"/>
      <c r="D15" s="34">
        <f t="shared" si="1"/>
        <v>0</v>
      </c>
      <c r="E15" s="9"/>
      <c r="F15" s="223" t="s">
        <v>40</v>
      </c>
      <c r="G15" s="214"/>
      <c r="H15" s="224">
        <f>H13-H14</f>
        <v>347035.75</v>
      </c>
      <c r="I15" s="225"/>
      <c r="J15" s="226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89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227"/>
      <c r="I16" s="227"/>
      <c r="J16" s="22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89"/>
      <c r="B17" s="11" t="s">
        <v>137</v>
      </c>
      <c r="C17" s="53"/>
      <c r="D17" s="52">
        <f t="shared" si="1"/>
        <v>0</v>
      </c>
      <c r="E17" s="9"/>
      <c r="F17" s="62"/>
      <c r="G17" s="74" t="s">
        <v>45</v>
      </c>
      <c r="H17" s="200"/>
      <c r="I17" s="200"/>
      <c r="J17" s="200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89"/>
      <c r="B18" s="22" t="s">
        <v>95</v>
      </c>
      <c r="C18" s="53">
        <v>1</v>
      </c>
      <c r="D18" s="52">
        <f t="shared" si="1"/>
        <v>620</v>
      </c>
      <c r="E18" s="9"/>
      <c r="F18" s="62"/>
      <c r="G18" s="74" t="s">
        <v>47</v>
      </c>
      <c r="H18" s="200"/>
      <c r="I18" s="200"/>
      <c r="J18" s="200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89"/>
      <c r="B19" s="17" t="s">
        <v>140</v>
      </c>
      <c r="C19" s="53"/>
      <c r="D19" s="52">
        <f t="shared" si="1"/>
        <v>0</v>
      </c>
      <c r="E19" s="9"/>
      <c r="F19" s="62"/>
      <c r="G19" s="76" t="s">
        <v>50</v>
      </c>
      <c r="H19" s="200"/>
      <c r="I19" s="200"/>
      <c r="J19" s="200"/>
      <c r="L19" s="6">
        <v>1102</v>
      </c>
      <c r="Q19" s="4"/>
      <c r="R19" s="5">
        <f t="shared" si="0"/>
        <v>0</v>
      </c>
    </row>
    <row r="20" spans="1:18" ht="15.75" x14ac:dyDescent="0.25">
      <c r="A20" s="189"/>
      <c r="B20" s="97" t="s">
        <v>139</v>
      </c>
      <c r="C20" s="53"/>
      <c r="D20" s="16">
        <f t="shared" si="1"/>
        <v>0</v>
      </c>
      <c r="E20" s="9"/>
      <c r="F20" s="63"/>
      <c r="G20" s="78" t="s">
        <v>124</v>
      </c>
      <c r="H20" s="227"/>
      <c r="I20" s="227"/>
      <c r="J20" s="227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89"/>
      <c r="B21" s="17" t="s">
        <v>130</v>
      </c>
      <c r="C21" s="53">
        <v>1</v>
      </c>
      <c r="D21" s="52">
        <f t="shared" si="1"/>
        <v>650</v>
      </c>
      <c r="E21" s="9"/>
      <c r="F21" s="77" t="s">
        <v>99</v>
      </c>
      <c r="G21" s="92" t="s">
        <v>98</v>
      </c>
      <c r="H21" s="246" t="s">
        <v>13</v>
      </c>
      <c r="I21" s="247"/>
      <c r="J21" s="248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89"/>
      <c r="B22" s="50" t="s">
        <v>110</v>
      </c>
      <c r="C22" s="53"/>
      <c r="D22" s="52">
        <f t="shared" si="1"/>
        <v>0</v>
      </c>
      <c r="E22" s="9"/>
      <c r="F22" s="85"/>
      <c r="G22" s="81"/>
      <c r="H22" s="249"/>
      <c r="I22" s="249"/>
      <c r="J22" s="249"/>
      <c r="L22" s="7">
        <v>1142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89"/>
      <c r="B23" s="17" t="s">
        <v>125</v>
      </c>
      <c r="C23" s="53"/>
      <c r="D23" s="52">
        <f t="shared" si="1"/>
        <v>0</v>
      </c>
      <c r="E23" s="9"/>
      <c r="F23" s="85"/>
      <c r="G23" s="87"/>
      <c r="H23" s="250"/>
      <c r="I23" s="251"/>
      <c r="J23" s="251"/>
      <c r="L23" s="51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89"/>
      <c r="B24" s="17" t="s">
        <v>126</v>
      </c>
      <c r="C24" s="53"/>
      <c r="D24" s="52">
        <f t="shared" si="1"/>
        <v>0</v>
      </c>
      <c r="E24" s="9"/>
      <c r="F24" s="85"/>
      <c r="G24" s="87"/>
      <c r="H24" s="250"/>
      <c r="I24" s="251"/>
      <c r="J24" s="251"/>
      <c r="L24" s="51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89"/>
      <c r="B25" s="17" t="s">
        <v>121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52" t="s">
        <v>13</v>
      </c>
      <c r="I25" s="253"/>
      <c r="J25" s="254"/>
      <c r="L25" s="51">
        <f>852/24+1.5</f>
        <v>37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89"/>
      <c r="B26" s="17" t="s">
        <v>112</v>
      </c>
      <c r="C26" s="53"/>
      <c r="D26" s="52">
        <f t="shared" si="1"/>
        <v>0</v>
      </c>
      <c r="E26" s="9"/>
      <c r="F26" s="83"/>
      <c r="G26" s="73"/>
      <c r="H26" s="255"/>
      <c r="I26" s="255"/>
      <c r="J26" s="255"/>
      <c r="L26" s="7">
        <f>500/24+1.5</f>
        <v>22.333333333333332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89"/>
      <c r="B27" s="17" t="s">
        <v>120</v>
      </c>
      <c r="C27" s="53"/>
      <c r="D27" s="48">
        <f t="shared" si="1"/>
        <v>0</v>
      </c>
      <c r="E27" s="9"/>
      <c r="F27" s="79"/>
      <c r="G27" s="143"/>
      <c r="H27" s="256"/>
      <c r="I27" s="257"/>
      <c r="J27" s="257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90"/>
      <c r="B28" s="50" t="s">
        <v>97</v>
      </c>
      <c r="C28" s="53">
        <v>1</v>
      </c>
      <c r="D28" s="52">
        <f t="shared" si="1"/>
        <v>785</v>
      </c>
      <c r="E28" s="9"/>
      <c r="F28" s="60"/>
      <c r="G28" s="68"/>
      <c r="H28" s="258"/>
      <c r="I28" s="259"/>
      <c r="J28" s="260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28" t="s">
        <v>36</v>
      </c>
      <c r="B29" s="229"/>
      <c r="C29" s="230"/>
      <c r="D29" s="234">
        <f>SUM(D6:D28)</f>
        <v>413917</v>
      </c>
      <c r="E29" s="9"/>
      <c r="F29" s="236" t="s">
        <v>55</v>
      </c>
      <c r="G29" s="237"/>
      <c r="H29" s="240">
        <f>H15-H16-H17-H18-H19-H20-H22-H23-H24+H26+H27+H28</f>
        <v>347035.75</v>
      </c>
      <c r="I29" s="241"/>
      <c r="J29" s="242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231"/>
      <c r="B30" s="232"/>
      <c r="C30" s="233"/>
      <c r="D30" s="235"/>
      <c r="E30" s="9"/>
      <c r="F30" s="238"/>
      <c r="G30" s="239"/>
      <c r="H30" s="243"/>
      <c r="I30" s="244"/>
      <c r="J30" s="245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5" t="s">
        <v>58</v>
      </c>
      <c r="B32" s="176"/>
      <c r="C32" s="176"/>
      <c r="D32" s="177"/>
      <c r="E32" s="11"/>
      <c r="F32" s="261" t="s">
        <v>59</v>
      </c>
      <c r="G32" s="262"/>
      <c r="H32" s="262"/>
      <c r="I32" s="262"/>
      <c r="J32" s="263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41" t="s">
        <v>63</v>
      </c>
      <c r="H33" s="261" t="s">
        <v>13</v>
      </c>
      <c r="I33" s="262"/>
      <c r="J33" s="263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88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44">
        <v>289</v>
      </c>
      <c r="H34" s="264">
        <f t="shared" ref="H34:H39" si="2">F34*G34</f>
        <v>289000</v>
      </c>
      <c r="I34" s="265"/>
      <c r="J34" s="266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89"/>
      <c r="B35" s="30" t="s">
        <v>68</v>
      </c>
      <c r="C35" s="57"/>
      <c r="D35" s="33">
        <f>C35*84</f>
        <v>0</v>
      </c>
      <c r="E35" s="9"/>
      <c r="F35" s="64">
        <v>500</v>
      </c>
      <c r="G35" s="45">
        <v>77</v>
      </c>
      <c r="H35" s="264">
        <f t="shared" si="2"/>
        <v>38500</v>
      </c>
      <c r="I35" s="265"/>
      <c r="J35" s="266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90"/>
      <c r="B36" s="29" t="s">
        <v>70</v>
      </c>
      <c r="C36" s="53"/>
      <c r="D36" s="15">
        <f>C36*1.5</f>
        <v>0</v>
      </c>
      <c r="E36" s="9"/>
      <c r="F36" s="15">
        <v>200</v>
      </c>
      <c r="G36" s="41">
        <v>1</v>
      </c>
      <c r="H36" s="264">
        <f t="shared" si="2"/>
        <v>200</v>
      </c>
      <c r="I36" s="265"/>
      <c r="J36" s="266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88" t="s">
        <v>72</v>
      </c>
      <c r="B37" s="31" t="s">
        <v>66</v>
      </c>
      <c r="C37" s="58">
        <v>575</v>
      </c>
      <c r="D37" s="15">
        <f>C37*111</f>
        <v>63825</v>
      </c>
      <c r="E37" s="9"/>
      <c r="F37" s="15">
        <v>100</v>
      </c>
      <c r="G37" s="43">
        <v>165</v>
      </c>
      <c r="H37" s="264">
        <f t="shared" si="2"/>
        <v>16500</v>
      </c>
      <c r="I37" s="265"/>
      <c r="J37" s="266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89"/>
      <c r="B38" s="32" t="s">
        <v>68</v>
      </c>
      <c r="C38" s="59">
        <v>10</v>
      </c>
      <c r="D38" s="15">
        <f>C38*84</f>
        <v>840</v>
      </c>
      <c r="E38" s="9"/>
      <c r="F38" s="33">
        <v>50</v>
      </c>
      <c r="G38" s="43">
        <v>51</v>
      </c>
      <c r="H38" s="264">
        <f t="shared" si="2"/>
        <v>2550</v>
      </c>
      <c r="I38" s="265"/>
      <c r="J38" s="266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90"/>
      <c r="B39" s="32" t="s">
        <v>70</v>
      </c>
      <c r="C39" s="57">
        <v>2</v>
      </c>
      <c r="D39" s="34">
        <f>C39*4.5</f>
        <v>9</v>
      </c>
      <c r="E39" s="9"/>
      <c r="F39" s="15">
        <v>20</v>
      </c>
      <c r="G39" s="41">
        <v>6</v>
      </c>
      <c r="H39" s="264">
        <f t="shared" si="2"/>
        <v>120</v>
      </c>
      <c r="I39" s="265"/>
      <c r="J39" s="266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88" t="s">
        <v>76</v>
      </c>
      <c r="B40" s="30" t="s">
        <v>66</v>
      </c>
      <c r="C40" s="70">
        <v>3</v>
      </c>
      <c r="D40" s="15">
        <f>C40*111</f>
        <v>333</v>
      </c>
      <c r="E40" s="9"/>
      <c r="F40" s="15">
        <v>10</v>
      </c>
      <c r="G40" s="46"/>
      <c r="H40" s="264"/>
      <c r="I40" s="265"/>
      <c r="J40" s="266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89"/>
      <c r="B41" s="30" t="s">
        <v>68</v>
      </c>
      <c r="C41" s="53">
        <v>2</v>
      </c>
      <c r="D41" s="15">
        <f>C41*84</f>
        <v>168</v>
      </c>
      <c r="E41" s="9"/>
      <c r="F41" s="15">
        <v>5</v>
      </c>
      <c r="G41" s="46"/>
      <c r="H41" s="264"/>
      <c r="I41" s="265"/>
      <c r="J41" s="266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90"/>
      <c r="B42" s="30" t="s">
        <v>70</v>
      </c>
      <c r="C42" s="71">
        <v>19</v>
      </c>
      <c r="D42" s="15">
        <f>C42*2.25</f>
        <v>42.75</v>
      </c>
      <c r="E42" s="9"/>
      <c r="F42" s="43" t="s">
        <v>79</v>
      </c>
      <c r="G42" s="264">
        <v>365</v>
      </c>
      <c r="H42" s="265"/>
      <c r="I42" s="265"/>
      <c r="J42" s="266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67" t="s">
        <v>81</v>
      </c>
      <c r="C43" s="71"/>
      <c r="D43" s="15"/>
      <c r="E43" s="9"/>
      <c r="F43" s="65" t="s">
        <v>82</v>
      </c>
      <c r="G43" s="143" t="s">
        <v>83</v>
      </c>
      <c r="H43" s="270" t="s">
        <v>13</v>
      </c>
      <c r="I43" s="271"/>
      <c r="J43" s="272"/>
      <c r="K43" s="24"/>
      <c r="O43" t="s">
        <v>103</v>
      </c>
      <c r="P43" s="4">
        <v>1667</v>
      </c>
      <c r="Q43" s="4"/>
      <c r="R43" s="5"/>
    </row>
    <row r="44" spans="1:18" ht="15.75" x14ac:dyDescent="0.25">
      <c r="A44" s="268"/>
      <c r="B44" s="30" t="s">
        <v>66</v>
      </c>
      <c r="C44" s="53">
        <v>2</v>
      </c>
      <c r="D44" s="15">
        <f>C44*120</f>
        <v>240</v>
      </c>
      <c r="E44" s="9"/>
      <c r="F44" s="41"/>
      <c r="G44" s="69"/>
      <c r="H44" s="255"/>
      <c r="I44" s="255"/>
      <c r="J44" s="255"/>
      <c r="K44" s="24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268"/>
      <c r="B45" s="30" t="s">
        <v>68</v>
      </c>
      <c r="C45" s="90"/>
      <c r="D45" s="15">
        <f>C45*84</f>
        <v>0</v>
      </c>
      <c r="E45" s="9"/>
      <c r="F45" s="41"/>
      <c r="G45" s="69"/>
      <c r="H45" s="255"/>
      <c r="I45" s="255"/>
      <c r="J45" s="255"/>
      <c r="K45" s="24"/>
      <c r="P45" s="4"/>
      <c r="Q45" s="4"/>
      <c r="R45" s="5"/>
    </row>
    <row r="46" spans="1:18" ht="15.75" x14ac:dyDescent="0.25">
      <c r="A46" s="268"/>
      <c r="B46" s="54" t="s">
        <v>70</v>
      </c>
      <c r="C46" s="91">
        <v>4</v>
      </c>
      <c r="D46" s="15">
        <f>C46*1.5</f>
        <v>6</v>
      </c>
      <c r="E46" s="9"/>
      <c r="F46" s="41"/>
      <c r="G46" s="69"/>
      <c r="H46" s="255"/>
      <c r="I46" s="255"/>
      <c r="J46" s="255"/>
      <c r="K46" s="24"/>
      <c r="P46" s="4"/>
      <c r="Q46" s="4"/>
      <c r="R46" s="5"/>
    </row>
    <row r="47" spans="1:18" ht="15.75" x14ac:dyDescent="0.25">
      <c r="A47" s="269"/>
      <c r="B47" s="30"/>
      <c r="C47" s="71"/>
      <c r="D47" s="15"/>
      <c r="E47" s="9"/>
      <c r="F47" s="65"/>
      <c r="G47" s="65"/>
      <c r="H47" s="273"/>
      <c r="I47" s="274"/>
      <c r="J47" s="275"/>
      <c r="K47" s="24"/>
      <c r="P47" s="4"/>
      <c r="Q47" s="4"/>
      <c r="R47" s="5"/>
    </row>
    <row r="48" spans="1:18" ht="15" customHeight="1" x14ac:dyDescent="0.25">
      <c r="A48" s="267" t="s">
        <v>32</v>
      </c>
      <c r="B48" s="30" t="s">
        <v>66</v>
      </c>
      <c r="C48" s="53">
        <v>17</v>
      </c>
      <c r="D48" s="15">
        <f>C48*78</f>
        <v>1326</v>
      </c>
      <c r="E48" s="9"/>
      <c r="F48" s="65"/>
      <c r="G48" s="65"/>
      <c r="H48" s="273"/>
      <c r="I48" s="274"/>
      <c r="J48" s="275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68"/>
      <c r="B49" s="32" t="s">
        <v>68</v>
      </c>
      <c r="C49" s="90">
        <v>2</v>
      </c>
      <c r="D49" s="15">
        <f>C49*42</f>
        <v>84</v>
      </c>
      <c r="E49" s="9"/>
      <c r="F49" s="288" t="s">
        <v>86</v>
      </c>
      <c r="G49" s="240">
        <f>H34+H35+H36+H37+H38+H39+H40+H41+G42+H44+H45+H46</f>
        <v>347235</v>
      </c>
      <c r="H49" s="241"/>
      <c r="I49" s="241"/>
      <c r="J49" s="242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68"/>
      <c r="B50" s="35" t="s">
        <v>70</v>
      </c>
      <c r="C50" s="71">
        <v>5</v>
      </c>
      <c r="D50" s="15">
        <f>C50*1.5</f>
        <v>7.5</v>
      </c>
      <c r="E50" s="9"/>
      <c r="F50" s="289"/>
      <c r="G50" s="243"/>
      <c r="H50" s="244"/>
      <c r="I50" s="244"/>
      <c r="J50" s="245"/>
      <c r="K50" s="9"/>
      <c r="P50" s="4"/>
      <c r="Q50" s="4"/>
      <c r="R50" s="5"/>
    </row>
    <row r="51" spans="1:18" ht="15" customHeight="1" x14ac:dyDescent="0.25">
      <c r="A51" s="268"/>
      <c r="B51" s="30"/>
      <c r="C51" s="13"/>
      <c r="D51" s="34"/>
      <c r="E51" s="9"/>
      <c r="F51" s="290" t="s">
        <v>147</v>
      </c>
      <c r="G51" s="320">
        <f>G49-H29</f>
        <v>199.25</v>
      </c>
      <c r="H51" s="321"/>
      <c r="I51" s="321"/>
      <c r="J51" s="322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68"/>
      <c r="B52" s="32"/>
      <c r="C52" s="36"/>
      <c r="D52" s="49"/>
      <c r="E52" s="9"/>
      <c r="F52" s="291"/>
      <c r="G52" s="323"/>
      <c r="H52" s="324"/>
      <c r="I52" s="324"/>
      <c r="J52" s="325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69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236" t="s">
        <v>90</v>
      </c>
      <c r="B54" s="276"/>
      <c r="C54" s="277"/>
      <c r="D54" s="280">
        <f>SUM(D34:D53)</f>
        <v>66881.25</v>
      </c>
      <c r="E54" s="9"/>
      <c r="F54" s="24"/>
      <c r="G54" s="9"/>
      <c r="H54" s="9"/>
      <c r="I54" s="9"/>
      <c r="J54" s="37"/>
      <c r="O54" t="s">
        <v>102</v>
      </c>
      <c r="P54" s="4">
        <v>1582</v>
      </c>
      <c r="R54" s="3">
        <v>1582</v>
      </c>
    </row>
    <row r="55" spans="1:18" x14ac:dyDescent="0.25">
      <c r="A55" s="238"/>
      <c r="B55" s="278"/>
      <c r="C55" s="279"/>
      <c r="D55" s="281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129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282" t="s">
        <v>91</v>
      </c>
      <c r="B58" s="283"/>
      <c r="C58" s="283"/>
      <c r="D58" s="284"/>
      <c r="E58" s="9"/>
      <c r="F58" s="282" t="s">
        <v>92</v>
      </c>
      <c r="G58" s="283"/>
      <c r="H58" s="283"/>
      <c r="I58" s="283"/>
      <c r="J58" s="284"/>
    </row>
    <row r="59" spans="1:18" x14ac:dyDescent="0.25">
      <c r="A59" s="285"/>
      <c r="B59" s="286"/>
      <c r="C59" s="286"/>
      <c r="D59" s="287"/>
      <c r="E59" s="9"/>
      <c r="F59" s="285"/>
      <c r="G59" s="286"/>
      <c r="H59" s="286"/>
      <c r="I59" s="286"/>
      <c r="J59" s="287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2D680-8327-4CB6-8C09-6164979198CA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174" t="s">
        <v>1</v>
      </c>
      <c r="O1" s="174"/>
      <c r="P1" s="140" t="s">
        <v>2</v>
      </c>
      <c r="Q1" s="140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75" t="s">
        <v>7</v>
      </c>
      <c r="B4" s="176"/>
      <c r="C4" s="176"/>
      <c r="D4" s="177"/>
      <c r="E4" s="9"/>
      <c r="F4" s="178" t="s">
        <v>8</v>
      </c>
      <c r="G4" s="180">
        <v>2</v>
      </c>
      <c r="H4" s="182" t="s">
        <v>9</v>
      </c>
      <c r="I4" s="184">
        <v>45794</v>
      </c>
      <c r="J4" s="185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88" t="s">
        <v>7</v>
      </c>
      <c r="B5" s="18" t="s">
        <v>11</v>
      </c>
      <c r="C5" s="12" t="s">
        <v>12</v>
      </c>
      <c r="D5" s="28" t="s">
        <v>13</v>
      </c>
      <c r="E5" s="9"/>
      <c r="F5" s="179"/>
      <c r="G5" s="181"/>
      <c r="H5" s="183"/>
      <c r="I5" s="186"/>
      <c r="J5" s="187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89"/>
      <c r="B6" s="19" t="s">
        <v>15</v>
      </c>
      <c r="C6" s="53">
        <v>682</v>
      </c>
      <c r="D6" s="16">
        <f t="shared" ref="D6:D28" si="1">C6*L6</f>
        <v>502634</v>
      </c>
      <c r="E6" s="9"/>
      <c r="F6" s="191" t="s">
        <v>16</v>
      </c>
      <c r="G6" s="193" t="s">
        <v>123</v>
      </c>
      <c r="H6" s="194"/>
      <c r="I6" s="194"/>
      <c r="J6" s="195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89"/>
      <c r="B7" s="19" t="s">
        <v>18</v>
      </c>
      <c r="C7" s="53">
        <v>5</v>
      </c>
      <c r="D7" s="16">
        <f t="shared" si="1"/>
        <v>3625</v>
      </c>
      <c r="E7" s="9"/>
      <c r="F7" s="192"/>
      <c r="G7" s="196"/>
      <c r="H7" s="197"/>
      <c r="I7" s="197"/>
      <c r="J7" s="198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189"/>
      <c r="B8" s="19" t="s">
        <v>20</v>
      </c>
      <c r="C8" s="53"/>
      <c r="D8" s="16">
        <f t="shared" si="1"/>
        <v>0</v>
      </c>
      <c r="E8" s="9"/>
      <c r="F8" s="199" t="s">
        <v>21</v>
      </c>
      <c r="G8" s="201" t="s">
        <v>115</v>
      </c>
      <c r="H8" s="202"/>
      <c r="I8" s="202"/>
      <c r="J8" s="203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189"/>
      <c r="B9" s="19" t="s">
        <v>23</v>
      </c>
      <c r="C9" s="53">
        <v>40</v>
      </c>
      <c r="D9" s="16">
        <f t="shared" si="1"/>
        <v>28280</v>
      </c>
      <c r="E9" s="9"/>
      <c r="F9" s="192"/>
      <c r="G9" s="204"/>
      <c r="H9" s="205"/>
      <c r="I9" s="205"/>
      <c r="J9" s="206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189"/>
      <c r="B10" s="11" t="s">
        <v>25</v>
      </c>
      <c r="C10" s="53"/>
      <c r="D10" s="16">
        <f t="shared" si="1"/>
        <v>0</v>
      </c>
      <c r="E10" s="9"/>
      <c r="F10" s="191" t="s">
        <v>26</v>
      </c>
      <c r="G10" s="207" t="s">
        <v>116</v>
      </c>
      <c r="H10" s="208"/>
      <c r="I10" s="208"/>
      <c r="J10" s="209"/>
      <c r="K10" s="10"/>
      <c r="L10" s="6">
        <f>R36</f>
        <v>972</v>
      </c>
      <c r="P10" s="4"/>
      <c r="Q10" s="4"/>
      <c r="R10" s="5"/>
    </row>
    <row r="11" spans="1:18" ht="15.75" x14ac:dyDescent="0.25">
      <c r="A11" s="189"/>
      <c r="B11" s="20" t="s">
        <v>28</v>
      </c>
      <c r="C11" s="53"/>
      <c r="D11" s="16">
        <f t="shared" si="1"/>
        <v>0</v>
      </c>
      <c r="E11" s="9"/>
      <c r="F11" s="192"/>
      <c r="G11" s="204"/>
      <c r="H11" s="205"/>
      <c r="I11" s="205"/>
      <c r="J11" s="206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89"/>
      <c r="B12" s="20" t="s">
        <v>30</v>
      </c>
      <c r="C12" s="53"/>
      <c r="D12" s="52">
        <f t="shared" si="1"/>
        <v>0</v>
      </c>
      <c r="E12" s="9"/>
      <c r="F12" s="210" t="s">
        <v>33</v>
      </c>
      <c r="G12" s="211"/>
      <c r="H12" s="211"/>
      <c r="I12" s="211"/>
      <c r="J12" s="212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89"/>
      <c r="B13" s="20" t="s">
        <v>32</v>
      </c>
      <c r="C13" s="53">
        <v>24</v>
      </c>
      <c r="D13" s="52">
        <f t="shared" si="1"/>
        <v>7368</v>
      </c>
      <c r="E13" s="9"/>
      <c r="F13" s="213" t="s">
        <v>36</v>
      </c>
      <c r="G13" s="214"/>
      <c r="H13" s="215">
        <f>D29</f>
        <v>544471</v>
      </c>
      <c r="I13" s="216"/>
      <c r="J13" s="217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89"/>
      <c r="B14" s="17" t="s">
        <v>35</v>
      </c>
      <c r="C14" s="53">
        <v>19</v>
      </c>
      <c r="D14" s="34">
        <f t="shared" si="1"/>
        <v>209</v>
      </c>
      <c r="E14" s="9"/>
      <c r="F14" s="218" t="s">
        <v>39</v>
      </c>
      <c r="G14" s="219"/>
      <c r="H14" s="220">
        <f>D54</f>
        <v>82236</v>
      </c>
      <c r="I14" s="221"/>
      <c r="J14" s="222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89"/>
      <c r="B15" s="17" t="s">
        <v>38</v>
      </c>
      <c r="C15" s="53"/>
      <c r="D15" s="34">
        <f t="shared" si="1"/>
        <v>0</v>
      </c>
      <c r="E15" s="9"/>
      <c r="F15" s="223" t="s">
        <v>40</v>
      </c>
      <c r="G15" s="214"/>
      <c r="H15" s="224">
        <f>H13-H14</f>
        <v>462235</v>
      </c>
      <c r="I15" s="225"/>
      <c r="J15" s="226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89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227">
        <f>1350+1215+3042</f>
        <v>5607</v>
      </c>
      <c r="I16" s="227"/>
      <c r="J16" s="22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89"/>
      <c r="B17" s="11" t="s">
        <v>93</v>
      </c>
      <c r="C17" s="53"/>
      <c r="D17" s="52">
        <f t="shared" si="1"/>
        <v>0</v>
      </c>
      <c r="E17" s="9"/>
      <c r="F17" s="62"/>
      <c r="G17" s="74" t="s">
        <v>45</v>
      </c>
      <c r="H17" s="200"/>
      <c r="I17" s="200"/>
      <c r="J17" s="200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89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200"/>
      <c r="I18" s="200"/>
      <c r="J18" s="200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89"/>
      <c r="B19" s="17" t="s">
        <v>96</v>
      </c>
      <c r="C19" s="53"/>
      <c r="D19" s="52">
        <f t="shared" si="1"/>
        <v>0</v>
      </c>
      <c r="E19" s="9"/>
      <c r="F19" s="62"/>
      <c r="G19" s="76" t="s">
        <v>50</v>
      </c>
      <c r="H19" s="298"/>
      <c r="I19" s="298"/>
      <c r="J19" s="298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89"/>
      <c r="B20" s="50" t="s">
        <v>131</v>
      </c>
      <c r="C20" s="53"/>
      <c r="D20" s="16">
        <f t="shared" si="1"/>
        <v>0</v>
      </c>
      <c r="E20" s="9"/>
      <c r="F20" s="63"/>
      <c r="G20" s="78" t="s">
        <v>124</v>
      </c>
      <c r="H20" s="200"/>
      <c r="I20" s="200"/>
      <c r="J20" s="200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89"/>
      <c r="B21" s="17" t="s">
        <v>130</v>
      </c>
      <c r="C21" s="53"/>
      <c r="D21" s="52">
        <f t="shared" si="1"/>
        <v>0</v>
      </c>
      <c r="E21" s="9"/>
      <c r="F21" s="77" t="s">
        <v>99</v>
      </c>
      <c r="G21" s="92" t="s">
        <v>98</v>
      </c>
      <c r="H21" s="246" t="s">
        <v>13</v>
      </c>
      <c r="I21" s="247"/>
      <c r="J21" s="248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89"/>
      <c r="B22" s="50" t="s">
        <v>104</v>
      </c>
      <c r="C22" s="53"/>
      <c r="D22" s="52">
        <f t="shared" si="1"/>
        <v>0</v>
      </c>
      <c r="E22" s="9"/>
      <c r="F22" s="80"/>
      <c r="G22" s="81"/>
      <c r="H22" s="249"/>
      <c r="I22" s="249"/>
      <c r="J22" s="249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89"/>
      <c r="B23" s="17" t="s">
        <v>107</v>
      </c>
      <c r="C23" s="53"/>
      <c r="D23" s="52">
        <f t="shared" si="1"/>
        <v>0</v>
      </c>
      <c r="E23" s="9"/>
      <c r="F23" s="28"/>
      <c r="G23" s="41"/>
      <c r="H23" s="299"/>
      <c r="I23" s="255"/>
      <c r="J23" s="255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89"/>
      <c r="B24" s="17" t="s">
        <v>133</v>
      </c>
      <c r="C24" s="53"/>
      <c r="D24" s="52">
        <f t="shared" si="1"/>
        <v>0</v>
      </c>
      <c r="E24" s="9"/>
      <c r="F24" s="42"/>
      <c r="G24" s="41"/>
      <c r="H24" s="299"/>
      <c r="I24" s="255"/>
      <c r="J24" s="255"/>
      <c r="L24" s="51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89"/>
      <c r="B25" s="17" t="s">
        <v>134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52" t="s">
        <v>13</v>
      </c>
      <c r="I25" s="253"/>
      <c r="J25" s="254"/>
      <c r="L25" s="51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89"/>
      <c r="B26" s="17" t="s">
        <v>105</v>
      </c>
      <c r="C26" s="53"/>
      <c r="D26" s="52">
        <f t="shared" si="1"/>
        <v>0</v>
      </c>
      <c r="E26" s="9"/>
      <c r="F26" s="72"/>
      <c r="G26" s="13"/>
      <c r="H26" s="300"/>
      <c r="I26" s="301"/>
      <c r="J26" s="302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89"/>
      <c r="B27" s="17" t="s">
        <v>109</v>
      </c>
      <c r="C27" s="53"/>
      <c r="D27" s="48">
        <f t="shared" si="1"/>
        <v>0</v>
      </c>
      <c r="E27" s="9"/>
      <c r="F27" s="67"/>
      <c r="G27" s="67"/>
      <c r="H27" s="303"/>
      <c r="I27" s="304"/>
      <c r="J27" s="305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90"/>
      <c r="B28" s="50" t="s">
        <v>97</v>
      </c>
      <c r="C28" s="53">
        <v>3</v>
      </c>
      <c r="D28" s="52">
        <f t="shared" si="1"/>
        <v>2355</v>
      </c>
      <c r="E28" s="9"/>
      <c r="F28" s="60"/>
      <c r="G28" s="68"/>
      <c r="H28" s="258"/>
      <c r="I28" s="259"/>
      <c r="J28" s="260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28" t="s">
        <v>36</v>
      </c>
      <c r="B29" s="229"/>
      <c r="C29" s="230"/>
      <c r="D29" s="234">
        <f>SUM(D6:D28)</f>
        <v>544471</v>
      </c>
      <c r="E29" s="9"/>
      <c r="F29" s="236" t="s">
        <v>55</v>
      </c>
      <c r="G29" s="237"/>
      <c r="H29" s="240">
        <f>H15-H16-H17-H18-H19-H20-H22-H23-H24+H26+H27</f>
        <v>456628</v>
      </c>
      <c r="I29" s="241"/>
      <c r="J29" s="242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231"/>
      <c r="B30" s="232"/>
      <c r="C30" s="233"/>
      <c r="D30" s="235"/>
      <c r="E30" s="9"/>
      <c r="F30" s="238"/>
      <c r="G30" s="239"/>
      <c r="H30" s="243"/>
      <c r="I30" s="244"/>
      <c r="J30" s="245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5" t="s">
        <v>58</v>
      </c>
      <c r="B32" s="176"/>
      <c r="C32" s="176"/>
      <c r="D32" s="177"/>
      <c r="E32" s="11"/>
      <c r="F32" s="261" t="s">
        <v>59</v>
      </c>
      <c r="G32" s="262"/>
      <c r="H32" s="262"/>
      <c r="I32" s="262"/>
      <c r="J32" s="263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41" t="s">
        <v>63</v>
      </c>
      <c r="H33" s="261" t="s">
        <v>13</v>
      </c>
      <c r="I33" s="262"/>
      <c r="J33" s="263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88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82">
        <v>197</v>
      </c>
      <c r="H34" s="264">
        <f>F34*G34</f>
        <v>197000</v>
      </c>
      <c r="I34" s="265"/>
      <c r="J34" s="266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89"/>
      <c r="B35" s="30" t="s">
        <v>68</v>
      </c>
      <c r="C35" s="57"/>
      <c r="D35" s="33">
        <f>C35*84</f>
        <v>0</v>
      </c>
      <c r="E35" s="9"/>
      <c r="F35" s="64">
        <v>500</v>
      </c>
      <c r="G35" s="45">
        <v>100</v>
      </c>
      <c r="H35" s="264">
        <f t="shared" ref="H35:H39" si="2">F35*G35</f>
        <v>50000</v>
      </c>
      <c r="I35" s="265"/>
      <c r="J35" s="266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90"/>
      <c r="B36" s="29" t="s">
        <v>70</v>
      </c>
      <c r="C36" s="53"/>
      <c r="D36" s="15">
        <f>C36*1.5</f>
        <v>0</v>
      </c>
      <c r="E36" s="9"/>
      <c r="F36" s="15">
        <v>200</v>
      </c>
      <c r="G36" s="41"/>
      <c r="H36" s="264">
        <f t="shared" si="2"/>
        <v>0</v>
      </c>
      <c r="I36" s="265"/>
      <c r="J36" s="266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88" t="s">
        <v>72</v>
      </c>
      <c r="B37" s="31" t="s">
        <v>66</v>
      </c>
      <c r="C37" s="58">
        <v>715</v>
      </c>
      <c r="D37" s="15">
        <f>C37*111</f>
        <v>79365</v>
      </c>
      <c r="E37" s="9"/>
      <c r="F37" s="15">
        <v>100</v>
      </c>
      <c r="G37" s="43">
        <v>3</v>
      </c>
      <c r="H37" s="264">
        <f t="shared" si="2"/>
        <v>300</v>
      </c>
      <c r="I37" s="265"/>
      <c r="J37" s="266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89"/>
      <c r="B38" s="32" t="s">
        <v>68</v>
      </c>
      <c r="C38" s="59">
        <v>23</v>
      </c>
      <c r="D38" s="15">
        <f>C38*84</f>
        <v>1932</v>
      </c>
      <c r="E38" s="9"/>
      <c r="F38" s="33">
        <v>50</v>
      </c>
      <c r="G38" s="43">
        <v>2</v>
      </c>
      <c r="H38" s="264">
        <f t="shared" si="2"/>
        <v>100</v>
      </c>
      <c r="I38" s="265"/>
      <c r="J38" s="266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90"/>
      <c r="B39" s="32" t="s">
        <v>70</v>
      </c>
      <c r="C39" s="57"/>
      <c r="D39" s="34">
        <f>C39*4.5</f>
        <v>0</v>
      </c>
      <c r="E39" s="9"/>
      <c r="F39" s="15">
        <v>20</v>
      </c>
      <c r="G39" s="41">
        <v>2</v>
      </c>
      <c r="H39" s="264">
        <f t="shared" si="2"/>
        <v>40</v>
      </c>
      <c r="I39" s="265"/>
      <c r="J39" s="266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88" t="s">
        <v>76</v>
      </c>
      <c r="B40" s="30" t="s">
        <v>66</v>
      </c>
      <c r="C40" s="70">
        <v>3</v>
      </c>
      <c r="D40" s="15">
        <f>C40*111</f>
        <v>333</v>
      </c>
      <c r="E40" s="9"/>
      <c r="F40" s="15">
        <v>10</v>
      </c>
      <c r="G40" s="46"/>
      <c r="H40" s="264"/>
      <c r="I40" s="265"/>
      <c r="J40" s="266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89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264"/>
      <c r="I41" s="265"/>
      <c r="J41" s="266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90"/>
      <c r="B42" s="30" t="s">
        <v>70</v>
      </c>
      <c r="C42" s="71"/>
      <c r="D42" s="15">
        <f>C42*2.25</f>
        <v>0</v>
      </c>
      <c r="E42" s="9"/>
      <c r="F42" s="43" t="s">
        <v>79</v>
      </c>
      <c r="G42" s="264">
        <v>40</v>
      </c>
      <c r="H42" s="265"/>
      <c r="I42" s="265"/>
      <c r="J42" s="266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67" t="s">
        <v>81</v>
      </c>
      <c r="C43" s="71"/>
      <c r="D43" s="15"/>
      <c r="E43" s="9"/>
      <c r="F43" s="65" t="s">
        <v>82</v>
      </c>
      <c r="G43" s="143" t="s">
        <v>83</v>
      </c>
      <c r="H43" s="270" t="s">
        <v>13</v>
      </c>
      <c r="I43" s="271"/>
      <c r="J43" s="272"/>
      <c r="K43" s="24"/>
      <c r="P43" s="4"/>
      <c r="Q43" s="4"/>
      <c r="R43" s="5"/>
    </row>
    <row r="44" spans="1:18" ht="15.75" x14ac:dyDescent="0.25">
      <c r="A44" s="268"/>
      <c r="B44" s="30" t="s">
        <v>66</v>
      </c>
      <c r="C44" s="53"/>
      <c r="D44" s="15">
        <f>C44*120</f>
        <v>0</v>
      </c>
      <c r="E44" s="9"/>
      <c r="F44" s="41"/>
      <c r="G44" s="69" t="s">
        <v>192</v>
      </c>
      <c r="H44" s="255">
        <v>211127</v>
      </c>
      <c r="I44" s="255"/>
      <c r="J44" s="255"/>
      <c r="K44" s="24"/>
      <c r="P44" s="4"/>
      <c r="Q44" s="4"/>
      <c r="R44" s="5"/>
    </row>
    <row r="45" spans="1:18" ht="15.75" x14ac:dyDescent="0.25">
      <c r="A45" s="268"/>
      <c r="B45" s="30" t="s">
        <v>68</v>
      </c>
      <c r="C45" s="90">
        <v>2</v>
      </c>
      <c r="D45" s="15">
        <f>C45*84</f>
        <v>168</v>
      </c>
      <c r="E45" s="9"/>
      <c r="F45" s="41"/>
      <c r="G45" s="69"/>
      <c r="H45" s="255"/>
      <c r="I45" s="255"/>
      <c r="J45" s="255"/>
      <c r="K45" s="24"/>
      <c r="P45" s="4"/>
      <c r="Q45" s="4"/>
      <c r="R45" s="5"/>
    </row>
    <row r="46" spans="1:18" ht="15.75" x14ac:dyDescent="0.25">
      <c r="A46" s="268"/>
      <c r="B46" s="54" t="s">
        <v>70</v>
      </c>
      <c r="C46" s="91"/>
      <c r="D46" s="15">
        <f>C46*1.5</f>
        <v>0</v>
      </c>
      <c r="E46" s="9"/>
      <c r="F46" s="41"/>
      <c r="G46" s="142"/>
      <c r="H46" s="306"/>
      <c r="I46" s="306"/>
      <c r="J46" s="306"/>
      <c r="K46" s="24"/>
      <c r="P46" s="4"/>
      <c r="Q46" s="4"/>
      <c r="R46" s="5"/>
    </row>
    <row r="47" spans="1:18" ht="15.75" x14ac:dyDescent="0.25">
      <c r="A47" s="269"/>
      <c r="B47" s="30"/>
      <c r="C47" s="71"/>
      <c r="D47" s="15"/>
      <c r="E47" s="9"/>
      <c r="F47" s="65"/>
      <c r="G47" s="65"/>
      <c r="H47" s="273"/>
      <c r="I47" s="274"/>
      <c r="J47" s="275"/>
      <c r="K47" s="24"/>
      <c r="P47" s="4"/>
      <c r="Q47" s="4"/>
      <c r="R47" s="5"/>
    </row>
    <row r="48" spans="1:18" ht="15" customHeight="1" x14ac:dyDescent="0.25">
      <c r="A48" s="267" t="s">
        <v>32</v>
      </c>
      <c r="B48" s="30" t="s">
        <v>66</v>
      </c>
      <c r="C48" s="53">
        <v>1</v>
      </c>
      <c r="D48" s="15">
        <f>C48*78</f>
        <v>78</v>
      </c>
      <c r="E48" s="9"/>
      <c r="F48" s="65"/>
      <c r="G48" s="65"/>
      <c r="H48" s="273"/>
      <c r="I48" s="274"/>
      <c r="J48" s="275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68"/>
      <c r="B49" s="32" t="s">
        <v>68</v>
      </c>
      <c r="C49" s="90">
        <v>8</v>
      </c>
      <c r="D49" s="15">
        <f>C49*42</f>
        <v>336</v>
      </c>
      <c r="E49" s="9"/>
      <c r="F49" s="288" t="s">
        <v>86</v>
      </c>
      <c r="G49" s="240">
        <f>H34+H35+H36+H37+H38+H39+H40+H41+G42+H44+H45+H46</f>
        <v>458607</v>
      </c>
      <c r="H49" s="241"/>
      <c r="I49" s="241"/>
      <c r="J49" s="242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68"/>
      <c r="B50" s="35" t="s">
        <v>70</v>
      </c>
      <c r="C50" s="71">
        <v>16</v>
      </c>
      <c r="D50" s="15">
        <f>C50*1.5</f>
        <v>24</v>
      </c>
      <c r="E50" s="9"/>
      <c r="F50" s="289"/>
      <c r="G50" s="243"/>
      <c r="H50" s="244"/>
      <c r="I50" s="244"/>
      <c r="J50" s="245"/>
      <c r="K50" s="9"/>
      <c r="P50" s="4"/>
      <c r="Q50" s="4"/>
      <c r="R50" s="5"/>
    </row>
    <row r="51" spans="1:18" ht="15" customHeight="1" x14ac:dyDescent="0.25">
      <c r="A51" s="268"/>
      <c r="B51" s="30"/>
      <c r="C51" s="13"/>
      <c r="D51" s="34"/>
      <c r="E51" s="9"/>
      <c r="F51" s="290" t="s">
        <v>144</v>
      </c>
      <c r="G51" s="307">
        <f>G49-H29</f>
        <v>1979</v>
      </c>
      <c r="H51" s="308"/>
      <c r="I51" s="308"/>
      <c r="J51" s="309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68"/>
      <c r="B52" s="32"/>
      <c r="C52" s="36"/>
      <c r="D52" s="49"/>
      <c r="E52" s="9"/>
      <c r="F52" s="291"/>
      <c r="G52" s="310"/>
      <c r="H52" s="311"/>
      <c r="I52" s="311"/>
      <c r="J52" s="312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69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236" t="s">
        <v>90</v>
      </c>
      <c r="B54" s="276"/>
      <c r="C54" s="277"/>
      <c r="D54" s="280">
        <f>SUM(D34:D53)</f>
        <v>82236</v>
      </c>
      <c r="E54" s="9"/>
      <c r="F54" s="24"/>
      <c r="G54" s="9"/>
      <c r="H54" s="9"/>
      <c r="I54" s="9"/>
      <c r="J54" s="37"/>
    </row>
    <row r="55" spans="1:18" x14ac:dyDescent="0.25">
      <c r="A55" s="238"/>
      <c r="B55" s="278"/>
      <c r="C55" s="279"/>
      <c r="D55" s="281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161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282" t="s">
        <v>91</v>
      </c>
      <c r="B58" s="283"/>
      <c r="C58" s="283"/>
      <c r="D58" s="284"/>
      <c r="E58" s="9"/>
      <c r="F58" s="282" t="s">
        <v>92</v>
      </c>
      <c r="G58" s="283"/>
      <c r="H58" s="283"/>
      <c r="I58" s="283"/>
      <c r="J58" s="284"/>
    </row>
    <row r="59" spans="1:18" x14ac:dyDescent="0.25">
      <c r="A59" s="285"/>
      <c r="B59" s="286"/>
      <c r="C59" s="286"/>
      <c r="D59" s="287"/>
      <c r="E59" s="9"/>
      <c r="F59" s="285"/>
      <c r="G59" s="286"/>
      <c r="H59" s="286"/>
      <c r="I59" s="286"/>
      <c r="J59" s="287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42976-77E0-4581-8645-A2CEFC6FB76E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s="8" t="s">
        <v>0</v>
      </c>
      <c r="B1" s="8"/>
      <c r="C1" s="8"/>
      <c r="D1" s="8"/>
      <c r="N1" s="174" t="s">
        <v>1</v>
      </c>
      <c r="O1" s="174"/>
      <c r="P1" s="140" t="s">
        <v>2</v>
      </c>
      <c r="Q1" s="140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75" t="s">
        <v>7</v>
      </c>
      <c r="B4" s="176"/>
      <c r="C4" s="176"/>
      <c r="D4" s="177"/>
      <c r="E4" s="9"/>
      <c r="F4" s="178" t="s">
        <v>8</v>
      </c>
      <c r="G4" s="180">
        <v>3</v>
      </c>
      <c r="H4" s="182" t="s">
        <v>9</v>
      </c>
      <c r="I4" s="184">
        <v>45794</v>
      </c>
      <c r="J4" s="185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88" t="s">
        <v>7</v>
      </c>
      <c r="B5" s="18" t="s">
        <v>11</v>
      </c>
      <c r="C5" s="12" t="s">
        <v>12</v>
      </c>
      <c r="D5" s="28" t="s">
        <v>13</v>
      </c>
      <c r="E5" s="9"/>
      <c r="F5" s="179"/>
      <c r="G5" s="181"/>
      <c r="H5" s="183"/>
      <c r="I5" s="186"/>
      <c r="J5" s="187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89"/>
      <c r="B6" s="19" t="s">
        <v>15</v>
      </c>
      <c r="C6" s="53">
        <v>519</v>
      </c>
      <c r="D6" s="16">
        <f t="shared" ref="D6:D28" si="1">C6*L6</f>
        <v>382503</v>
      </c>
      <c r="E6" s="9"/>
      <c r="F6" s="191" t="s">
        <v>16</v>
      </c>
      <c r="G6" s="193" t="s">
        <v>111</v>
      </c>
      <c r="H6" s="194"/>
      <c r="I6" s="194"/>
      <c r="J6" s="195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89"/>
      <c r="B7" s="19" t="s">
        <v>18</v>
      </c>
      <c r="C7" s="53">
        <v>17</v>
      </c>
      <c r="D7" s="16">
        <f t="shared" si="1"/>
        <v>12325</v>
      </c>
      <c r="E7" s="9"/>
      <c r="F7" s="192"/>
      <c r="G7" s="196"/>
      <c r="H7" s="197"/>
      <c r="I7" s="197"/>
      <c r="J7" s="198"/>
      <c r="K7" s="10"/>
      <c r="L7" s="6">
        <f>R41</f>
        <v>725</v>
      </c>
      <c r="P7" s="4"/>
      <c r="Q7" s="4"/>
      <c r="R7" s="5"/>
    </row>
    <row r="8" spans="1:19" ht="14.45" customHeight="1" x14ac:dyDescent="0.25">
      <c r="A8" s="189"/>
      <c r="B8" s="19" t="s">
        <v>20</v>
      </c>
      <c r="C8" s="53"/>
      <c r="D8" s="16">
        <f t="shared" si="1"/>
        <v>0</v>
      </c>
      <c r="E8" s="9"/>
      <c r="F8" s="199" t="s">
        <v>21</v>
      </c>
      <c r="G8" s="201" t="s">
        <v>122</v>
      </c>
      <c r="H8" s="202"/>
      <c r="I8" s="202"/>
      <c r="J8" s="203"/>
      <c r="K8" s="10"/>
      <c r="L8" s="6">
        <f>R40</f>
        <v>1033</v>
      </c>
      <c r="P8" s="4"/>
      <c r="Q8" s="4"/>
      <c r="R8" s="5"/>
    </row>
    <row r="9" spans="1:19" ht="14.45" customHeight="1" x14ac:dyDescent="0.25">
      <c r="A9" s="189"/>
      <c r="B9" s="19" t="s">
        <v>23</v>
      </c>
      <c r="C9" s="53">
        <v>124</v>
      </c>
      <c r="D9" s="16">
        <f t="shared" si="1"/>
        <v>87668</v>
      </c>
      <c r="E9" s="9"/>
      <c r="F9" s="192"/>
      <c r="G9" s="204"/>
      <c r="H9" s="205"/>
      <c r="I9" s="205"/>
      <c r="J9" s="206"/>
      <c r="K9" s="10"/>
      <c r="L9" s="6">
        <f>R38</f>
        <v>707</v>
      </c>
      <c r="P9" s="4"/>
      <c r="Q9" s="4"/>
      <c r="R9" s="5"/>
    </row>
    <row r="10" spans="1:19" ht="14.45" customHeight="1" x14ac:dyDescent="0.25">
      <c r="A10" s="189"/>
      <c r="B10" s="11" t="s">
        <v>25</v>
      </c>
      <c r="C10" s="53"/>
      <c r="D10" s="16">
        <f t="shared" si="1"/>
        <v>0</v>
      </c>
      <c r="E10" s="9"/>
      <c r="F10" s="191" t="s">
        <v>26</v>
      </c>
      <c r="G10" s="207" t="s">
        <v>123</v>
      </c>
      <c r="H10" s="208"/>
      <c r="I10" s="208"/>
      <c r="J10" s="209"/>
      <c r="K10" s="10"/>
      <c r="L10" s="6">
        <f>R36</f>
        <v>972</v>
      </c>
      <c r="P10" s="4"/>
      <c r="Q10" s="4"/>
      <c r="R10" s="5"/>
    </row>
    <row r="11" spans="1:19" ht="15.75" x14ac:dyDescent="0.25">
      <c r="A11" s="189"/>
      <c r="B11" s="20" t="s">
        <v>28</v>
      </c>
      <c r="C11" s="53"/>
      <c r="D11" s="16">
        <f t="shared" si="1"/>
        <v>0</v>
      </c>
      <c r="E11" s="9"/>
      <c r="F11" s="192"/>
      <c r="G11" s="204"/>
      <c r="H11" s="205"/>
      <c r="I11" s="205"/>
      <c r="J11" s="206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89"/>
      <c r="B12" s="20" t="s">
        <v>30</v>
      </c>
      <c r="C12" s="53"/>
      <c r="D12" s="52">
        <f t="shared" si="1"/>
        <v>0</v>
      </c>
      <c r="E12" s="9"/>
      <c r="F12" s="210" t="s">
        <v>33</v>
      </c>
      <c r="G12" s="211"/>
      <c r="H12" s="211"/>
      <c r="I12" s="211"/>
      <c r="J12" s="212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89"/>
      <c r="B13" s="20" t="s">
        <v>32</v>
      </c>
      <c r="C13" s="53">
        <v>25</v>
      </c>
      <c r="D13" s="52">
        <f t="shared" si="1"/>
        <v>7675</v>
      </c>
      <c r="E13" s="9"/>
      <c r="F13" s="213" t="s">
        <v>36</v>
      </c>
      <c r="G13" s="214"/>
      <c r="H13" s="215">
        <f>D29</f>
        <v>494185</v>
      </c>
      <c r="I13" s="216"/>
      <c r="J13" s="217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89"/>
      <c r="B14" s="17" t="s">
        <v>35</v>
      </c>
      <c r="C14" s="53">
        <v>4</v>
      </c>
      <c r="D14" s="34">
        <f t="shared" si="1"/>
        <v>44</v>
      </c>
      <c r="E14" s="9"/>
      <c r="F14" s="218" t="s">
        <v>39</v>
      </c>
      <c r="G14" s="219"/>
      <c r="H14" s="220">
        <f>D54</f>
        <v>56475</v>
      </c>
      <c r="I14" s="221"/>
      <c r="J14" s="222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89"/>
      <c r="B15" s="17" t="s">
        <v>38</v>
      </c>
      <c r="C15" s="53"/>
      <c r="D15" s="34">
        <f t="shared" si="1"/>
        <v>0</v>
      </c>
      <c r="E15" s="9"/>
      <c r="F15" s="223" t="s">
        <v>40</v>
      </c>
      <c r="G15" s="214"/>
      <c r="H15" s="224">
        <f>H13-H14</f>
        <v>437710</v>
      </c>
      <c r="I15" s="225"/>
      <c r="J15" s="226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89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227">
        <f>870+1956</f>
        <v>2826</v>
      </c>
      <c r="I16" s="227"/>
      <c r="J16" s="22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89"/>
      <c r="B17" s="11" t="s">
        <v>114</v>
      </c>
      <c r="C17" s="53"/>
      <c r="D17" s="52">
        <f t="shared" si="1"/>
        <v>0</v>
      </c>
      <c r="E17" s="9"/>
      <c r="F17" s="62"/>
      <c r="G17" s="74" t="s">
        <v>45</v>
      </c>
      <c r="H17" s="200"/>
      <c r="I17" s="200"/>
      <c r="J17" s="200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89"/>
      <c r="B18" s="22" t="s">
        <v>95</v>
      </c>
      <c r="C18" s="53">
        <v>1</v>
      </c>
      <c r="D18" s="52">
        <f t="shared" si="1"/>
        <v>620</v>
      </c>
      <c r="E18" s="9"/>
      <c r="F18" s="62"/>
      <c r="G18" s="74" t="s">
        <v>47</v>
      </c>
      <c r="H18" s="200"/>
      <c r="I18" s="200"/>
      <c r="J18" s="200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89"/>
      <c r="B19" s="17" t="s">
        <v>118</v>
      </c>
      <c r="C19" s="53"/>
      <c r="D19" s="52">
        <f t="shared" si="1"/>
        <v>0</v>
      </c>
      <c r="E19" s="9"/>
      <c r="F19" s="62"/>
      <c r="G19" s="76" t="s">
        <v>50</v>
      </c>
      <c r="H19" s="313"/>
      <c r="I19" s="313"/>
      <c r="J19" s="313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89"/>
      <c r="B20" s="50" t="s">
        <v>108</v>
      </c>
      <c r="C20" s="53"/>
      <c r="D20" s="16">
        <f t="shared" si="1"/>
        <v>0</v>
      </c>
      <c r="E20" s="9"/>
      <c r="F20" s="63"/>
      <c r="G20" s="78" t="s">
        <v>124</v>
      </c>
      <c r="H20" s="227"/>
      <c r="I20" s="227"/>
      <c r="J20" s="227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89"/>
      <c r="B21" s="17" t="s">
        <v>130</v>
      </c>
      <c r="C21" s="53"/>
      <c r="D21" s="52">
        <f t="shared" si="1"/>
        <v>0</v>
      </c>
      <c r="E21" s="9"/>
      <c r="F21" s="77" t="s">
        <v>99</v>
      </c>
      <c r="G21" s="92" t="s">
        <v>98</v>
      </c>
      <c r="H21" s="246" t="s">
        <v>13</v>
      </c>
      <c r="I21" s="247"/>
      <c r="J21" s="248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89"/>
      <c r="B22" s="50" t="s">
        <v>104</v>
      </c>
      <c r="C22" s="53">
        <v>5</v>
      </c>
      <c r="D22" s="52">
        <f t="shared" si="1"/>
        <v>3350</v>
      </c>
      <c r="E22" s="9"/>
      <c r="F22" s="119" t="s">
        <v>163</v>
      </c>
      <c r="G22" s="81">
        <v>2201</v>
      </c>
      <c r="H22" s="249">
        <v>77678</v>
      </c>
      <c r="I22" s="249"/>
      <c r="J22" s="249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89"/>
      <c r="B23" s="17" t="s">
        <v>107</v>
      </c>
      <c r="C23" s="53"/>
      <c r="D23" s="52">
        <f t="shared" si="1"/>
        <v>0</v>
      </c>
      <c r="E23" s="9"/>
      <c r="F23" s="86"/>
      <c r="G23" s="87"/>
      <c r="H23" s="299"/>
      <c r="I23" s="255"/>
      <c r="J23" s="255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89"/>
      <c r="B24" s="17" t="s">
        <v>101</v>
      </c>
      <c r="C24" s="53"/>
      <c r="D24" s="52">
        <f t="shared" si="1"/>
        <v>0</v>
      </c>
      <c r="E24" s="9"/>
      <c r="F24" s="42"/>
      <c r="G24" s="41"/>
      <c r="H24" s="299"/>
      <c r="I24" s="255"/>
      <c r="J24" s="255"/>
      <c r="L24" s="51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89"/>
      <c r="B25" s="17" t="s">
        <v>117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52" t="s">
        <v>13</v>
      </c>
      <c r="I25" s="253"/>
      <c r="J25" s="254"/>
      <c r="L25" s="51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89"/>
      <c r="B26" s="17" t="s">
        <v>105</v>
      </c>
      <c r="C26" s="53"/>
      <c r="D26" s="52">
        <f t="shared" si="1"/>
        <v>0</v>
      </c>
      <c r="E26" s="9"/>
      <c r="F26" s="72"/>
      <c r="G26" s="65"/>
      <c r="H26" s="300"/>
      <c r="I26" s="301"/>
      <c r="J26" s="302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89"/>
      <c r="B27" s="17" t="s">
        <v>109</v>
      </c>
      <c r="C27" s="53"/>
      <c r="D27" s="48">
        <f t="shared" si="1"/>
        <v>0</v>
      </c>
      <c r="E27" s="9"/>
      <c r="F27" s="88"/>
      <c r="G27" s="89"/>
      <c r="H27" s="303"/>
      <c r="I27" s="304"/>
      <c r="J27" s="305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90"/>
      <c r="B28" s="50" t="s">
        <v>97</v>
      </c>
      <c r="C28" s="53"/>
      <c r="D28" s="52">
        <f t="shared" si="1"/>
        <v>0</v>
      </c>
      <c r="E28" s="9"/>
      <c r="F28" s="60"/>
      <c r="G28" s="68"/>
      <c r="H28" s="258"/>
      <c r="I28" s="259"/>
      <c r="J28" s="260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28" t="s">
        <v>36</v>
      </c>
      <c r="B29" s="229"/>
      <c r="C29" s="230"/>
      <c r="D29" s="234">
        <f>SUM(D6:D28)</f>
        <v>494185</v>
      </c>
      <c r="E29" s="9"/>
      <c r="F29" s="236" t="s">
        <v>55</v>
      </c>
      <c r="G29" s="237"/>
      <c r="H29" s="240">
        <f>H15-H16-H17-H18-H19-H20-H22-H23-H24+H26+H27</f>
        <v>357206</v>
      </c>
      <c r="I29" s="241"/>
      <c r="J29" s="242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231"/>
      <c r="B30" s="232"/>
      <c r="C30" s="233"/>
      <c r="D30" s="235"/>
      <c r="E30" s="9"/>
      <c r="F30" s="238"/>
      <c r="G30" s="239"/>
      <c r="H30" s="243"/>
      <c r="I30" s="244"/>
      <c r="J30" s="245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5" t="s">
        <v>58</v>
      </c>
      <c r="B32" s="176"/>
      <c r="C32" s="176"/>
      <c r="D32" s="177"/>
      <c r="E32" s="11"/>
      <c r="F32" s="261" t="s">
        <v>59</v>
      </c>
      <c r="G32" s="262"/>
      <c r="H32" s="262"/>
      <c r="I32" s="262"/>
      <c r="J32" s="263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41" t="s">
        <v>63</v>
      </c>
      <c r="H33" s="261" t="s">
        <v>13</v>
      </c>
      <c r="I33" s="262"/>
      <c r="J33" s="263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88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82">
        <v>104</v>
      </c>
      <c r="H34" s="264">
        <f>F34*G34</f>
        <v>104000</v>
      </c>
      <c r="I34" s="265"/>
      <c r="J34" s="266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89"/>
      <c r="B35" s="30" t="s">
        <v>68</v>
      </c>
      <c r="C35" s="57"/>
      <c r="D35" s="33">
        <f>C35*84</f>
        <v>0</v>
      </c>
      <c r="E35" s="9"/>
      <c r="F35" s="64">
        <v>500</v>
      </c>
      <c r="G35" s="45">
        <v>21</v>
      </c>
      <c r="H35" s="264">
        <f>F35*G35</f>
        <v>10500</v>
      </c>
      <c r="I35" s="265"/>
      <c r="J35" s="266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90"/>
      <c r="B36" s="29" t="s">
        <v>70</v>
      </c>
      <c r="C36" s="53"/>
      <c r="D36" s="15">
        <f>C36*1.5</f>
        <v>0</v>
      </c>
      <c r="E36" s="9"/>
      <c r="F36" s="15">
        <v>200</v>
      </c>
      <c r="G36" s="41">
        <v>9</v>
      </c>
      <c r="H36" s="264">
        <f t="shared" ref="H36:H39" si="2">F36*G36</f>
        <v>1800</v>
      </c>
      <c r="I36" s="265"/>
      <c r="J36" s="266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88" t="s">
        <v>72</v>
      </c>
      <c r="B37" s="31" t="s">
        <v>66</v>
      </c>
      <c r="C37" s="58">
        <v>481</v>
      </c>
      <c r="D37" s="15">
        <f>C37*111</f>
        <v>53391</v>
      </c>
      <c r="E37" s="9"/>
      <c r="F37" s="15">
        <v>100</v>
      </c>
      <c r="G37" s="43">
        <v>313</v>
      </c>
      <c r="H37" s="264">
        <f t="shared" si="2"/>
        <v>31300</v>
      </c>
      <c r="I37" s="265"/>
      <c r="J37" s="266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89"/>
      <c r="B38" s="32" t="s">
        <v>68</v>
      </c>
      <c r="C38" s="59">
        <v>7</v>
      </c>
      <c r="D38" s="15">
        <f>C38*84</f>
        <v>588</v>
      </c>
      <c r="E38" s="9"/>
      <c r="F38" s="33">
        <v>50</v>
      </c>
      <c r="G38" s="43">
        <v>120</v>
      </c>
      <c r="H38" s="264">
        <f t="shared" si="2"/>
        <v>6000</v>
      </c>
      <c r="I38" s="265"/>
      <c r="J38" s="266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90"/>
      <c r="B39" s="32" t="s">
        <v>70</v>
      </c>
      <c r="C39" s="57">
        <v>1</v>
      </c>
      <c r="D39" s="34">
        <f>C39*4.5</f>
        <v>4.5</v>
      </c>
      <c r="E39" s="9"/>
      <c r="F39" s="15">
        <v>20</v>
      </c>
      <c r="G39" s="41"/>
      <c r="H39" s="264">
        <f t="shared" si="2"/>
        <v>0</v>
      </c>
      <c r="I39" s="265"/>
      <c r="J39" s="266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88" t="s">
        <v>76</v>
      </c>
      <c r="B40" s="30" t="s">
        <v>66</v>
      </c>
      <c r="C40" s="70">
        <v>5</v>
      </c>
      <c r="D40" s="15">
        <f>C40*111</f>
        <v>555</v>
      </c>
      <c r="E40" s="9"/>
      <c r="F40" s="15">
        <v>10</v>
      </c>
      <c r="G40" s="46"/>
      <c r="H40" s="264"/>
      <c r="I40" s="265"/>
      <c r="J40" s="266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89"/>
      <c r="B41" s="30" t="s">
        <v>68</v>
      </c>
      <c r="C41" s="53">
        <v>3</v>
      </c>
      <c r="D41" s="15">
        <f>C41*84</f>
        <v>252</v>
      </c>
      <c r="E41" s="9"/>
      <c r="F41" s="15">
        <v>5</v>
      </c>
      <c r="G41" s="46"/>
      <c r="H41" s="264"/>
      <c r="I41" s="265"/>
      <c r="J41" s="266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90"/>
      <c r="B42" s="30" t="s">
        <v>70</v>
      </c>
      <c r="C42" s="71">
        <v>4</v>
      </c>
      <c r="D42" s="15">
        <f>C42*2.25</f>
        <v>9</v>
      </c>
      <c r="E42" s="9"/>
      <c r="F42" s="43" t="s">
        <v>79</v>
      </c>
      <c r="G42" s="264">
        <v>25</v>
      </c>
      <c r="H42" s="265"/>
      <c r="I42" s="265"/>
      <c r="J42" s="266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67" t="s">
        <v>81</v>
      </c>
      <c r="C43" s="71"/>
      <c r="D43" s="15"/>
      <c r="E43" s="9"/>
      <c r="F43" s="65" t="s">
        <v>82</v>
      </c>
      <c r="G43" s="143" t="s">
        <v>83</v>
      </c>
      <c r="H43" s="270" t="s">
        <v>13</v>
      </c>
      <c r="I43" s="271"/>
      <c r="J43" s="272"/>
      <c r="K43" s="24"/>
      <c r="P43" s="4"/>
      <c r="Q43" s="4"/>
      <c r="R43" s="5"/>
    </row>
    <row r="44" spans="1:18" ht="15.75" x14ac:dyDescent="0.25">
      <c r="A44" s="268"/>
      <c r="B44" s="30" t="s">
        <v>66</v>
      </c>
      <c r="C44" s="53">
        <v>1</v>
      </c>
      <c r="D44" s="15">
        <f>C44*120</f>
        <v>120</v>
      </c>
      <c r="E44" s="9"/>
      <c r="F44" s="41" t="s">
        <v>154</v>
      </c>
      <c r="G44" s="84" t="s">
        <v>193</v>
      </c>
      <c r="H44" s="255">
        <v>199746</v>
      </c>
      <c r="I44" s="255"/>
      <c r="J44" s="255"/>
      <c r="K44" s="24"/>
      <c r="P44" s="4"/>
      <c r="Q44" s="4"/>
      <c r="R44" s="5"/>
    </row>
    <row r="45" spans="1:18" ht="15.75" x14ac:dyDescent="0.25">
      <c r="A45" s="268"/>
      <c r="B45" s="30" t="s">
        <v>68</v>
      </c>
      <c r="C45" s="90"/>
      <c r="D45" s="15">
        <f>C45*84</f>
        <v>0</v>
      </c>
      <c r="E45" s="9"/>
      <c r="F45" s="41"/>
      <c r="G45" s="84"/>
      <c r="H45" s="255"/>
      <c r="I45" s="255"/>
      <c r="J45" s="255"/>
      <c r="K45" s="24"/>
      <c r="P45" s="4"/>
      <c r="Q45" s="4"/>
      <c r="R45" s="5"/>
    </row>
    <row r="46" spans="1:18" ht="15.75" x14ac:dyDescent="0.25">
      <c r="A46" s="268"/>
      <c r="B46" s="54" t="s">
        <v>70</v>
      </c>
      <c r="C46" s="91"/>
      <c r="D46" s="15">
        <f>C46*1.5</f>
        <v>0</v>
      </c>
      <c r="E46" s="9"/>
      <c r="F46" s="41"/>
      <c r="G46" s="69"/>
      <c r="H46" s="306"/>
      <c r="I46" s="306"/>
      <c r="J46" s="306"/>
      <c r="K46" s="24"/>
      <c r="P46" s="4"/>
      <c r="Q46" s="4"/>
      <c r="R46" s="5"/>
    </row>
    <row r="47" spans="1:18" ht="15.75" x14ac:dyDescent="0.25">
      <c r="A47" s="269"/>
      <c r="B47" s="30"/>
      <c r="C47" s="71"/>
      <c r="D47" s="15"/>
      <c r="E47" s="9"/>
      <c r="F47" s="65"/>
      <c r="G47" s="65"/>
      <c r="H47" s="273"/>
      <c r="I47" s="274"/>
      <c r="J47" s="275"/>
      <c r="K47" s="24"/>
      <c r="P47" s="4"/>
      <c r="Q47" s="4"/>
      <c r="R47" s="5"/>
    </row>
    <row r="48" spans="1:18" ht="15" customHeight="1" x14ac:dyDescent="0.25">
      <c r="A48" s="267" t="s">
        <v>32</v>
      </c>
      <c r="B48" s="30" t="s">
        <v>66</v>
      </c>
      <c r="C48" s="53">
        <v>12</v>
      </c>
      <c r="D48" s="15">
        <f>C48*78</f>
        <v>936</v>
      </c>
      <c r="E48" s="9"/>
      <c r="F48" s="65"/>
      <c r="G48" s="65"/>
      <c r="H48" s="273"/>
      <c r="I48" s="274"/>
      <c r="J48" s="275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68"/>
      <c r="B49" s="32" t="s">
        <v>68</v>
      </c>
      <c r="C49" s="90">
        <v>14</v>
      </c>
      <c r="D49" s="15">
        <f>C49*42</f>
        <v>588</v>
      </c>
      <c r="E49" s="9"/>
      <c r="F49" s="288" t="s">
        <v>86</v>
      </c>
      <c r="G49" s="240">
        <f>H34+H35+H36+H37+H38+H39+H40+H41+G42+H44+H45+H46</f>
        <v>353371</v>
      </c>
      <c r="H49" s="241"/>
      <c r="I49" s="241"/>
      <c r="J49" s="242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68"/>
      <c r="B50" s="35" t="s">
        <v>70</v>
      </c>
      <c r="C50" s="71">
        <v>21</v>
      </c>
      <c r="D50" s="15">
        <f>C50*1.5</f>
        <v>31.5</v>
      </c>
      <c r="E50" s="9"/>
      <c r="F50" s="289"/>
      <c r="G50" s="243"/>
      <c r="H50" s="244"/>
      <c r="I50" s="244"/>
      <c r="J50" s="245"/>
      <c r="K50" s="9"/>
      <c r="P50" s="4"/>
      <c r="Q50" s="4"/>
      <c r="R50" s="5"/>
    </row>
    <row r="51" spans="1:18" ht="15" customHeight="1" x14ac:dyDescent="0.25">
      <c r="A51" s="268"/>
      <c r="B51" s="30"/>
      <c r="C51" s="53"/>
      <c r="D51" s="34"/>
      <c r="E51" s="9"/>
      <c r="F51" s="290" t="s">
        <v>135</v>
      </c>
      <c r="G51" s="314">
        <f>G49-H29</f>
        <v>-3835</v>
      </c>
      <c r="H51" s="315"/>
      <c r="I51" s="315"/>
      <c r="J51" s="316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68"/>
      <c r="B52" s="32"/>
      <c r="C52" s="36"/>
      <c r="D52" s="49"/>
      <c r="E52" s="9"/>
      <c r="F52" s="291"/>
      <c r="G52" s="317"/>
      <c r="H52" s="318"/>
      <c r="I52" s="318"/>
      <c r="J52" s="319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69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236" t="s">
        <v>90</v>
      </c>
      <c r="B54" s="276"/>
      <c r="C54" s="277"/>
      <c r="D54" s="280">
        <f>SUM(D34:D53)</f>
        <v>56475</v>
      </c>
      <c r="E54" s="9"/>
      <c r="F54" s="24"/>
      <c r="G54" s="9"/>
      <c r="H54" s="9"/>
      <c r="I54" s="9"/>
      <c r="J54" s="37"/>
    </row>
    <row r="55" spans="1:18" x14ac:dyDescent="0.25">
      <c r="A55" s="238"/>
      <c r="B55" s="278"/>
      <c r="C55" s="279"/>
      <c r="D55" s="281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119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282" t="s">
        <v>91</v>
      </c>
      <c r="B58" s="283"/>
      <c r="C58" s="283"/>
      <c r="D58" s="284"/>
      <c r="E58" s="9"/>
      <c r="F58" s="282" t="s">
        <v>92</v>
      </c>
      <c r="G58" s="283"/>
      <c r="H58" s="283"/>
      <c r="I58" s="283"/>
      <c r="J58" s="284"/>
    </row>
    <row r="59" spans="1:18" x14ac:dyDescent="0.25">
      <c r="A59" s="285"/>
      <c r="B59" s="286"/>
      <c r="C59" s="286"/>
      <c r="D59" s="287"/>
      <c r="E59" s="9"/>
      <c r="F59" s="285"/>
      <c r="G59" s="286"/>
      <c r="H59" s="286"/>
      <c r="I59" s="286"/>
      <c r="J59" s="287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29255-8015-4417-9FF9-8EC6158D5351}">
  <dimension ref="A1"/>
  <sheetViews>
    <sheetView workbookViewId="0">
      <selection activeCell="I4" sqref="I4:J5"/>
    </sheetView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916BE-573F-4340-9E35-A333ED7DCB33}">
  <dimension ref="A1"/>
  <sheetViews>
    <sheetView workbookViewId="0">
      <selection activeCell="I4" sqref="I4:J5"/>
    </sheetView>
  </sheetViews>
  <sheetFormatPr defaultRowHeight="15" x14ac:dyDescent="0.25"/>
  <sheetData/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F4124-5D64-44F5-A8AA-FCD1BAC30E89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174" t="s">
        <v>1</v>
      </c>
      <c r="O1" s="174"/>
      <c r="P1" s="147" t="s">
        <v>2</v>
      </c>
      <c r="Q1" s="147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75" t="s">
        <v>7</v>
      </c>
      <c r="B4" s="176"/>
      <c r="C4" s="176"/>
      <c r="D4" s="177"/>
      <c r="E4" s="9"/>
      <c r="F4" s="178" t="s">
        <v>8</v>
      </c>
      <c r="G4" s="180">
        <v>1</v>
      </c>
      <c r="H4" s="182" t="s">
        <v>9</v>
      </c>
      <c r="I4" s="184">
        <v>45795</v>
      </c>
      <c r="J4" s="185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88" t="s">
        <v>7</v>
      </c>
      <c r="B5" s="18" t="s">
        <v>11</v>
      </c>
      <c r="C5" s="12" t="s">
        <v>12</v>
      </c>
      <c r="D5" s="28" t="s">
        <v>13</v>
      </c>
      <c r="E5" s="9"/>
      <c r="F5" s="179"/>
      <c r="G5" s="181"/>
      <c r="H5" s="183"/>
      <c r="I5" s="186"/>
      <c r="J5" s="187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89"/>
      <c r="B6" s="19" t="s">
        <v>15</v>
      </c>
      <c r="C6" s="53">
        <v>399</v>
      </c>
      <c r="D6" s="16">
        <f t="shared" ref="D6:D28" si="1">C6*L6</f>
        <v>294063</v>
      </c>
      <c r="E6" s="9"/>
      <c r="F6" s="191" t="s">
        <v>16</v>
      </c>
      <c r="G6" s="193" t="s">
        <v>128</v>
      </c>
      <c r="H6" s="194"/>
      <c r="I6" s="194"/>
      <c r="J6" s="195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89"/>
      <c r="B7" s="19" t="s">
        <v>18</v>
      </c>
      <c r="C7" s="53">
        <v>9</v>
      </c>
      <c r="D7" s="16">
        <f t="shared" si="1"/>
        <v>6525</v>
      </c>
      <c r="E7" s="9"/>
      <c r="F7" s="192"/>
      <c r="G7" s="196"/>
      <c r="H7" s="197"/>
      <c r="I7" s="197"/>
      <c r="J7" s="198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189"/>
      <c r="B8" s="19" t="s">
        <v>20</v>
      </c>
      <c r="C8" s="53">
        <v>2</v>
      </c>
      <c r="D8" s="16">
        <f t="shared" si="1"/>
        <v>2066</v>
      </c>
      <c r="E8" s="9"/>
      <c r="F8" s="199" t="s">
        <v>21</v>
      </c>
      <c r="G8" s="201" t="s">
        <v>113</v>
      </c>
      <c r="H8" s="202"/>
      <c r="I8" s="202"/>
      <c r="J8" s="203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189"/>
      <c r="B9" s="19" t="s">
        <v>23</v>
      </c>
      <c r="C9" s="53">
        <v>36</v>
      </c>
      <c r="D9" s="16">
        <f t="shared" si="1"/>
        <v>25452</v>
      </c>
      <c r="E9" s="9"/>
      <c r="F9" s="192"/>
      <c r="G9" s="204"/>
      <c r="H9" s="205"/>
      <c r="I9" s="205"/>
      <c r="J9" s="206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189"/>
      <c r="B10" s="11" t="s">
        <v>25</v>
      </c>
      <c r="C10" s="53"/>
      <c r="D10" s="16">
        <f t="shared" si="1"/>
        <v>0</v>
      </c>
      <c r="E10" s="9"/>
      <c r="F10" s="191" t="s">
        <v>26</v>
      </c>
      <c r="G10" s="207" t="s">
        <v>132</v>
      </c>
      <c r="H10" s="208"/>
      <c r="I10" s="208"/>
      <c r="J10" s="209"/>
      <c r="K10" s="10"/>
      <c r="L10" s="6">
        <f>R36</f>
        <v>972</v>
      </c>
      <c r="P10" s="4"/>
      <c r="Q10" s="4"/>
      <c r="R10" s="5"/>
    </row>
    <row r="11" spans="1:18" ht="15.75" x14ac:dyDescent="0.25">
      <c r="A11" s="189"/>
      <c r="B11" s="20" t="s">
        <v>28</v>
      </c>
      <c r="C11" s="53">
        <v>1</v>
      </c>
      <c r="D11" s="16">
        <f t="shared" si="1"/>
        <v>1125</v>
      </c>
      <c r="E11" s="9"/>
      <c r="F11" s="192"/>
      <c r="G11" s="204"/>
      <c r="H11" s="205"/>
      <c r="I11" s="205"/>
      <c r="J11" s="206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89"/>
      <c r="B12" s="20" t="s">
        <v>30</v>
      </c>
      <c r="C12" s="53">
        <f>4+2</f>
        <v>6</v>
      </c>
      <c r="D12" s="52">
        <f t="shared" si="1"/>
        <v>5712</v>
      </c>
      <c r="E12" s="9"/>
      <c r="F12" s="210" t="s">
        <v>33</v>
      </c>
      <c r="G12" s="211"/>
      <c r="H12" s="211"/>
      <c r="I12" s="211"/>
      <c r="J12" s="212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89"/>
      <c r="B13" s="20" t="s">
        <v>32</v>
      </c>
      <c r="C13" s="53">
        <v>19</v>
      </c>
      <c r="D13" s="52">
        <f t="shared" si="1"/>
        <v>5833</v>
      </c>
      <c r="E13" s="9"/>
      <c r="F13" s="213" t="s">
        <v>36</v>
      </c>
      <c r="G13" s="214"/>
      <c r="H13" s="215">
        <f>D29</f>
        <v>346831</v>
      </c>
      <c r="I13" s="216"/>
      <c r="J13" s="217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89"/>
      <c r="B14" s="17" t="s">
        <v>35</v>
      </c>
      <c r="C14" s="53">
        <v>3</v>
      </c>
      <c r="D14" s="34">
        <f t="shared" si="1"/>
        <v>33</v>
      </c>
      <c r="E14" s="9"/>
      <c r="F14" s="218" t="s">
        <v>39</v>
      </c>
      <c r="G14" s="219"/>
      <c r="H14" s="220">
        <f>D54</f>
        <v>49173.75</v>
      </c>
      <c r="I14" s="221"/>
      <c r="J14" s="222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89"/>
      <c r="B15" s="17" t="s">
        <v>38</v>
      </c>
      <c r="C15" s="53"/>
      <c r="D15" s="34">
        <f t="shared" si="1"/>
        <v>0</v>
      </c>
      <c r="E15" s="9"/>
      <c r="F15" s="223" t="s">
        <v>40</v>
      </c>
      <c r="G15" s="214"/>
      <c r="H15" s="224">
        <f>H13-H14</f>
        <v>297657.25</v>
      </c>
      <c r="I15" s="225"/>
      <c r="J15" s="226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89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227"/>
      <c r="I16" s="227"/>
      <c r="J16" s="22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89"/>
      <c r="B17" s="11" t="s">
        <v>137</v>
      </c>
      <c r="C17" s="53"/>
      <c r="D17" s="52">
        <f t="shared" si="1"/>
        <v>0</v>
      </c>
      <c r="E17" s="9"/>
      <c r="F17" s="62"/>
      <c r="G17" s="74" t="s">
        <v>45</v>
      </c>
      <c r="H17" s="200"/>
      <c r="I17" s="200"/>
      <c r="J17" s="200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89"/>
      <c r="B18" s="22" t="s">
        <v>194</v>
      </c>
      <c r="C18" s="53">
        <v>1</v>
      </c>
      <c r="D18" s="52">
        <f t="shared" si="1"/>
        <v>1447</v>
      </c>
      <c r="E18" s="9"/>
      <c r="F18" s="62"/>
      <c r="G18" s="74" t="s">
        <v>47</v>
      </c>
      <c r="H18" s="200"/>
      <c r="I18" s="200"/>
      <c r="J18" s="200"/>
      <c r="L18" s="6">
        <v>1447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89"/>
      <c r="B19" s="17" t="s">
        <v>140</v>
      </c>
      <c r="C19" s="53"/>
      <c r="D19" s="52">
        <f t="shared" si="1"/>
        <v>0</v>
      </c>
      <c r="E19" s="9"/>
      <c r="F19" s="62"/>
      <c r="G19" s="76" t="s">
        <v>50</v>
      </c>
      <c r="H19" s="200"/>
      <c r="I19" s="200"/>
      <c r="J19" s="200"/>
      <c r="L19" s="6">
        <v>1102</v>
      </c>
      <c r="Q19" s="4"/>
      <c r="R19" s="5">
        <f t="shared" si="0"/>
        <v>0</v>
      </c>
    </row>
    <row r="20" spans="1:18" ht="15.75" x14ac:dyDescent="0.25">
      <c r="A20" s="189"/>
      <c r="B20" s="97" t="s">
        <v>139</v>
      </c>
      <c r="C20" s="53"/>
      <c r="D20" s="16">
        <f t="shared" si="1"/>
        <v>0</v>
      </c>
      <c r="E20" s="9"/>
      <c r="F20" s="63"/>
      <c r="G20" s="78" t="s">
        <v>124</v>
      </c>
      <c r="H20" s="227"/>
      <c r="I20" s="227"/>
      <c r="J20" s="227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89"/>
      <c r="B21" s="17" t="s">
        <v>158</v>
      </c>
      <c r="C21" s="53">
        <v>1</v>
      </c>
      <c r="D21" s="52">
        <f t="shared" si="1"/>
        <v>650</v>
      </c>
      <c r="E21" s="9"/>
      <c r="F21" s="77" t="s">
        <v>99</v>
      </c>
      <c r="G21" s="92" t="s">
        <v>98</v>
      </c>
      <c r="H21" s="246" t="s">
        <v>13</v>
      </c>
      <c r="I21" s="247"/>
      <c r="J21" s="248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89"/>
      <c r="B22" s="50" t="s">
        <v>110</v>
      </c>
      <c r="C22" s="53"/>
      <c r="D22" s="52">
        <f t="shared" si="1"/>
        <v>0</v>
      </c>
      <c r="E22" s="9"/>
      <c r="F22" s="85" t="s">
        <v>152</v>
      </c>
      <c r="G22" s="81">
        <v>1840</v>
      </c>
      <c r="H22" s="249">
        <v>76800</v>
      </c>
      <c r="I22" s="249"/>
      <c r="J22" s="249"/>
      <c r="L22" s="7">
        <v>1142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89"/>
      <c r="B23" s="17" t="s">
        <v>125</v>
      </c>
      <c r="C23" s="53"/>
      <c r="D23" s="52">
        <f t="shared" si="1"/>
        <v>0</v>
      </c>
      <c r="E23" s="9"/>
      <c r="F23" s="85"/>
      <c r="G23" s="87"/>
      <c r="H23" s="250"/>
      <c r="I23" s="251"/>
      <c r="J23" s="251"/>
      <c r="L23" s="51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89"/>
      <c r="B24" s="17" t="s">
        <v>126</v>
      </c>
      <c r="C24" s="53"/>
      <c r="D24" s="52">
        <f t="shared" si="1"/>
        <v>0</v>
      </c>
      <c r="E24" s="9"/>
      <c r="F24" s="85"/>
      <c r="G24" s="87"/>
      <c r="H24" s="250"/>
      <c r="I24" s="251"/>
      <c r="J24" s="251"/>
      <c r="L24" s="51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89"/>
      <c r="B25" s="17" t="s">
        <v>121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52" t="s">
        <v>13</v>
      </c>
      <c r="I25" s="253"/>
      <c r="J25" s="254"/>
      <c r="L25" s="51">
        <f>852/24+1.5</f>
        <v>37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89"/>
      <c r="B26" s="17" t="s">
        <v>112</v>
      </c>
      <c r="C26" s="53"/>
      <c r="D26" s="52">
        <f t="shared" si="1"/>
        <v>0</v>
      </c>
      <c r="E26" s="9"/>
      <c r="F26" s="83"/>
      <c r="G26" s="73"/>
      <c r="H26" s="255"/>
      <c r="I26" s="255"/>
      <c r="J26" s="255"/>
      <c r="L26" s="7">
        <f>500/24+1.5</f>
        <v>22.333333333333332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89"/>
      <c r="B27" s="17" t="s">
        <v>120</v>
      </c>
      <c r="C27" s="53"/>
      <c r="D27" s="48">
        <f t="shared" si="1"/>
        <v>0</v>
      </c>
      <c r="E27" s="9"/>
      <c r="F27" s="79"/>
      <c r="G27" s="145"/>
      <c r="H27" s="256"/>
      <c r="I27" s="257"/>
      <c r="J27" s="257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90"/>
      <c r="B28" s="50" t="s">
        <v>97</v>
      </c>
      <c r="C28" s="53">
        <v>5</v>
      </c>
      <c r="D28" s="52">
        <f t="shared" si="1"/>
        <v>3925</v>
      </c>
      <c r="E28" s="9"/>
      <c r="F28" s="60"/>
      <c r="G28" s="68"/>
      <c r="H28" s="258"/>
      <c r="I28" s="259"/>
      <c r="J28" s="260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28" t="s">
        <v>36</v>
      </c>
      <c r="B29" s="229"/>
      <c r="C29" s="230"/>
      <c r="D29" s="234">
        <f>SUM(D6:D28)</f>
        <v>346831</v>
      </c>
      <c r="E29" s="9"/>
      <c r="F29" s="236" t="s">
        <v>55</v>
      </c>
      <c r="G29" s="237"/>
      <c r="H29" s="240">
        <f>H15-H16-H17-H18-H19-H20-H22-H23-H24+H26+H27+H28</f>
        <v>220857.25</v>
      </c>
      <c r="I29" s="241"/>
      <c r="J29" s="242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231"/>
      <c r="B30" s="232"/>
      <c r="C30" s="233"/>
      <c r="D30" s="235"/>
      <c r="E30" s="9"/>
      <c r="F30" s="238"/>
      <c r="G30" s="239"/>
      <c r="H30" s="243"/>
      <c r="I30" s="244"/>
      <c r="J30" s="245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5" t="s">
        <v>58</v>
      </c>
      <c r="B32" s="176"/>
      <c r="C32" s="176"/>
      <c r="D32" s="177"/>
      <c r="E32" s="11"/>
      <c r="F32" s="261" t="s">
        <v>59</v>
      </c>
      <c r="G32" s="262"/>
      <c r="H32" s="262"/>
      <c r="I32" s="262"/>
      <c r="J32" s="263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48" t="s">
        <v>63</v>
      </c>
      <c r="H33" s="261" t="s">
        <v>13</v>
      </c>
      <c r="I33" s="262"/>
      <c r="J33" s="263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88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44">
        <v>152</v>
      </c>
      <c r="H34" s="264">
        <f t="shared" ref="H34:H39" si="2">F34*G34</f>
        <v>152000</v>
      </c>
      <c r="I34" s="265"/>
      <c r="J34" s="266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89"/>
      <c r="B35" s="30" t="s">
        <v>68</v>
      </c>
      <c r="C35" s="57"/>
      <c r="D35" s="33">
        <f>C35*84</f>
        <v>0</v>
      </c>
      <c r="E35" s="9"/>
      <c r="F35" s="64">
        <v>500</v>
      </c>
      <c r="G35" s="45">
        <v>86</v>
      </c>
      <c r="H35" s="264">
        <f t="shared" si="2"/>
        <v>43000</v>
      </c>
      <c r="I35" s="265"/>
      <c r="J35" s="266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90"/>
      <c r="B36" s="29" t="s">
        <v>70</v>
      </c>
      <c r="C36" s="53">
        <v>1</v>
      </c>
      <c r="D36" s="15">
        <f>C36*1.5</f>
        <v>1.5</v>
      </c>
      <c r="E36" s="9"/>
      <c r="F36" s="15">
        <v>200</v>
      </c>
      <c r="G36" s="41">
        <v>2</v>
      </c>
      <c r="H36" s="264">
        <f t="shared" si="2"/>
        <v>400</v>
      </c>
      <c r="I36" s="265"/>
      <c r="J36" s="266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88" t="s">
        <v>72</v>
      </c>
      <c r="B37" s="31" t="s">
        <v>66</v>
      </c>
      <c r="C37" s="58">
        <v>424</v>
      </c>
      <c r="D37" s="15">
        <f>C37*111</f>
        <v>47064</v>
      </c>
      <c r="E37" s="9"/>
      <c r="F37" s="15">
        <v>100</v>
      </c>
      <c r="G37" s="43">
        <v>198</v>
      </c>
      <c r="H37" s="264">
        <f t="shared" si="2"/>
        <v>19800</v>
      </c>
      <c r="I37" s="265"/>
      <c r="J37" s="266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89"/>
      <c r="B38" s="32" t="s">
        <v>68</v>
      </c>
      <c r="C38" s="59">
        <v>7</v>
      </c>
      <c r="D38" s="15">
        <f>C38*84</f>
        <v>588</v>
      </c>
      <c r="E38" s="9"/>
      <c r="F38" s="33">
        <v>50</v>
      </c>
      <c r="G38" s="43">
        <v>115</v>
      </c>
      <c r="H38" s="264">
        <f t="shared" si="2"/>
        <v>5750</v>
      </c>
      <c r="I38" s="265"/>
      <c r="J38" s="266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90"/>
      <c r="B39" s="32" t="s">
        <v>70</v>
      </c>
      <c r="C39" s="57">
        <v>9</v>
      </c>
      <c r="D39" s="34">
        <f>C39*4.5</f>
        <v>40.5</v>
      </c>
      <c r="E39" s="9"/>
      <c r="F39" s="15">
        <v>20</v>
      </c>
      <c r="G39" s="41">
        <v>3</v>
      </c>
      <c r="H39" s="264">
        <f t="shared" si="2"/>
        <v>60</v>
      </c>
      <c r="I39" s="265"/>
      <c r="J39" s="266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88" t="s">
        <v>76</v>
      </c>
      <c r="B40" s="30" t="s">
        <v>66</v>
      </c>
      <c r="C40" s="70">
        <v>2</v>
      </c>
      <c r="D40" s="15">
        <f>C40*111</f>
        <v>222</v>
      </c>
      <c r="E40" s="9"/>
      <c r="F40" s="15">
        <v>10</v>
      </c>
      <c r="G40" s="46"/>
      <c r="H40" s="264"/>
      <c r="I40" s="265"/>
      <c r="J40" s="266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89"/>
      <c r="B41" s="30" t="s">
        <v>68</v>
      </c>
      <c r="C41" s="53">
        <v>1</v>
      </c>
      <c r="D41" s="15">
        <f>C41*84</f>
        <v>84</v>
      </c>
      <c r="E41" s="9"/>
      <c r="F41" s="15">
        <v>5</v>
      </c>
      <c r="G41" s="46"/>
      <c r="H41" s="264"/>
      <c r="I41" s="265"/>
      <c r="J41" s="266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90"/>
      <c r="B42" s="30" t="s">
        <v>70</v>
      </c>
      <c r="C42" s="71">
        <v>9</v>
      </c>
      <c r="D42" s="15">
        <f>C42*2.25</f>
        <v>20.25</v>
      </c>
      <c r="E42" s="9"/>
      <c r="F42" s="43" t="s">
        <v>79</v>
      </c>
      <c r="G42" s="264">
        <v>50</v>
      </c>
      <c r="H42" s="265"/>
      <c r="I42" s="265"/>
      <c r="J42" s="266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67" t="s">
        <v>81</v>
      </c>
      <c r="C43" s="71"/>
      <c r="D43" s="15"/>
      <c r="E43" s="9"/>
      <c r="F43" s="65" t="s">
        <v>82</v>
      </c>
      <c r="G43" s="145" t="s">
        <v>83</v>
      </c>
      <c r="H43" s="270" t="s">
        <v>13</v>
      </c>
      <c r="I43" s="271"/>
      <c r="J43" s="272"/>
      <c r="K43" s="24"/>
      <c r="O43" t="s">
        <v>103</v>
      </c>
      <c r="P43" s="4">
        <v>1667</v>
      </c>
      <c r="Q43" s="4"/>
      <c r="R43" s="5"/>
    </row>
    <row r="44" spans="1:18" ht="15.75" x14ac:dyDescent="0.25">
      <c r="A44" s="268"/>
      <c r="B44" s="30" t="s">
        <v>66</v>
      </c>
      <c r="C44" s="53">
        <v>1</v>
      </c>
      <c r="D44" s="15">
        <f>C44*120</f>
        <v>120</v>
      </c>
      <c r="E44" s="9"/>
      <c r="F44" s="41"/>
      <c r="G44" s="69"/>
      <c r="H44" s="255"/>
      <c r="I44" s="255"/>
      <c r="J44" s="255"/>
      <c r="K44" s="24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268"/>
      <c r="B45" s="30" t="s">
        <v>68</v>
      </c>
      <c r="C45" s="90">
        <v>2</v>
      </c>
      <c r="D45" s="15">
        <f>C45*84</f>
        <v>168</v>
      </c>
      <c r="E45" s="9"/>
      <c r="F45" s="41"/>
      <c r="G45" s="69"/>
      <c r="H45" s="255"/>
      <c r="I45" s="255"/>
      <c r="J45" s="255"/>
      <c r="K45" s="24"/>
      <c r="P45" s="4"/>
      <c r="Q45" s="4"/>
      <c r="R45" s="5"/>
    </row>
    <row r="46" spans="1:18" ht="15.75" x14ac:dyDescent="0.25">
      <c r="A46" s="268"/>
      <c r="B46" s="54" t="s">
        <v>70</v>
      </c>
      <c r="C46" s="91">
        <v>17</v>
      </c>
      <c r="D46" s="15">
        <f>C46*1.5</f>
        <v>25.5</v>
      </c>
      <c r="E46" s="9"/>
      <c r="F46" s="41"/>
      <c r="G46" s="69"/>
      <c r="H46" s="255"/>
      <c r="I46" s="255"/>
      <c r="J46" s="255"/>
      <c r="K46" s="24"/>
      <c r="P46" s="4"/>
      <c r="Q46" s="4"/>
      <c r="R46" s="5"/>
    </row>
    <row r="47" spans="1:18" ht="15.75" x14ac:dyDescent="0.25">
      <c r="A47" s="269"/>
      <c r="B47" s="30"/>
      <c r="C47" s="71"/>
      <c r="D47" s="15"/>
      <c r="E47" s="9"/>
      <c r="F47" s="65"/>
      <c r="G47" s="65"/>
      <c r="H47" s="273"/>
      <c r="I47" s="274"/>
      <c r="J47" s="275"/>
      <c r="K47" s="24"/>
      <c r="P47" s="4"/>
      <c r="Q47" s="4"/>
      <c r="R47" s="5"/>
    </row>
    <row r="48" spans="1:18" ht="15" customHeight="1" x14ac:dyDescent="0.25">
      <c r="A48" s="267" t="s">
        <v>32</v>
      </c>
      <c r="B48" s="30" t="s">
        <v>66</v>
      </c>
      <c r="C48" s="53">
        <v>9</v>
      </c>
      <c r="D48" s="15">
        <f>C48*78</f>
        <v>702</v>
      </c>
      <c r="E48" s="9"/>
      <c r="F48" s="65"/>
      <c r="G48" s="65"/>
      <c r="H48" s="273"/>
      <c r="I48" s="274"/>
      <c r="J48" s="275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68"/>
      <c r="B49" s="32" t="s">
        <v>68</v>
      </c>
      <c r="C49" s="90">
        <v>2</v>
      </c>
      <c r="D49" s="15">
        <f>C49*42</f>
        <v>84</v>
      </c>
      <c r="E49" s="9"/>
      <c r="F49" s="288" t="s">
        <v>86</v>
      </c>
      <c r="G49" s="240">
        <f>H34+H35+H36+H37+H38+H39+H40+H41+G42+H44+H45+H46</f>
        <v>221060</v>
      </c>
      <c r="H49" s="241"/>
      <c r="I49" s="241"/>
      <c r="J49" s="242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68"/>
      <c r="B50" s="35" t="s">
        <v>70</v>
      </c>
      <c r="C50" s="71">
        <v>36</v>
      </c>
      <c r="D50" s="15">
        <f>C50*1.5</f>
        <v>54</v>
      </c>
      <c r="E50" s="9"/>
      <c r="F50" s="289"/>
      <c r="G50" s="243"/>
      <c r="H50" s="244"/>
      <c r="I50" s="244"/>
      <c r="J50" s="245"/>
      <c r="K50" s="9"/>
      <c r="P50" s="4"/>
      <c r="Q50" s="4"/>
      <c r="R50" s="5"/>
    </row>
    <row r="51" spans="1:18" ht="15" customHeight="1" x14ac:dyDescent="0.25">
      <c r="A51" s="268"/>
      <c r="B51" s="30"/>
      <c r="C51" s="13"/>
      <c r="D51" s="34"/>
      <c r="E51" s="9"/>
      <c r="F51" s="290" t="s">
        <v>147</v>
      </c>
      <c r="G51" s="320">
        <f>G49-H29</f>
        <v>202.75</v>
      </c>
      <c r="H51" s="321"/>
      <c r="I51" s="321"/>
      <c r="J51" s="322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68"/>
      <c r="B52" s="32"/>
      <c r="C52" s="36"/>
      <c r="D52" s="49"/>
      <c r="E52" s="9"/>
      <c r="F52" s="291"/>
      <c r="G52" s="323"/>
      <c r="H52" s="324"/>
      <c r="I52" s="324"/>
      <c r="J52" s="325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69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236" t="s">
        <v>90</v>
      </c>
      <c r="B54" s="276"/>
      <c r="C54" s="277"/>
      <c r="D54" s="280">
        <f>SUM(D34:D53)</f>
        <v>49173.75</v>
      </c>
      <c r="E54" s="9"/>
      <c r="F54" s="24"/>
      <c r="G54" s="9"/>
      <c r="H54" s="9"/>
      <c r="I54" s="9"/>
      <c r="J54" s="37"/>
      <c r="O54" t="s">
        <v>102</v>
      </c>
      <c r="P54" s="4">
        <v>1582</v>
      </c>
      <c r="R54" s="3">
        <v>1582</v>
      </c>
    </row>
    <row r="55" spans="1:18" x14ac:dyDescent="0.25">
      <c r="A55" s="238"/>
      <c r="B55" s="278"/>
      <c r="C55" s="279"/>
      <c r="D55" s="281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129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282" t="s">
        <v>91</v>
      </c>
      <c r="B58" s="283"/>
      <c r="C58" s="283"/>
      <c r="D58" s="284"/>
      <c r="E58" s="9"/>
      <c r="F58" s="282" t="s">
        <v>92</v>
      </c>
      <c r="G58" s="283"/>
      <c r="H58" s="283"/>
      <c r="I58" s="283"/>
      <c r="J58" s="284"/>
    </row>
    <row r="59" spans="1:18" x14ac:dyDescent="0.25">
      <c r="A59" s="285"/>
      <c r="B59" s="286"/>
      <c r="C59" s="286"/>
      <c r="D59" s="287"/>
      <c r="E59" s="9"/>
      <c r="F59" s="285"/>
      <c r="G59" s="286"/>
      <c r="H59" s="286"/>
      <c r="I59" s="286"/>
      <c r="J59" s="287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7CE92-75B3-479D-8D80-C9D84448ACD5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174" t="s">
        <v>1</v>
      </c>
      <c r="O1" s="174"/>
      <c r="P1" s="147" t="s">
        <v>2</v>
      </c>
      <c r="Q1" s="147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75" t="s">
        <v>7</v>
      </c>
      <c r="B4" s="176"/>
      <c r="C4" s="176"/>
      <c r="D4" s="177"/>
      <c r="E4" s="9"/>
      <c r="F4" s="178" t="s">
        <v>8</v>
      </c>
      <c r="G4" s="180">
        <v>2</v>
      </c>
      <c r="H4" s="182" t="s">
        <v>9</v>
      </c>
      <c r="I4" s="184">
        <v>45795</v>
      </c>
      <c r="J4" s="185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88" t="s">
        <v>7</v>
      </c>
      <c r="B5" s="18" t="s">
        <v>11</v>
      </c>
      <c r="C5" s="12" t="s">
        <v>12</v>
      </c>
      <c r="D5" s="28" t="s">
        <v>13</v>
      </c>
      <c r="E5" s="9"/>
      <c r="F5" s="179"/>
      <c r="G5" s="181"/>
      <c r="H5" s="183"/>
      <c r="I5" s="186"/>
      <c r="J5" s="187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89"/>
      <c r="B6" s="19" t="s">
        <v>15</v>
      </c>
      <c r="C6" s="53">
        <v>191</v>
      </c>
      <c r="D6" s="16">
        <f t="shared" ref="D6:D28" si="1">C6*L6</f>
        <v>140767</v>
      </c>
      <c r="E6" s="9"/>
      <c r="F6" s="191" t="s">
        <v>16</v>
      </c>
      <c r="G6" s="193" t="s">
        <v>127</v>
      </c>
      <c r="H6" s="194"/>
      <c r="I6" s="194"/>
      <c r="J6" s="195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89"/>
      <c r="B7" s="19" t="s">
        <v>18</v>
      </c>
      <c r="C7" s="53">
        <v>5</v>
      </c>
      <c r="D7" s="16">
        <f t="shared" si="1"/>
        <v>3625</v>
      </c>
      <c r="E7" s="9"/>
      <c r="F7" s="192"/>
      <c r="G7" s="196"/>
      <c r="H7" s="197"/>
      <c r="I7" s="197"/>
      <c r="J7" s="198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189"/>
      <c r="B8" s="19" t="s">
        <v>20</v>
      </c>
      <c r="C8" s="53"/>
      <c r="D8" s="16">
        <f t="shared" si="1"/>
        <v>0</v>
      </c>
      <c r="E8" s="9"/>
      <c r="F8" s="199" t="s">
        <v>21</v>
      </c>
      <c r="G8" s="201" t="s">
        <v>115</v>
      </c>
      <c r="H8" s="202"/>
      <c r="I8" s="202"/>
      <c r="J8" s="203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189"/>
      <c r="B9" s="19" t="s">
        <v>23</v>
      </c>
      <c r="C9" s="53">
        <v>21</v>
      </c>
      <c r="D9" s="16">
        <f t="shared" si="1"/>
        <v>14847</v>
      </c>
      <c r="E9" s="9"/>
      <c r="F9" s="192"/>
      <c r="G9" s="204"/>
      <c r="H9" s="205"/>
      <c r="I9" s="205"/>
      <c r="J9" s="206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189"/>
      <c r="B10" s="11" t="s">
        <v>25</v>
      </c>
      <c r="C10" s="53">
        <v>1</v>
      </c>
      <c r="D10" s="16">
        <f t="shared" si="1"/>
        <v>972</v>
      </c>
      <c r="E10" s="9"/>
      <c r="F10" s="191" t="s">
        <v>26</v>
      </c>
      <c r="G10" s="207" t="s">
        <v>116</v>
      </c>
      <c r="H10" s="208"/>
      <c r="I10" s="208"/>
      <c r="J10" s="209"/>
      <c r="K10" s="10"/>
      <c r="L10" s="6">
        <f>R36</f>
        <v>972</v>
      </c>
      <c r="P10" s="4"/>
      <c r="Q10" s="4"/>
      <c r="R10" s="5"/>
    </row>
    <row r="11" spans="1:18" ht="15.75" x14ac:dyDescent="0.25">
      <c r="A11" s="189"/>
      <c r="B11" s="20" t="s">
        <v>28</v>
      </c>
      <c r="C11" s="53"/>
      <c r="D11" s="16">
        <f t="shared" si="1"/>
        <v>0</v>
      </c>
      <c r="E11" s="9"/>
      <c r="F11" s="192"/>
      <c r="G11" s="204"/>
      <c r="H11" s="205"/>
      <c r="I11" s="205"/>
      <c r="J11" s="206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89"/>
      <c r="B12" s="20" t="s">
        <v>30</v>
      </c>
      <c r="C12" s="53"/>
      <c r="D12" s="52">
        <f t="shared" si="1"/>
        <v>0</v>
      </c>
      <c r="E12" s="9"/>
      <c r="F12" s="210" t="s">
        <v>33</v>
      </c>
      <c r="G12" s="211"/>
      <c r="H12" s="211"/>
      <c r="I12" s="211"/>
      <c r="J12" s="212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89"/>
      <c r="B13" s="20" t="s">
        <v>32</v>
      </c>
      <c r="C13" s="53">
        <v>9</v>
      </c>
      <c r="D13" s="52">
        <f t="shared" si="1"/>
        <v>2763</v>
      </c>
      <c r="E13" s="9"/>
      <c r="F13" s="213" t="s">
        <v>36</v>
      </c>
      <c r="G13" s="214"/>
      <c r="H13" s="215">
        <f>D29</f>
        <v>164966.66666666666</v>
      </c>
      <c r="I13" s="216"/>
      <c r="J13" s="217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89"/>
      <c r="B14" s="17" t="s">
        <v>35</v>
      </c>
      <c r="C14" s="53">
        <v>18</v>
      </c>
      <c r="D14" s="34">
        <f t="shared" si="1"/>
        <v>198</v>
      </c>
      <c r="E14" s="9"/>
      <c r="F14" s="218" t="s">
        <v>39</v>
      </c>
      <c r="G14" s="219"/>
      <c r="H14" s="220">
        <f>D54</f>
        <v>23928.75</v>
      </c>
      <c r="I14" s="221"/>
      <c r="J14" s="222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89"/>
      <c r="B15" s="17" t="s">
        <v>38</v>
      </c>
      <c r="C15" s="53"/>
      <c r="D15" s="34">
        <f t="shared" si="1"/>
        <v>0</v>
      </c>
      <c r="E15" s="9"/>
      <c r="F15" s="223" t="s">
        <v>40</v>
      </c>
      <c r="G15" s="214"/>
      <c r="H15" s="224">
        <f>H13-H14</f>
        <v>141037.91666666666</v>
      </c>
      <c r="I15" s="225"/>
      <c r="J15" s="226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89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227"/>
      <c r="I16" s="227"/>
      <c r="J16" s="22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89"/>
      <c r="B17" s="11" t="s">
        <v>93</v>
      </c>
      <c r="C17" s="53"/>
      <c r="D17" s="52">
        <f t="shared" si="1"/>
        <v>0</v>
      </c>
      <c r="E17" s="9"/>
      <c r="F17" s="62"/>
      <c r="G17" s="74" t="s">
        <v>45</v>
      </c>
      <c r="H17" s="200"/>
      <c r="I17" s="200"/>
      <c r="J17" s="200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89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200"/>
      <c r="I18" s="200"/>
      <c r="J18" s="200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89"/>
      <c r="B19" s="17" t="s">
        <v>96</v>
      </c>
      <c r="C19" s="53"/>
      <c r="D19" s="52">
        <f t="shared" si="1"/>
        <v>0</v>
      </c>
      <c r="E19" s="9"/>
      <c r="F19" s="62"/>
      <c r="G19" s="76" t="s">
        <v>50</v>
      </c>
      <c r="H19" s="298"/>
      <c r="I19" s="298"/>
      <c r="J19" s="298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89"/>
      <c r="B20" s="50" t="s">
        <v>131</v>
      </c>
      <c r="C20" s="53"/>
      <c r="D20" s="16">
        <f t="shared" si="1"/>
        <v>0</v>
      </c>
      <c r="E20" s="9"/>
      <c r="F20" s="63"/>
      <c r="G20" s="78" t="s">
        <v>124</v>
      </c>
      <c r="H20" s="200"/>
      <c r="I20" s="200"/>
      <c r="J20" s="200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89"/>
      <c r="B21" s="17" t="s">
        <v>130</v>
      </c>
      <c r="C21" s="53"/>
      <c r="D21" s="52">
        <f t="shared" si="1"/>
        <v>0</v>
      </c>
      <c r="E21" s="9"/>
      <c r="F21" s="77" t="s">
        <v>99</v>
      </c>
      <c r="G21" s="92" t="s">
        <v>98</v>
      </c>
      <c r="H21" s="246" t="s">
        <v>13</v>
      </c>
      <c r="I21" s="247"/>
      <c r="J21" s="248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89"/>
      <c r="B22" s="50" t="s">
        <v>104</v>
      </c>
      <c r="C22" s="53"/>
      <c r="D22" s="52">
        <f t="shared" si="1"/>
        <v>0</v>
      </c>
      <c r="E22" s="9"/>
      <c r="F22" s="80"/>
      <c r="G22" s="81"/>
      <c r="H22" s="249"/>
      <c r="I22" s="249"/>
      <c r="J22" s="249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89"/>
      <c r="B23" s="17" t="s">
        <v>107</v>
      </c>
      <c r="C23" s="53"/>
      <c r="D23" s="52">
        <f t="shared" si="1"/>
        <v>0</v>
      </c>
      <c r="E23" s="9"/>
      <c r="F23" s="28"/>
      <c r="G23" s="41"/>
      <c r="H23" s="299"/>
      <c r="I23" s="255"/>
      <c r="J23" s="255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89"/>
      <c r="B24" s="17" t="s">
        <v>133</v>
      </c>
      <c r="C24" s="53"/>
      <c r="D24" s="52">
        <f t="shared" si="1"/>
        <v>0</v>
      </c>
      <c r="E24" s="9"/>
      <c r="F24" s="42"/>
      <c r="G24" s="41"/>
      <c r="H24" s="299"/>
      <c r="I24" s="255"/>
      <c r="J24" s="255"/>
      <c r="L24" s="51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89"/>
      <c r="B25" s="17" t="s">
        <v>134</v>
      </c>
      <c r="C25" s="53">
        <v>2</v>
      </c>
      <c r="D25" s="52">
        <f t="shared" si="1"/>
        <v>224.66666666666666</v>
      </c>
      <c r="E25" s="9"/>
      <c r="F25" s="66" t="s">
        <v>100</v>
      </c>
      <c r="G25" s="61" t="s">
        <v>98</v>
      </c>
      <c r="H25" s="252" t="s">
        <v>13</v>
      </c>
      <c r="I25" s="253"/>
      <c r="J25" s="254"/>
      <c r="L25" s="51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89"/>
      <c r="B26" s="17" t="s">
        <v>105</v>
      </c>
      <c r="C26" s="53"/>
      <c r="D26" s="52">
        <f t="shared" si="1"/>
        <v>0</v>
      </c>
      <c r="E26" s="9"/>
      <c r="F26" s="72"/>
      <c r="G26" s="13"/>
      <c r="H26" s="300"/>
      <c r="I26" s="301"/>
      <c r="J26" s="302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89"/>
      <c r="B27" s="17" t="s">
        <v>109</v>
      </c>
      <c r="C27" s="53"/>
      <c r="D27" s="48">
        <f t="shared" si="1"/>
        <v>0</v>
      </c>
      <c r="E27" s="9"/>
      <c r="F27" s="67"/>
      <c r="G27" s="67"/>
      <c r="H27" s="303"/>
      <c r="I27" s="304"/>
      <c r="J27" s="305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90"/>
      <c r="B28" s="50" t="s">
        <v>97</v>
      </c>
      <c r="C28" s="53">
        <v>2</v>
      </c>
      <c r="D28" s="52">
        <f t="shared" si="1"/>
        <v>1570</v>
      </c>
      <c r="E28" s="9"/>
      <c r="F28" s="60"/>
      <c r="G28" s="68"/>
      <c r="H28" s="258"/>
      <c r="I28" s="259"/>
      <c r="J28" s="260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28" t="s">
        <v>36</v>
      </c>
      <c r="B29" s="229"/>
      <c r="C29" s="230"/>
      <c r="D29" s="234">
        <f>SUM(D6:D28)</f>
        <v>164966.66666666666</v>
      </c>
      <c r="E29" s="9"/>
      <c r="F29" s="236" t="s">
        <v>55</v>
      </c>
      <c r="G29" s="237"/>
      <c r="H29" s="240">
        <f>H15-H16-H17-H18-H19-H20-H22-H23-H24+H26+H27</f>
        <v>141037.91666666666</v>
      </c>
      <c r="I29" s="241"/>
      <c r="J29" s="242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231"/>
      <c r="B30" s="232"/>
      <c r="C30" s="233"/>
      <c r="D30" s="235"/>
      <c r="E30" s="9"/>
      <c r="F30" s="238"/>
      <c r="G30" s="239"/>
      <c r="H30" s="243"/>
      <c r="I30" s="244"/>
      <c r="J30" s="245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5" t="s">
        <v>58</v>
      </c>
      <c r="B32" s="176"/>
      <c r="C32" s="176"/>
      <c r="D32" s="177"/>
      <c r="E32" s="11"/>
      <c r="F32" s="261" t="s">
        <v>59</v>
      </c>
      <c r="G32" s="262"/>
      <c r="H32" s="262"/>
      <c r="I32" s="262"/>
      <c r="J32" s="263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48" t="s">
        <v>63</v>
      </c>
      <c r="H33" s="261" t="s">
        <v>13</v>
      </c>
      <c r="I33" s="262"/>
      <c r="J33" s="263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88" t="s">
        <v>65</v>
      </c>
      <c r="B34" s="29" t="s">
        <v>66</v>
      </c>
      <c r="C34" s="56">
        <v>1</v>
      </c>
      <c r="D34" s="33">
        <f>C34*120</f>
        <v>120</v>
      </c>
      <c r="E34" s="9"/>
      <c r="F34" s="15">
        <v>1000</v>
      </c>
      <c r="G34" s="82">
        <v>91</v>
      </c>
      <c r="H34" s="264">
        <f>F34*G34</f>
        <v>91000</v>
      </c>
      <c r="I34" s="265"/>
      <c r="J34" s="266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89"/>
      <c r="B35" s="30" t="s">
        <v>68</v>
      </c>
      <c r="C35" s="57"/>
      <c r="D35" s="33">
        <f>C35*84</f>
        <v>0</v>
      </c>
      <c r="E35" s="9"/>
      <c r="F35" s="64">
        <v>500</v>
      </c>
      <c r="G35" s="45">
        <v>73</v>
      </c>
      <c r="H35" s="264">
        <f t="shared" ref="H35:H39" si="2">F35*G35</f>
        <v>36500</v>
      </c>
      <c r="I35" s="265"/>
      <c r="J35" s="266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90"/>
      <c r="B36" s="29" t="s">
        <v>70</v>
      </c>
      <c r="C36" s="53"/>
      <c r="D36" s="15">
        <f>C36*1.5</f>
        <v>0</v>
      </c>
      <c r="E36" s="9"/>
      <c r="F36" s="15">
        <v>200</v>
      </c>
      <c r="G36" s="41">
        <v>3</v>
      </c>
      <c r="H36" s="264">
        <f t="shared" si="2"/>
        <v>600</v>
      </c>
      <c r="I36" s="265"/>
      <c r="J36" s="266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88" t="s">
        <v>72</v>
      </c>
      <c r="B37" s="31" t="s">
        <v>66</v>
      </c>
      <c r="C37" s="58">
        <v>201</v>
      </c>
      <c r="D37" s="15">
        <f>C37*111</f>
        <v>22311</v>
      </c>
      <c r="E37" s="9"/>
      <c r="F37" s="15">
        <v>100</v>
      </c>
      <c r="G37" s="43">
        <v>97</v>
      </c>
      <c r="H37" s="264">
        <f t="shared" si="2"/>
        <v>9700</v>
      </c>
      <c r="I37" s="265"/>
      <c r="J37" s="266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89"/>
      <c r="B38" s="32" t="s">
        <v>68</v>
      </c>
      <c r="C38" s="59">
        <v>5</v>
      </c>
      <c r="D38" s="15">
        <f>C38*84</f>
        <v>420</v>
      </c>
      <c r="E38" s="9"/>
      <c r="F38" s="33">
        <v>50</v>
      </c>
      <c r="G38" s="43">
        <v>46</v>
      </c>
      <c r="H38" s="264">
        <f t="shared" si="2"/>
        <v>2300</v>
      </c>
      <c r="I38" s="265"/>
      <c r="J38" s="266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90"/>
      <c r="B39" s="32" t="s">
        <v>70</v>
      </c>
      <c r="C39" s="57">
        <v>5</v>
      </c>
      <c r="D39" s="34">
        <f>C39*4.5</f>
        <v>22.5</v>
      </c>
      <c r="E39" s="9"/>
      <c r="F39" s="15">
        <v>20</v>
      </c>
      <c r="G39" s="41">
        <v>1</v>
      </c>
      <c r="H39" s="264">
        <f t="shared" si="2"/>
        <v>20</v>
      </c>
      <c r="I39" s="265"/>
      <c r="J39" s="266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88" t="s">
        <v>76</v>
      </c>
      <c r="B40" s="30" t="s">
        <v>66</v>
      </c>
      <c r="C40" s="70">
        <v>4</v>
      </c>
      <c r="D40" s="15">
        <f>C40*111</f>
        <v>444</v>
      </c>
      <c r="E40" s="9"/>
      <c r="F40" s="15">
        <v>10</v>
      </c>
      <c r="G40" s="46"/>
      <c r="H40" s="264"/>
      <c r="I40" s="265"/>
      <c r="J40" s="266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89"/>
      <c r="B41" s="30" t="s">
        <v>68</v>
      </c>
      <c r="C41" s="53">
        <v>1</v>
      </c>
      <c r="D41" s="15">
        <f>C41*84</f>
        <v>84</v>
      </c>
      <c r="E41" s="9"/>
      <c r="F41" s="15">
        <v>5</v>
      </c>
      <c r="G41" s="46"/>
      <c r="H41" s="264"/>
      <c r="I41" s="265"/>
      <c r="J41" s="266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90"/>
      <c r="B42" s="30" t="s">
        <v>70</v>
      </c>
      <c r="C42" s="71">
        <v>5</v>
      </c>
      <c r="D42" s="15">
        <f>C42*2.25</f>
        <v>11.25</v>
      </c>
      <c r="E42" s="9"/>
      <c r="F42" s="43" t="s">
        <v>79</v>
      </c>
      <c r="G42" s="264">
        <v>174</v>
      </c>
      <c r="H42" s="265"/>
      <c r="I42" s="265"/>
      <c r="J42" s="266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67" t="s">
        <v>81</v>
      </c>
      <c r="C43" s="71"/>
      <c r="D43" s="15"/>
      <c r="E43" s="9"/>
      <c r="F43" s="65" t="s">
        <v>82</v>
      </c>
      <c r="G43" s="145" t="s">
        <v>83</v>
      </c>
      <c r="H43" s="270" t="s">
        <v>13</v>
      </c>
      <c r="I43" s="271"/>
      <c r="J43" s="272"/>
      <c r="K43" s="24"/>
      <c r="P43" s="4"/>
      <c r="Q43" s="4"/>
      <c r="R43" s="5"/>
    </row>
    <row r="44" spans="1:18" ht="15.75" x14ac:dyDescent="0.25">
      <c r="A44" s="268"/>
      <c r="B44" s="30" t="s">
        <v>66</v>
      </c>
      <c r="C44" s="53"/>
      <c r="D44" s="15">
        <f>C44*120</f>
        <v>0</v>
      </c>
      <c r="E44" s="9"/>
      <c r="F44" s="41"/>
      <c r="G44" s="69"/>
      <c r="H44" s="255"/>
      <c r="I44" s="255"/>
      <c r="J44" s="255"/>
      <c r="K44" s="24"/>
      <c r="P44" s="4"/>
      <c r="Q44" s="4"/>
      <c r="R44" s="5"/>
    </row>
    <row r="45" spans="1:18" ht="15.75" x14ac:dyDescent="0.25">
      <c r="A45" s="268"/>
      <c r="B45" s="30" t="s">
        <v>68</v>
      </c>
      <c r="C45" s="90"/>
      <c r="D45" s="15">
        <f>C45*84</f>
        <v>0</v>
      </c>
      <c r="E45" s="9"/>
      <c r="F45" s="41"/>
      <c r="G45" s="69"/>
      <c r="H45" s="255"/>
      <c r="I45" s="255"/>
      <c r="J45" s="255"/>
      <c r="K45" s="24"/>
      <c r="P45" s="4"/>
      <c r="Q45" s="4"/>
      <c r="R45" s="5"/>
    </row>
    <row r="46" spans="1:18" ht="15.75" x14ac:dyDescent="0.25">
      <c r="A46" s="268"/>
      <c r="B46" s="54" t="s">
        <v>70</v>
      </c>
      <c r="C46" s="91">
        <v>1</v>
      </c>
      <c r="D46" s="15">
        <f>C46*1.5</f>
        <v>1.5</v>
      </c>
      <c r="E46" s="9"/>
      <c r="F46" s="41"/>
      <c r="G46" s="146"/>
      <c r="H46" s="306"/>
      <c r="I46" s="306"/>
      <c r="J46" s="306"/>
      <c r="K46" s="24"/>
      <c r="P46" s="4"/>
      <c r="Q46" s="4"/>
      <c r="R46" s="5"/>
    </row>
    <row r="47" spans="1:18" ht="15.75" x14ac:dyDescent="0.25">
      <c r="A47" s="269"/>
      <c r="B47" s="30"/>
      <c r="C47" s="71"/>
      <c r="D47" s="15"/>
      <c r="E47" s="9"/>
      <c r="F47" s="65"/>
      <c r="G47" s="65"/>
      <c r="H47" s="273"/>
      <c r="I47" s="274"/>
      <c r="J47" s="275"/>
      <c r="K47" s="24"/>
      <c r="P47" s="4"/>
      <c r="Q47" s="4"/>
      <c r="R47" s="5"/>
    </row>
    <row r="48" spans="1:18" ht="15" customHeight="1" x14ac:dyDescent="0.25">
      <c r="A48" s="267" t="s">
        <v>32</v>
      </c>
      <c r="B48" s="30" t="s">
        <v>66</v>
      </c>
      <c r="C48" s="53">
        <v>6</v>
      </c>
      <c r="D48" s="15">
        <f>C48*78</f>
        <v>468</v>
      </c>
      <c r="E48" s="9"/>
      <c r="F48" s="65"/>
      <c r="G48" s="65"/>
      <c r="H48" s="273"/>
      <c r="I48" s="274"/>
      <c r="J48" s="275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68"/>
      <c r="B49" s="32" t="s">
        <v>68</v>
      </c>
      <c r="C49" s="90">
        <v>1</v>
      </c>
      <c r="D49" s="15">
        <f>C49*42</f>
        <v>42</v>
      </c>
      <c r="E49" s="9"/>
      <c r="F49" s="288" t="s">
        <v>86</v>
      </c>
      <c r="G49" s="240">
        <f>H34+H35+H36+H37+H38+H39+H40+H41+G42+H44+H45+H46</f>
        <v>140294</v>
      </c>
      <c r="H49" s="241"/>
      <c r="I49" s="241"/>
      <c r="J49" s="242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68"/>
      <c r="B50" s="35" t="s">
        <v>70</v>
      </c>
      <c r="C50" s="71">
        <v>3</v>
      </c>
      <c r="D50" s="15">
        <f>C50*1.5</f>
        <v>4.5</v>
      </c>
      <c r="E50" s="9"/>
      <c r="F50" s="289"/>
      <c r="G50" s="243"/>
      <c r="H50" s="244"/>
      <c r="I50" s="244"/>
      <c r="J50" s="245"/>
      <c r="K50" s="9"/>
      <c r="P50" s="4"/>
      <c r="Q50" s="4"/>
      <c r="R50" s="5"/>
    </row>
    <row r="51" spans="1:18" ht="15" customHeight="1" x14ac:dyDescent="0.25">
      <c r="A51" s="268"/>
      <c r="B51" s="30"/>
      <c r="C51" s="13"/>
      <c r="D51" s="34"/>
      <c r="E51" s="9"/>
      <c r="F51" s="290" t="s">
        <v>196</v>
      </c>
      <c r="G51" s="314">
        <f>G49-H29</f>
        <v>-743.91666666665697</v>
      </c>
      <c r="H51" s="315"/>
      <c r="I51" s="315"/>
      <c r="J51" s="316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68"/>
      <c r="B52" s="32"/>
      <c r="C52" s="36"/>
      <c r="D52" s="49"/>
      <c r="E52" s="9"/>
      <c r="F52" s="291"/>
      <c r="G52" s="317"/>
      <c r="H52" s="318"/>
      <c r="I52" s="318"/>
      <c r="J52" s="319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69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236" t="s">
        <v>90</v>
      </c>
      <c r="B54" s="276"/>
      <c r="C54" s="277"/>
      <c r="D54" s="280">
        <f>SUM(D34:D53)</f>
        <v>23928.75</v>
      </c>
      <c r="E54" s="9"/>
      <c r="F54" s="24"/>
      <c r="G54" s="9"/>
      <c r="H54" s="9"/>
      <c r="I54" s="9"/>
      <c r="J54" s="37"/>
    </row>
    <row r="55" spans="1:18" x14ac:dyDescent="0.25">
      <c r="A55" s="238"/>
      <c r="B55" s="278"/>
      <c r="C55" s="279"/>
      <c r="D55" s="281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136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282" t="s">
        <v>91</v>
      </c>
      <c r="B58" s="283"/>
      <c r="C58" s="283"/>
      <c r="D58" s="284"/>
      <c r="E58" s="9"/>
      <c r="F58" s="282" t="s">
        <v>92</v>
      </c>
      <c r="G58" s="283"/>
      <c r="H58" s="283"/>
      <c r="I58" s="283"/>
      <c r="J58" s="284"/>
    </row>
    <row r="59" spans="1:18" x14ac:dyDescent="0.25">
      <c r="A59" s="285"/>
      <c r="B59" s="286"/>
      <c r="C59" s="286"/>
      <c r="D59" s="287"/>
      <c r="E59" s="9"/>
      <c r="F59" s="285"/>
      <c r="G59" s="286"/>
      <c r="H59" s="286"/>
      <c r="I59" s="286"/>
      <c r="J59" s="287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7BBBB4-ECED-4FF1-97CF-66896C2019CA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s="8" t="s">
        <v>0</v>
      </c>
      <c r="B1" s="8"/>
      <c r="C1" s="8"/>
      <c r="D1" s="8"/>
      <c r="N1" s="174" t="s">
        <v>1</v>
      </c>
      <c r="O1" s="174"/>
      <c r="P1" s="147" t="s">
        <v>2</v>
      </c>
      <c r="Q1" s="147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75" t="s">
        <v>7</v>
      </c>
      <c r="B4" s="176"/>
      <c r="C4" s="176"/>
      <c r="D4" s="177"/>
      <c r="E4" s="9"/>
      <c r="F4" s="178" t="s">
        <v>8</v>
      </c>
      <c r="G4" s="180">
        <v>3</v>
      </c>
      <c r="H4" s="182" t="s">
        <v>9</v>
      </c>
      <c r="I4" s="184">
        <v>45795</v>
      </c>
      <c r="J4" s="185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88" t="s">
        <v>7</v>
      </c>
      <c r="B5" s="18" t="s">
        <v>11</v>
      </c>
      <c r="C5" s="12" t="s">
        <v>12</v>
      </c>
      <c r="D5" s="28" t="s">
        <v>13</v>
      </c>
      <c r="E5" s="9"/>
      <c r="F5" s="179"/>
      <c r="G5" s="181"/>
      <c r="H5" s="183"/>
      <c r="I5" s="186"/>
      <c r="J5" s="187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89"/>
      <c r="B6" s="19" t="s">
        <v>15</v>
      </c>
      <c r="C6" s="53">
        <v>245</v>
      </c>
      <c r="D6" s="16">
        <f t="shared" ref="D6:D28" si="1">C6*L6</f>
        <v>180565</v>
      </c>
      <c r="E6" s="9"/>
      <c r="F6" s="191" t="s">
        <v>16</v>
      </c>
      <c r="G6" s="193" t="s">
        <v>123</v>
      </c>
      <c r="H6" s="194"/>
      <c r="I6" s="194"/>
      <c r="J6" s="195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89"/>
      <c r="B7" s="19" t="s">
        <v>18</v>
      </c>
      <c r="C7" s="53">
        <v>14</v>
      </c>
      <c r="D7" s="16">
        <f t="shared" si="1"/>
        <v>10150</v>
      </c>
      <c r="E7" s="9"/>
      <c r="F7" s="192"/>
      <c r="G7" s="196"/>
      <c r="H7" s="197"/>
      <c r="I7" s="197"/>
      <c r="J7" s="198"/>
      <c r="K7" s="10"/>
      <c r="L7" s="6">
        <f>R41</f>
        <v>725</v>
      </c>
      <c r="P7" s="4"/>
      <c r="Q7" s="4"/>
      <c r="R7" s="5"/>
    </row>
    <row r="8" spans="1:19" ht="14.45" customHeight="1" x14ac:dyDescent="0.25">
      <c r="A8" s="189"/>
      <c r="B8" s="19" t="s">
        <v>20</v>
      </c>
      <c r="C8" s="53"/>
      <c r="D8" s="16">
        <f t="shared" si="1"/>
        <v>0</v>
      </c>
      <c r="E8" s="9"/>
      <c r="F8" s="199" t="s">
        <v>21</v>
      </c>
      <c r="G8" s="201" t="s">
        <v>122</v>
      </c>
      <c r="H8" s="202"/>
      <c r="I8" s="202"/>
      <c r="J8" s="203"/>
      <c r="K8" s="10"/>
      <c r="L8" s="6">
        <f>R40</f>
        <v>1033</v>
      </c>
      <c r="P8" s="4"/>
      <c r="Q8" s="4"/>
      <c r="R8" s="5"/>
    </row>
    <row r="9" spans="1:19" ht="14.45" customHeight="1" x14ac:dyDescent="0.25">
      <c r="A9" s="189"/>
      <c r="B9" s="19" t="s">
        <v>23</v>
      </c>
      <c r="C9" s="53">
        <v>74</v>
      </c>
      <c r="D9" s="16">
        <f t="shared" si="1"/>
        <v>52318</v>
      </c>
      <c r="E9" s="9"/>
      <c r="F9" s="192"/>
      <c r="G9" s="204"/>
      <c r="H9" s="205"/>
      <c r="I9" s="205"/>
      <c r="J9" s="206"/>
      <c r="K9" s="10"/>
      <c r="L9" s="6">
        <f>R38</f>
        <v>707</v>
      </c>
      <c r="P9" s="4"/>
      <c r="Q9" s="4"/>
      <c r="R9" s="5"/>
    </row>
    <row r="10" spans="1:19" ht="14.45" customHeight="1" x14ac:dyDescent="0.25">
      <c r="A10" s="189"/>
      <c r="B10" s="11" t="s">
        <v>25</v>
      </c>
      <c r="C10" s="53"/>
      <c r="D10" s="16">
        <f t="shared" si="1"/>
        <v>0</v>
      </c>
      <c r="E10" s="9"/>
      <c r="F10" s="191" t="s">
        <v>26</v>
      </c>
      <c r="G10" s="207" t="s">
        <v>123</v>
      </c>
      <c r="H10" s="208"/>
      <c r="I10" s="208"/>
      <c r="J10" s="209"/>
      <c r="K10" s="10"/>
      <c r="L10" s="6">
        <f>R36</f>
        <v>972</v>
      </c>
      <c r="P10" s="4"/>
      <c r="Q10" s="4"/>
      <c r="R10" s="5"/>
    </row>
    <row r="11" spans="1:19" ht="15.75" x14ac:dyDescent="0.25">
      <c r="A11" s="189"/>
      <c r="B11" s="20" t="s">
        <v>28</v>
      </c>
      <c r="C11" s="53">
        <v>4</v>
      </c>
      <c r="D11" s="16">
        <f t="shared" si="1"/>
        <v>4500</v>
      </c>
      <c r="E11" s="9"/>
      <c r="F11" s="192"/>
      <c r="G11" s="204"/>
      <c r="H11" s="205"/>
      <c r="I11" s="205"/>
      <c r="J11" s="206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89"/>
      <c r="B12" s="20" t="s">
        <v>30</v>
      </c>
      <c r="C12" s="53">
        <f>4+1</f>
        <v>5</v>
      </c>
      <c r="D12" s="52">
        <f t="shared" si="1"/>
        <v>4760</v>
      </c>
      <c r="E12" s="9"/>
      <c r="F12" s="210" t="s">
        <v>33</v>
      </c>
      <c r="G12" s="211"/>
      <c r="H12" s="211"/>
      <c r="I12" s="211"/>
      <c r="J12" s="212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89"/>
      <c r="B13" s="20" t="s">
        <v>32</v>
      </c>
      <c r="C13" s="53">
        <v>13</v>
      </c>
      <c r="D13" s="52">
        <f t="shared" si="1"/>
        <v>3991</v>
      </c>
      <c r="E13" s="9"/>
      <c r="F13" s="213" t="s">
        <v>36</v>
      </c>
      <c r="G13" s="214"/>
      <c r="H13" s="215">
        <f>D29</f>
        <v>269428</v>
      </c>
      <c r="I13" s="216"/>
      <c r="J13" s="217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89"/>
      <c r="B14" s="17" t="s">
        <v>35</v>
      </c>
      <c r="C14" s="53">
        <v>2</v>
      </c>
      <c r="D14" s="34">
        <f t="shared" si="1"/>
        <v>22</v>
      </c>
      <c r="E14" s="9"/>
      <c r="F14" s="218" t="s">
        <v>39</v>
      </c>
      <c r="G14" s="219"/>
      <c r="H14" s="220">
        <f>D54</f>
        <v>40939.5</v>
      </c>
      <c r="I14" s="221"/>
      <c r="J14" s="222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89"/>
      <c r="B15" s="17" t="s">
        <v>38</v>
      </c>
      <c r="C15" s="53"/>
      <c r="D15" s="34">
        <f t="shared" si="1"/>
        <v>0</v>
      </c>
      <c r="E15" s="9"/>
      <c r="F15" s="223" t="s">
        <v>40</v>
      </c>
      <c r="G15" s="214"/>
      <c r="H15" s="224">
        <f>H13-H14</f>
        <v>228488.5</v>
      </c>
      <c r="I15" s="225"/>
      <c r="J15" s="226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89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227">
        <f>300+1914</f>
        <v>2214</v>
      </c>
      <c r="I16" s="227"/>
      <c r="J16" s="22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89"/>
      <c r="B17" s="11" t="s">
        <v>114</v>
      </c>
      <c r="C17" s="53"/>
      <c r="D17" s="52">
        <f t="shared" si="1"/>
        <v>0</v>
      </c>
      <c r="E17" s="9"/>
      <c r="F17" s="62"/>
      <c r="G17" s="74" t="s">
        <v>45</v>
      </c>
      <c r="H17" s="200"/>
      <c r="I17" s="200"/>
      <c r="J17" s="200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89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200"/>
      <c r="I18" s="200"/>
      <c r="J18" s="200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89"/>
      <c r="B19" s="17" t="s">
        <v>195</v>
      </c>
      <c r="C19" s="53">
        <v>1</v>
      </c>
      <c r="D19" s="52">
        <f t="shared" si="1"/>
        <v>1102</v>
      </c>
      <c r="E19" s="9"/>
      <c r="F19" s="62"/>
      <c r="G19" s="76" t="s">
        <v>50</v>
      </c>
      <c r="H19" s="313"/>
      <c r="I19" s="313"/>
      <c r="J19" s="313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89"/>
      <c r="B20" s="50" t="s">
        <v>108</v>
      </c>
      <c r="C20" s="53"/>
      <c r="D20" s="16">
        <f t="shared" si="1"/>
        <v>0</v>
      </c>
      <c r="E20" s="9"/>
      <c r="F20" s="63"/>
      <c r="G20" s="78" t="s">
        <v>124</v>
      </c>
      <c r="H20" s="227">
        <f>674</f>
        <v>674</v>
      </c>
      <c r="I20" s="227"/>
      <c r="J20" s="227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89"/>
      <c r="B21" s="17" t="s">
        <v>145</v>
      </c>
      <c r="C21" s="53">
        <f>2+2</f>
        <v>4</v>
      </c>
      <c r="D21" s="52">
        <f t="shared" si="1"/>
        <v>2600</v>
      </c>
      <c r="E21" s="9"/>
      <c r="F21" s="77" t="s">
        <v>99</v>
      </c>
      <c r="G21" s="92" t="s">
        <v>98</v>
      </c>
      <c r="H21" s="246" t="s">
        <v>13</v>
      </c>
      <c r="I21" s="247"/>
      <c r="J21" s="248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89"/>
      <c r="B22" s="50" t="s">
        <v>104</v>
      </c>
      <c r="C22" s="53"/>
      <c r="D22" s="52">
        <f t="shared" si="1"/>
        <v>0</v>
      </c>
      <c r="E22" s="9"/>
      <c r="F22" s="85"/>
      <c r="G22" s="81"/>
      <c r="H22" s="249"/>
      <c r="I22" s="249"/>
      <c r="J22" s="249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89"/>
      <c r="B23" s="17" t="s">
        <v>107</v>
      </c>
      <c r="C23" s="53"/>
      <c r="D23" s="52">
        <f t="shared" si="1"/>
        <v>0</v>
      </c>
      <c r="E23" s="9"/>
      <c r="F23" s="86"/>
      <c r="G23" s="87"/>
      <c r="H23" s="299"/>
      <c r="I23" s="255"/>
      <c r="J23" s="255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89"/>
      <c r="B24" s="17" t="s">
        <v>101</v>
      </c>
      <c r="C24" s="53"/>
      <c r="D24" s="52">
        <f t="shared" si="1"/>
        <v>0</v>
      </c>
      <c r="E24" s="9"/>
      <c r="F24" s="42"/>
      <c r="G24" s="41"/>
      <c r="H24" s="299"/>
      <c r="I24" s="255"/>
      <c r="J24" s="255"/>
      <c r="L24" s="51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89"/>
      <c r="B25" s="17" t="s">
        <v>117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52" t="s">
        <v>13</v>
      </c>
      <c r="I25" s="253"/>
      <c r="J25" s="254"/>
      <c r="L25" s="51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89"/>
      <c r="B26" s="17" t="s">
        <v>105</v>
      </c>
      <c r="C26" s="53"/>
      <c r="D26" s="52">
        <f t="shared" si="1"/>
        <v>0</v>
      </c>
      <c r="E26" s="9"/>
      <c r="F26" s="72"/>
      <c r="G26" s="65"/>
      <c r="H26" s="300"/>
      <c r="I26" s="301"/>
      <c r="J26" s="302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89"/>
      <c r="B27" s="17" t="s">
        <v>109</v>
      </c>
      <c r="C27" s="53"/>
      <c r="D27" s="48">
        <f t="shared" si="1"/>
        <v>0</v>
      </c>
      <c r="E27" s="9"/>
      <c r="F27" s="88"/>
      <c r="G27" s="89"/>
      <c r="H27" s="303"/>
      <c r="I27" s="304"/>
      <c r="J27" s="305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90"/>
      <c r="B28" s="50" t="s">
        <v>97</v>
      </c>
      <c r="C28" s="53">
        <v>12</v>
      </c>
      <c r="D28" s="52">
        <f t="shared" si="1"/>
        <v>9420</v>
      </c>
      <c r="E28" s="9"/>
      <c r="F28" s="60"/>
      <c r="G28" s="68"/>
      <c r="H28" s="258"/>
      <c r="I28" s="259"/>
      <c r="J28" s="260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28" t="s">
        <v>36</v>
      </c>
      <c r="B29" s="229"/>
      <c r="C29" s="230"/>
      <c r="D29" s="234">
        <f>SUM(D6:D28)</f>
        <v>269428</v>
      </c>
      <c r="E29" s="9"/>
      <c r="F29" s="236" t="s">
        <v>55</v>
      </c>
      <c r="G29" s="237"/>
      <c r="H29" s="240">
        <f>H15-H16-H17-H18-H19-H20-H22-H23-H24+H26+H27</f>
        <v>225600.5</v>
      </c>
      <c r="I29" s="241"/>
      <c r="J29" s="242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231"/>
      <c r="B30" s="232"/>
      <c r="C30" s="233"/>
      <c r="D30" s="235"/>
      <c r="E30" s="9"/>
      <c r="F30" s="238"/>
      <c r="G30" s="239"/>
      <c r="H30" s="243"/>
      <c r="I30" s="244"/>
      <c r="J30" s="245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5" t="s">
        <v>58</v>
      </c>
      <c r="B32" s="176"/>
      <c r="C32" s="176"/>
      <c r="D32" s="177"/>
      <c r="E32" s="11"/>
      <c r="F32" s="261" t="s">
        <v>59</v>
      </c>
      <c r="G32" s="262"/>
      <c r="H32" s="262"/>
      <c r="I32" s="262"/>
      <c r="J32" s="263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48" t="s">
        <v>63</v>
      </c>
      <c r="H33" s="261" t="s">
        <v>13</v>
      </c>
      <c r="I33" s="262"/>
      <c r="J33" s="263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88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82">
        <v>18</v>
      </c>
      <c r="H34" s="264">
        <f>F34*G34</f>
        <v>18000</v>
      </c>
      <c r="I34" s="265"/>
      <c r="J34" s="266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89"/>
      <c r="B35" s="30" t="s">
        <v>68</v>
      </c>
      <c r="C35" s="57"/>
      <c r="D35" s="33">
        <f>C35*84</f>
        <v>0</v>
      </c>
      <c r="E35" s="9"/>
      <c r="F35" s="64">
        <v>500</v>
      </c>
      <c r="G35" s="45">
        <v>20</v>
      </c>
      <c r="H35" s="264">
        <f>F35*G35</f>
        <v>10000</v>
      </c>
      <c r="I35" s="265"/>
      <c r="J35" s="266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90"/>
      <c r="B36" s="29" t="s">
        <v>70</v>
      </c>
      <c r="C36" s="53"/>
      <c r="D36" s="15">
        <f>C36*1.5</f>
        <v>0</v>
      </c>
      <c r="E36" s="9"/>
      <c r="F36" s="15">
        <v>200</v>
      </c>
      <c r="G36" s="41">
        <v>1</v>
      </c>
      <c r="H36" s="264">
        <f t="shared" ref="H36:H39" si="2">F36*G36</f>
        <v>200</v>
      </c>
      <c r="I36" s="265"/>
      <c r="J36" s="266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88" t="s">
        <v>72</v>
      </c>
      <c r="B37" s="31" t="s">
        <v>66</v>
      </c>
      <c r="C37" s="58">
        <v>350</v>
      </c>
      <c r="D37" s="15">
        <f>C37*111</f>
        <v>38850</v>
      </c>
      <c r="E37" s="9"/>
      <c r="F37" s="15">
        <v>100</v>
      </c>
      <c r="G37" s="43">
        <v>12</v>
      </c>
      <c r="H37" s="264">
        <f t="shared" si="2"/>
        <v>1200</v>
      </c>
      <c r="I37" s="265"/>
      <c r="J37" s="266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89"/>
      <c r="B38" s="32" t="s">
        <v>68</v>
      </c>
      <c r="C38" s="59">
        <v>4</v>
      </c>
      <c r="D38" s="15">
        <f>C38*84</f>
        <v>336</v>
      </c>
      <c r="E38" s="9"/>
      <c r="F38" s="33">
        <v>50</v>
      </c>
      <c r="G38" s="43"/>
      <c r="H38" s="264">
        <f t="shared" si="2"/>
        <v>0</v>
      </c>
      <c r="I38" s="265"/>
      <c r="J38" s="266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90"/>
      <c r="B39" s="32" t="s">
        <v>70</v>
      </c>
      <c r="C39" s="57"/>
      <c r="D39" s="34">
        <f>C39*4.5</f>
        <v>0</v>
      </c>
      <c r="E39" s="9"/>
      <c r="F39" s="15">
        <v>20</v>
      </c>
      <c r="G39" s="41"/>
      <c r="H39" s="264">
        <f t="shared" si="2"/>
        <v>0</v>
      </c>
      <c r="I39" s="265"/>
      <c r="J39" s="266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88" t="s">
        <v>76</v>
      </c>
      <c r="B40" s="30" t="s">
        <v>66</v>
      </c>
      <c r="C40" s="70">
        <v>8</v>
      </c>
      <c r="D40" s="15">
        <f>C40*111</f>
        <v>888</v>
      </c>
      <c r="E40" s="9"/>
      <c r="F40" s="15">
        <v>10</v>
      </c>
      <c r="G40" s="46"/>
      <c r="H40" s="264"/>
      <c r="I40" s="265"/>
      <c r="J40" s="266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89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264"/>
      <c r="I41" s="265"/>
      <c r="J41" s="266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90"/>
      <c r="B42" s="30" t="s">
        <v>70</v>
      </c>
      <c r="C42" s="71">
        <v>2</v>
      </c>
      <c r="D42" s="15">
        <f>C42*2.25</f>
        <v>4.5</v>
      </c>
      <c r="E42" s="9"/>
      <c r="F42" s="43" t="s">
        <v>79</v>
      </c>
      <c r="G42" s="264"/>
      <c r="H42" s="265"/>
      <c r="I42" s="265"/>
      <c r="J42" s="266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67" t="s">
        <v>81</v>
      </c>
      <c r="C43" s="71"/>
      <c r="D43" s="15"/>
      <c r="E43" s="9"/>
      <c r="F43" s="65" t="s">
        <v>82</v>
      </c>
      <c r="G43" s="145" t="s">
        <v>83</v>
      </c>
      <c r="H43" s="270" t="s">
        <v>13</v>
      </c>
      <c r="I43" s="271"/>
      <c r="J43" s="272"/>
      <c r="K43" s="24"/>
      <c r="P43" s="4"/>
      <c r="Q43" s="4"/>
      <c r="R43" s="5"/>
    </row>
    <row r="44" spans="1:18" ht="15.75" x14ac:dyDescent="0.25">
      <c r="A44" s="268"/>
      <c r="B44" s="30" t="s">
        <v>66</v>
      </c>
      <c r="C44" s="53"/>
      <c r="D44" s="15">
        <f>C44*120</f>
        <v>0</v>
      </c>
      <c r="E44" s="9"/>
      <c r="F44" s="41"/>
      <c r="G44" s="84" t="s">
        <v>197</v>
      </c>
      <c r="H44" s="255">
        <v>195329</v>
      </c>
      <c r="I44" s="255"/>
      <c r="J44" s="255"/>
      <c r="K44" s="24"/>
      <c r="P44" s="4"/>
      <c r="Q44" s="4"/>
      <c r="R44" s="5"/>
    </row>
    <row r="45" spans="1:18" ht="15.75" x14ac:dyDescent="0.25">
      <c r="A45" s="268"/>
      <c r="B45" s="30" t="s">
        <v>68</v>
      </c>
      <c r="C45" s="90"/>
      <c r="D45" s="15">
        <f>C45*84</f>
        <v>0</v>
      </c>
      <c r="E45" s="9"/>
      <c r="F45" s="41"/>
      <c r="G45" s="84"/>
      <c r="H45" s="255"/>
      <c r="I45" s="255"/>
      <c r="J45" s="255"/>
      <c r="K45" s="24"/>
      <c r="P45" s="4"/>
      <c r="Q45" s="4"/>
      <c r="R45" s="5"/>
    </row>
    <row r="46" spans="1:18" ht="15.75" x14ac:dyDescent="0.25">
      <c r="A46" s="268"/>
      <c r="B46" s="54" t="s">
        <v>70</v>
      </c>
      <c r="C46" s="91">
        <v>5</v>
      </c>
      <c r="D46" s="15">
        <f>C46*1.5</f>
        <v>7.5</v>
      </c>
      <c r="E46" s="9"/>
      <c r="F46" s="41"/>
      <c r="G46" s="69"/>
      <c r="H46" s="306"/>
      <c r="I46" s="306"/>
      <c r="J46" s="306"/>
      <c r="K46" s="24"/>
      <c r="P46" s="4"/>
      <c r="Q46" s="4"/>
      <c r="R46" s="5"/>
    </row>
    <row r="47" spans="1:18" ht="15.75" x14ac:dyDescent="0.25">
      <c r="A47" s="269"/>
      <c r="B47" s="30"/>
      <c r="C47" s="71"/>
      <c r="D47" s="15"/>
      <c r="E47" s="9"/>
      <c r="F47" s="65"/>
      <c r="G47" s="65"/>
      <c r="H47" s="273"/>
      <c r="I47" s="274"/>
      <c r="J47" s="275"/>
      <c r="K47" s="24"/>
      <c r="P47" s="4"/>
      <c r="Q47" s="4"/>
      <c r="R47" s="5"/>
    </row>
    <row r="48" spans="1:18" ht="15" customHeight="1" x14ac:dyDescent="0.25">
      <c r="A48" s="267" t="s">
        <v>32</v>
      </c>
      <c r="B48" s="30" t="s">
        <v>66</v>
      </c>
      <c r="C48" s="53">
        <v>10</v>
      </c>
      <c r="D48" s="15">
        <f>C48*78</f>
        <v>780</v>
      </c>
      <c r="E48" s="9"/>
      <c r="F48" s="65"/>
      <c r="G48" s="65"/>
      <c r="H48" s="273"/>
      <c r="I48" s="274"/>
      <c r="J48" s="275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68"/>
      <c r="B49" s="32" t="s">
        <v>68</v>
      </c>
      <c r="C49" s="90">
        <v>1</v>
      </c>
      <c r="D49" s="15">
        <f>C49*42</f>
        <v>42</v>
      </c>
      <c r="E49" s="9"/>
      <c r="F49" s="288" t="s">
        <v>86</v>
      </c>
      <c r="G49" s="240">
        <f>H34+H35+H36+H37+H38+H39+H40+H41+G42+H44+H45+H46</f>
        <v>224729</v>
      </c>
      <c r="H49" s="241"/>
      <c r="I49" s="241"/>
      <c r="J49" s="242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68"/>
      <c r="B50" s="35" t="s">
        <v>70</v>
      </c>
      <c r="C50" s="71">
        <v>21</v>
      </c>
      <c r="D50" s="15">
        <f>C50*1.5</f>
        <v>31.5</v>
      </c>
      <c r="E50" s="9"/>
      <c r="F50" s="289"/>
      <c r="G50" s="243"/>
      <c r="H50" s="244"/>
      <c r="I50" s="244"/>
      <c r="J50" s="245"/>
      <c r="K50" s="9"/>
      <c r="P50" s="4"/>
      <c r="Q50" s="4"/>
      <c r="R50" s="5"/>
    </row>
    <row r="51" spans="1:18" ht="15" customHeight="1" x14ac:dyDescent="0.25">
      <c r="A51" s="268"/>
      <c r="B51" s="30"/>
      <c r="C51" s="53"/>
      <c r="D51" s="34"/>
      <c r="E51" s="9"/>
      <c r="F51" s="290" t="s">
        <v>135</v>
      </c>
      <c r="G51" s="314">
        <f>G49-H29</f>
        <v>-871.5</v>
      </c>
      <c r="H51" s="315"/>
      <c r="I51" s="315"/>
      <c r="J51" s="316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68"/>
      <c r="B52" s="32"/>
      <c r="C52" s="36"/>
      <c r="D52" s="49"/>
      <c r="E52" s="9"/>
      <c r="F52" s="291"/>
      <c r="G52" s="317"/>
      <c r="H52" s="318"/>
      <c r="I52" s="318"/>
      <c r="J52" s="319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69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236" t="s">
        <v>90</v>
      </c>
      <c r="B54" s="276"/>
      <c r="C54" s="277"/>
      <c r="D54" s="280">
        <f>SUM(D34:D53)</f>
        <v>40939.5</v>
      </c>
      <c r="E54" s="9"/>
      <c r="F54" s="24"/>
      <c r="G54" s="9"/>
      <c r="H54" s="9"/>
      <c r="I54" s="9"/>
      <c r="J54" s="37"/>
    </row>
    <row r="55" spans="1:18" x14ac:dyDescent="0.25">
      <c r="A55" s="238"/>
      <c r="B55" s="278"/>
      <c r="C55" s="279"/>
      <c r="D55" s="281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161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282" t="s">
        <v>91</v>
      </c>
      <c r="B58" s="283"/>
      <c r="C58" s="283"/>
      <c r="D58" s="284"/>
      <c r="E58" s="9"/>
      <c r="F58" s="282" t="s">
        <v>92</v>
      </c>
      <c r="G58" s="283"/>
      <c r="H58" s="283"/>
      <c r="I58" s="283"/>
      <c r="J58" s="284"/>
    </row>
    <row r="59" spans="1:18" x14ac:dyDescent="0.25">
      <c r="A59" s="285"/>
      <c r="B59" s="286"/>
      <c r="C59" s="286"/>
      <c r="D59" s="287"/>
      <c r="E59" s="9"/>
      <c r="F59" s="285"/>
      <c r="G59" s="286"/>
      <c r="H59" s="286"/>
      <c r="I59" s="286"/>
      <c r="J59" s="287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7904B-DBA2-4632-AFA4-2F5C53B4677E}">
  <dimension ref="A1"/>
  <sheetViews>
    <sheetView workbookViewId="0">
      <selection activeCell="I4" sqref="I4:J5"/>
    </sheetView>
  </sheetViews>
  <sheetFormatPr defaultRowHeight="15" x14ac:dyDescent="0.25"/>
  <sheetData/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0FC69-ED24-4BAD-B5D1-5CAC227AA0EC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174" t="s">
        <v>1</v>
      </c>
      <c r="O1" s="174"/>
      <c r="P1" s="147" t="s">
        <v>2</v>
      </c>
      <c r="Q1" s="147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75" t="s">
        <v>7</v>
      </c>
      <c r="B4" s="176"/>
      <c r="C4" s="176"/>
      <c r="D4" s="177"/>
      <c r="E4" s="9"/>
      <c r="F4" s="178" t="s">
        <v>8</v>
      </c>
      <c r="G4" s="180">
        <v>1</v>
      </c>
      <c r="H4" s="182" t="s">
        <v>9</v>
      </c>
      <c r="I4" s="184">
        <v>45796</v>
      </c>
      <c r="J4" s="185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88" t="s">
        <v>7</v>
      </c>
      <c r="B5" s="18" t="s">
        <v>11</v>
      </c>
      <c r="C5" s="12" t="s">
        <v>12</v>
      </c>
      <c r="D5" s="28" t="s">
        <v>13</v>
      </c>
      <c r="E5" s="9"/>
      <c r="F5" s="179"/>
      <c r="G5" s="181"/>
      <c r="H5" s="183"/>
      <c r="I5" s="186"/>
      <c r="J5" s="187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89"/>
      <c r="B6" s="19" t="s">
        <v>15</v>
      </c>
      <c r="C6" s="53">
        <v>350</v>
      </c>
      <c r="D6" s="16">
        <f t="shared" ref="D6:D28" si="1">C6*L6</f>
        <v>257950</v>
      </c>
      <c r="E6" s="9"/>
      <c r="F6" s="191" t="s">
        <v>16</v>
      </c>
      <c r="G6" s="193" t="s">
        <v>128</v>
      </c>
      <c r="H6" s="194"/>
      <c r="I6" s="194"/>
      <c r="J6" s="195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89"/>
      <c r="B7" s="19" t="s">
        <v>18</v>
      </c>
      <c r="C7" s="53">
        <v>4</v>
      </c>
      <c r="D7" s="16">
        <f t="shared" si="1"/>
        <v>2900</v>
      </c>
      <c r="E7" s="9"/>
      <c r="F7" s="192"/>
      <c r="G7" s="196"/>
      <c r="H7" s="197"/>
      <c r="I7" s="197"/>
      <c r="J7" s="198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189"/>
      <c r="B8" s="19" t="s">
        <v>20</v>
      </c>
      <c r="C8" s="53">
        <v>1</v>
      </c>
      <c r="D8" s="16">
        <f t="shared" si="1"/>
        <v>1033</v>
      </c>
      <c r="E8" s="9"/>
      <c r="F8" s="199" t="s">
        <v>21</v>
      </c>
      <c r="G8" s="201" t="s">
        <v>113</v>
      </c>
      <c r="H8" s="202"/>
      <c r="I8" s="202"/>
      <c r="J8" s="203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189"/>
      <c r="B9" s="19" t="s">
        <v>23</v>
      </c>
      <c r="C9" s="53">
        <v>131</v>
      </c>
      <c r="D9" s="16">
        <f t="shared" si="1"/>
        <v>92617</v>
      </c>
      <c r="E9" s="9"/>
      <c r="F9" s="192"/>
      <c r="G9" s="204"/>
      <c r="H9" s="205"/>
      <c r="I9" s="205"/>
      <c r="J9" s="206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189"/>
      <c r="B10" s="11" t="s">
        <v>25</v>
      </c>
      <c r="C10" s="53"/>
      <c r="D10" s="16">
        <f t="shared" si="1"/>
        <v>0</v>
      </c>
      <c r="E10" s="9"/>
      <c r="F10" s="191" t="s">
        <v>26</v>
      </c>
      <c r="G10" s="207" t="s">
        <v>132</v>
      </c>
      <c r="H10" s="208"/>
      <c r="I10" s="208"/>
      <c r="J10" s="209"/>
      <c r="K10" s="10"/>
      <c r="L10" s="6">
        <f>R36</f>
        <v>972</v>
      </c>
      <c r="P10" s="4"/>
      <c r="Q10" s="4"/>
      <c r="R10" s="5"/>
    </row>
    <row r="11" spans="1:18" ht="15.75" x14ac:dyDescent="0.25">
      <c r="A11" s="189"/>
      <c r="B11" s="20" t="s">
        <v>28</v>
      </c>
      <c r="C11" s="53"/>
      <c r="D11" s="16">
        <f t="shared" si="1"/>
        <v>0</v>
      </c>
      <c r="E11" s="9"/>
      <c r="F11" s="192"/>
      <c r="G11" s="204"/>
      <c r="H11" s="205"/>
      <c r="I11" s="205"/>
      <c r="J11" s="206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89"/>
      <c r="B12" s="20" t="s">
        <v>30</v>
      </c>
      <c r="C12" s="53">
        <f>1</f>
        <v>1</v>
      </c>
      <c r="D12" s="52">
        <f t="shared" si="1"/>
        <v>952</v>
      </c>
      <c r="E12" s="9"/>
      <c r="F12" s="210" t="s">
        <v>33</v>
      </c>
      <c r="G12" s="211"/>
      <c r="H12" s="211"/>
      <c r="I12" s="211"/>
      <c r="J12" s="212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89"/>
      <c r="B13" s="20" t="s">
        <v>32</v>
      </c>
      <c r="C13" s="53">
        <v>18</v>
      </c>
      <c r="D13" s="52">
        <f t="shared" si="1"/>
        <v>5526</v>
      </c>
      <c r="E13" s="9"/>
      <c r="F13" s="213" t="s">
        <v>36</v>
      </c>
      <c r="G13" s="214"/>
      <c r="H13" s="215">
        <f>D29</f>
        <v>366838.5</v>
      </c>
      <c r="I13" s="216"/>
      <c r="J13" s="217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89"/>
      <c r="B14" s="17" t="s">
        <v>35</v>
      </c>
      <c r="C14" s="53">
        <v>17</v>
      </c>
      <c r="D14" s="34">
        <f t="shared" si="1"/>
        <v>187</v>
      </c>
      <c r="E14" s="9"/>
      <c r="F14" s="218" t="s">
        <v>39</v>
      </c>
      <c r="G14" s="219"/>
      <c r="H14" s="220">
        <f>D54</f>
        <v>81416.25</v>
      </c>
      <c r="I14" s="221"/>
      <c r="J14" s="222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89"/>
      <c r="B15" s="17" t="s">
        <v>38</v>
      </c>
      <c r="C15" s="53"/>
      <c r="D15" s="34">
        <f t="shared" si="1"/>
        <v>0</v>
      </c>
      <c r="E15" s="9"/>
      <c r="F15" s="223" t="s">
        <v>40</v>
      </c>
      <c r="G15" s="214"/>
      <c r="H15" s="224">
        <f>H13-H14</f>
        <v>285422.25</v>
      </c>
      <c r="I15" s="225"/>
      <c r="J15" s="226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89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227">
        <f>1881+1872</f>
        <v>3753</v>
      </c>
      <c r="I16" s="227"/>
      <c r="J16" s="22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89"/>
      <c r="B17" s="11" t="s">
        <v>137</v>
      </c>
      <c r="C17" s="53"/>
      <c r="D17" s="52">
        <f t="shared" si="1"/>
        <v>0</v>
      </c>
      <c r="E17" s="9"/>
      <c r="F17" s="62"/>
      <c r="G17" s="74" t="s">
        <v>45</v>
      </c>
      <c r="H17" s="200"/>
      <c r="I17" s="200"/>
      <c r="J17" s="200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89"/>
      <c r="B18" s="22" t="s">
        <v>95</v>
      </c>
      <c r="C18" s="53">
        <v>1</v>
      </c>
      <c r="D18" s="52">
        <f t="shared" si="1"/>
        <v>620</v>
      </c>
      <c r="E18" s="9"/>
      <c r="F18" s="62"/>
      <c r="G18" s="74" t="s">
        <v>47</v>
      </c>
      <c r="H18" s="200"/>
      <c r="I18" s="200"/>
      <c r="J18" s="200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89"/>
      <c r="B19" s="17" t="s">
        <v>140</v>
      </c>
      <c r="C19" s="53"/>
      <c r="D19" s="52">
        <f t="shared" si="1"/>
        <v>0</v>
      </c>
      <c r="E19" s="9"/>
      <c r="F19" s="62"/>
      <c r="G19" s="76" t="s">
        <v>50</v>
      </c>
      <c r="H19" s="200"/>
      <c r="I19" s="200"/>
      <c r="J19" s="200"/>
      <c r="L19" s="6">
        <v>1102</v>
      </c>
      <c r="Q19" s="4"/>
      <c r="R19" s="5">
        <f t="shared" si="0"/>
        <v>0</v>
      </c>
    </row>
    <row r="20" spans="1:18" ht="15.75" x14ac:dyDescent="0.25">
      <c r="A20" s="189"/>
      <c r="B20" s="97" t="s">
        <v>139</v>
      </c>
      <c r="C20" s="53"/>
      <c r="D20" s="16">
        <f t="shared" si="1"/>
        <v>0</v>
      </c>
      <c r="E20" s="9"/>
      <c r="F20" s="63"/>
      <c r="G20" s="78" t="s">
        <v>124</v>
      </c>
      <c r="H20" s="227"/>
      <c r="I20" s="227"/>
      <c r="J20" s="227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89"/>
      <c r="B21" s="17" t="s">
        <v>145</v>
      </c>
      <c r="C21" s="53">
        <f>1+1</f>
        <v>2</v>
      </c>
      <c r="D21" s="52">
        <f t="shared" si="1"/>
        <v>1300</v>
      </c>
      <c r="E21" s="9"/>
      <c r="F21" s="77" t="s">
        <v>99</v>
      </c>
      <c r="G21" s="92" t="s">
        <v>98</v>
      </c>
      <c r="H21" s="246" t="s">
        <v>13</v>
      </c>
      <c r="I21" s="247"/>
      <c r="J21" s="248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89"/>
      <c r="B22" s="50" t="s">
        <v>110</v>
      </c>
      <c r="C22" s="53"/>
      <c r="D22" s="52">
        <f t="shared" si="1"/>
        <v>0</v>
      </c>
      <c r="E22" s="9"/>
      <c r="F22" s="85" t="s">
        <v>200</v>
      </c>
      <c r="G22" s="81">
        <v>1846</v>
      </c>
      <c r="H22" s="249">
        <v>124329</v>
      </c>
      <c r="I22" s="249"/>
      <c r="J22" s="249"/>
      <c r="L22" s="7">
        <v>1142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89"/>
      <c r="B23" s="17" t="s">
        <v>125</v>
      </c>
      <c r="C23" s="53">
        <v>12</v>
      </c>
      <c r="D23" s="52">
        <f t="shared" si="1"/>
        <v>520.5</v>
      </c>
      <c r="E23" s="9"/>
      <c r="F23" s="85"/>
      <c r="G23" s="87"/>
      <c r="H23" s="250"/>
      <c r="I23" s="251"/>
      <c r="J23" s="251"/>
      <c r="L23" s="51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89"/>
      <c r="B24" s="17" t="s">
        <v>126</v>
      </c>
      <c r="C24" s="53"/>
      <c r="D24" s="52">
        <f t="shared" si="1"/>
        <v>0</v>
      </c>
      <c r="E24" s="9"/>
      <c r="F24" s="85"/>
      <c r="G24" s="87"/>
      <c r="H24" s="250"/>
      <c r="I24" s="251"/>
      <c r="J24" s="251"/>
      <c r="L24" s="51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89"/>
      <c r="B25" s="17" t="s">
        <v>121</v>
      </c>
      <c r="C25" s="53">
        <v>12</v>
      </c>
      <c r="D25" s="52">
        <f t="shared" si="1"/>
        <v>444</v>
      </c>
      <c r="E25" s="9"/>
      <c r="F25" s="66" t="s">
        <v>100</v>
      </c>
      <c r="G25" s="61" t="s">
        <v>98</v>
      </c>
      <c r="H25" s="252" t="s">
        <v>13</v>
      </c>
      <c r="I25" s="253"/>
      <c r="J25" s="254"/>
      <c r="L25" s="51">
        <f>852/24+1.5</f>
        <v>37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89"/>
      <c r="B26" s="17" t="s">
        <v>112</v>
      </c>
      <c r="C26" s="53"/>
      <c r="D26" s="52">
        <f t="shared" si="1"/>
        <v>0</v>
      </c>
      <c r="E26" s="9"/>
      <c r="F26" s="83"/>
      <c r="G26" s="73"/>
      <c r="H26" s="255"/>
      <c r="I26" s="255"/>
      <c r="J26" s="255"/>
      <c r="L26" s="7">
        <f>500/24+1.5</f>
        <v>22.333333333333332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89"/>
      <c r="B27" s="17" t="s">
        <v>120</v>
      </c>
      <c r="C27" s="53">
        <v>12</v>
      </c>
      <c r="D27" s="48">
        <f t="shared" si="1"/>
        <v>434</v>
      </c>
      <c r="E27" s="9"/>
      <c r="F27" s="79"/>
      <c r="G27" s="145"/>
      <c r="H27" s="256"/>
      <c r="I27" s="257"/>
      <c r="J27" s="257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90"/>
      <c r="B28" s="50" t="s">
        <v>97</v>
      </c>
      <c r="C28" s="53">
        <v>3</v>
      </c>
      <c r="D28" s="52">
        <f t="shared" si="1"/>
        <v>2355</v>
      </c>
      <c r="E28" s="9"/>
      <c r="F28" s="60"/>
      <c r="G28" s="68"/>
      <c r="H28" s="258"/>
      <c r="I28" s="259"/>
      <c r="J28" s="260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28" t="s">
        <v>36</v>
      </c>
      <c r="B29" s="229"/>
      <c r="C29" s="230"/>
      <c r="D29" s="234">
        <f>SUM(D6:D28)</f>
        <v>366838.5</v>
      </c>
      <c r="E29" s="9"/>
      <c r="F29" s="236" t="s">
        <v>55</v>
      </c>
      <c r="G29" s="237"/>
      <c r="H29" s="240">
        <f>H15-H16-H17-H18-H19-H20-H22-H23-H24+H26+H27+H28</f>
        <v>157340.25</v>
      </c>
      <c r="I29" s="241"/>
      <c r="J29" s="242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231"/>
      <c r="B30" s="232"/>
      <c r="C30" s="233"/>
      <c r="D30" s="235"/>
      <c r="E30" s="9"/>
      <c r="F30" s="238"/>
      <c r="G30" s="239"/>
      <c r="H30" s="243"/>
      <c r="I30" s="244"/>
      <c r="J30" s="245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5" t="s">
        <v>58</v>
      </c>
      <c r="B32" s="176"/>
      <c r="C32" s="176"/>
      <c r="D32" s="177"/>
      <c r="E32" s="11"/>
      <c r="F32" s="261" t="s">
        <v>59</v>
      </c>
      <c r="G32" s="262"/>
      <c r="H32" s="262"/>
      <c r="I32" s="262"/>
      <c r="J32" s="263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48" t="s">
        <v>63</v>
      </c>
      <c r="H33" s="261" t="s">
        <v>13</v>
      </c>
      <c r="I33" s="262"/>
      <c r="J33" s="263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88" t="s">
        <v>65</v>
      </c>
      <c r="B34" s="29" t="s">
        <v>66</v>
      </c>
      <c r="C34" s="56">
        <v>4</v>
      </c>
      <c r="D34" s="33">
        <f>C34*120</f>
        <v>480</v>
      </c>
      <c r="E34" s="9"/>
      <c r="F34" s="15">
        <v>1000</v>
      </c>
      <c r="G34" s="44">
        <f>50+16</f>
        <v>66</v>
      </c>
      <c r="H34" s="264">
        <f t="shared" ref="H34:H39" si="2">F34*G34</f>
        <v>66000</v>
      </c>
      <c r="I34" s="265"/>
      <c r="J34" s="266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89"/>
      <c r="B35" s="30" t="s">
        <v>68</v>
      </c>
      <c r="C35" s="57">
        <v>1</v>
      </c>
      <c r="D35" s="33">
        <f>C35*84</f>
        <v>84</v>
      </c>
      <c r="E35" s="9"/>
      <c r="F35" s="64">
        <v>500</v>
      </c>
      <c r="G35" s="45">
        <f>8+1</f>
        <v>9</v>
      </c>
      <c r="H35" s="264">
        <f t="shared" si="2"/>
        <v>4500</v>
      </c>
      <c r="I35" s="265"/>
      <c r="J35" s="266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90"/>
      <c r="B36" s="29" t="s">
        <v>70</v>
      </c>
      <c r="C36" s="53">
        <v>4</v>
      </c>
      <c r="D36" s="15">
        <f>C36*1.5</f>
        <v>6</v>
      </c>
      <c r="E36" s="9"/>
      <c r="F36" s="15">
        <v>200</v>
      </c>
      <c r="G36" s="41">
        <v>1</v>
      </c>
      <c r="H36" s="264">
        <f t="shared" si="2"/>
        <v>200</v>
      </c>
      <c r="I36" s="265"/>
      <c r="J36" s="266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88" t="s">
        <v>72</v>
      </c>
      <c r="B37" s="31" t="s">
        <v>66</v>
      </c>
      <c r="C37" s="58">
        <v>592</v>
      </c>
      <c r="D37" s="15">
        <f>C37*111</f>
        <v>65712</v>
      </c>
      <c r="E37" s="9"/>
      <c r="F37" s="15">
        <v>100</v>
      </c>
      <c r="G37" s="43">
        <f>7+1</f>
        <v>8</v>
      </c>
      <c r="H37" s="264">
        <f t="shared" si="2"/>
        <v>800</v>
      </c>
      <c r="I37" s="265"/>
      <c r="J37" s="266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89"/>
      <c r="B38" s="32" t="s">
        <v>68</v>
      </c>
      <c r="C38" s="59">
        <v>62</v>
      </c>
      <c r="D38" s="15">
        <f>C38*84</f>
        <v>5208</v>
      </c>
      <c r="E38" s="9"/>
      <c r="F38" s="33">
        <v>50</v>
      </c>
      <c r="G38" s="43">
        <v>1</v>
      </c>
      <c r="H38" s="264">
        <f t="shared" si="2"/>
        <v>50</v>
      </c>
      <c r="I38" s="265"/>
      <c r="J38" s="266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90"/>
      <c r="B39" s="32" t="s">
        <v>70</v>
      </c>
      <c r="C39" s="57">
        <v>8</v>
      </c>
      <c r="D39" s="34">
        <f>C39*4.5</f>
        <v>36</v>
      </c>
      <c r="E39" s="9"/>
      <c r="F39" s="15">
        <v>20</v>
      </c>
      <c r="G39" s="41">
        <f>1+1</f>
        <v>2</v>
      </c>
      <c r="H39" s="264">
        <f t="shared" si="2"/>
        <v>40</v>
      </c>
      <c r="I39" s="265"/>
      <c r="J39" s="266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88" t="s">
        <v>76</v>
      </c>
      <c r="B40" s="30" t="s">
        <v>66</v>
      </c>
      <c r="C40" s="70">
        <v>35</v>
      </c>
      <c r="D40" s="15">
        <f>C40*111</f>
        <v>3885</v>
      </c>
      <c r="E40" s="9"/>
      <c r="F40" s="15">
        <v>10</v>
      </c>
      <c r="G40" s="46"/>
      <c r="H40" s="264"/>
      <c r="I40" s="265"/>
      <c r="J40" s="266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89"/>
      <c r="B41" s="30" t="s">
        <v>68</v>
      </c>
      <c r="C41" s="53">
        <v>1</v>
      </c>
      <c r="D41" s="15">
        <f>C41*84</f>
        <v>84</v>
      </c>
      <c r="E41" s="9"/>
      <c r="F41" s="15">
        <v>5</v>
      </c>
      <c r="G41" s="46"/>
      <c r="H41" s="264"/>
      <c r="I41" s="265"/>
      <c r="J41" s="266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90"/>
      <c r="B42" s="30" t="s">
        <v>70</v>
      </c>
      <c r="C42" s="71">
        <v>5</v>
      </c>
      <c r="D42" s="15">
        <f>C42*2.25</f>
        <v>11.25</v>
      </c>
      <c r="E42" s="9"/>
      <c r="F42" s="43" t="s">
        <v>79</v>
      </c>
      <c r="G42" s="264">
        <f>59+25</f>
        <v>84</v>
      </c>
      <c r="H42" s="265"/>
      <c r="I42" s="265"/>
      <c r="J42" s="266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67" t="s">
        <v>81</v>
      </c>
      <c r="C43" s="71"/>
      <c r="D43" s="15"/>
      <c r="E43" s="9"/>
      <c r="F43" s="65" t="s">
        <v>82</v>
      </c>
      <c r="G43" s="145" t="s">
        <v>83</v>
      </c>
      <c r="H43" s="270" t="s">
        <v>13</v>
      </c>
      <c r="I43" s="271"/>
      <c r="J43" s="272"/>
      <c r="K43" s="24"/>
      <c r="O43" t="s">
        <v>103</v>
      </c>
      <c r="P43" s="4">
        <v>1667</v>
      </c>
      <c r="Q43" s="4"/>
      <c r="R43" s="5"/>
    </row>
    <row r="44" spans="1:18" ht="15.75" x14ac:dyDescent="0.25">
      <c r="A44" s="268"/>
      <c r="B44" s="30" t="s">
        <v>66</v>
      </c>
      <c r="C44" s="53">
        <v>13</v>
      </c>
      <c r="D44" s="15">
        <f>C44*120</f>
        <v>1560</v>
      </c>
      <c r="E44" s="9"/>
      <c r="F44" s="41" t="s">
        <v>148</v>
      </c>
      <c r="G44" s="69" t="s">
        <v>199</v>
      </c>
      <c r="H44" s="255">
        <v>99890.5</v>
      </c>
      <c r="I44" s="255"/>
      <c r="J44" s="255"/>
      <c r="K44" s="24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268"/>
      <c r="B45" s="30" t="s">
        <v>68</v>
      </c>
      <c r="C45" s="90">
        <v>6</v>
      </c>
      <c r="D45" s="15">
        <f>C45*84</f>
        <v>504</v>
      </c>
      <c r="E45" s="9"/>
      <c r="F45" s="41"/>
      <c r="G45" s="69"/>
      <c r="H45" s="255"/>
      <c r="I45" s="255"/>
      <c r="J45" s="255"/>
      <c r="K45" s="24"/>
      <c r="P45" s="4"/>
      <c r="Q45" s="4"/>
      <c r="R45" s="5"/>
    </row>
    <row r="46" spans="1:18" ht="15.75" x14ac:dyDescent="0.25">
      <c r="A46" s="268"/>
      <c r="B46" s="54" t="s">
        <v>70</v>
      </c>
      <c r="C46" s="91">
        <v>20</v>
      </c>
      <c r="D46" s="15">
        <f>C46*1.5</f>
        <v>30</v>
      </c>
      <c r="E46" s="9"/>
      <c r="F46" s="41"/>
      <c r="G46" s="69"/>
      <c r="H46" s="255"/>
      <c r="I46" s="255"/>
      <c r="J46" s="255"/>
      <c r="K46" s="24"/>
      <c r="P46" s="4"/>
      <c r="Q46" s="4"/>
      <c r="R46" s="5"/>
    </row>
    <row r="47" spans="1:18" ht="15.75" x14ac:dyDescent="0.25">
      <c r="A47" s="269"/>
      <c r="B47" s="30"/>
      <c r="C47" s="71"/>
      <c r="D47" s="15"/>
      <c r="E47" s="9"/>
      <c r="F47" s="65"/>
      <c r="G47" s="65"/>
      <c r="H47" s="273"/>
      <c r="I47" s="274"/>
      <c r="J47" s="275"/>
      <c r="K47" s="24"/>
      <c r="P47" s="4"/>
      <c r="Q47" s="4"/>
      <c r="R47" s="5"/>
    </row>
    <row r="48" spans="1:18" ht="15" customHeight="1" x14ac:dyDescent="0.25">
      <c r="A48" s="267" t="s">
        <v>32</v>
      </c>
      <c r="B48" s="30" t="s">
        <v>66</v>
      </c>
      <c r="C48" s="53">
        <v>25</v>
      </c>
      <c r="D48" s="15">
        <f>C48*78</f>
        <v>1950</v>
      </c>
      <c r="E48" s="9"/>
      <c r="F48" s="65"/>
      <c r="G48" s="65"/>
      <c r="H48" s="273"/>
      <c r="I48" s="274"/>
      <c r="J48" s="275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68"/>
      <c r="B49" s="32" t="s">
        <v>68</v>
      </c>
      <c r="C49" s="90">
        <v>43</v>
      </c>
      <c r="D49" s="15">
        <f>C49*42</f>
        <v>1806</v>
      </c>
      <c r="E49" s="9"/>
      <c r="F49" s="288" t="s">
        <v>86</v>
      </c>
      <c r="G49" s="240">
        <f>H34+H35+H36+H37+H38+H39+H40+H41+G42+H44+H45+H46</f>
        <v>171564.5</v>
      </c>
      <c r="H49" s="241"/>
      <c r="I49" s="241"/>
      <c r="J49" s="242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68"/>
      <c r="B50" s="35" t="s">
        <v>70</v>
      </c>
      <c r="C50" s="71">
        <v>40</v>
      </c>
      <c r="D50" s="15">
        <f>C50*1.5</f>
        <v>60</v>
      </c>
      <c r="E50" s="9"/>
      <c r="F50" s="289"/>
      <c r="G50" s="243"/>
      <c r="H50" s="244"/>
      <c r="I50" s="244"/>
      <c r="J50" s="245"/>
      <c r="K50" s="9"/>
      <c r="P50" s="4"/>
      <c r="Q50" s="4"/>
      <c r="R50" s="5"/>
    </row>
    <row r="51" spans="1:18" ht="15" customHeight="1" x14ac:dyDescent="0.25">
      <c r="A51" s="268"/>
      <c r="B51" s="30"/>
      <c r="C51" s="13"/>
      <c r="D51" s="34"/>
      <c r="E51" s="9"/>
      <c r="F51" s="290" t="s">
        <v>147</v>
      </c>
      <c r="G51" s="320">
        <f>G49-H29</f>
        <v>14224.25</v>
      </c>
      <c r="H51" s="321"/>
      <c r="I51" s="321"/>
      <c r="J51" s="322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68"/>
      <c r="B52" s="32"/>
      <c r="C52" s="36"/>
      <c r="D52" s="49"/>
      <c r="E52" s="9"/>
      <c r="F52" s="291"/>
      <c r="G52" s="323"/>
      <c r="H52" s="324"/>
      <c r="I52" s="324"/>
      <c r="J52" s="325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69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236" t="s">
        <v>90</v>
      </c>
      <c r="B54" s="276"/>
      <c r="C54" s="277"/>
      <c r="D54" s="280">
        <f>SUM(D34:D53)</f>
        <v>81416.25</v>
      </c>
      <c r="E54" s="9"/>
      <c r="F54" s="24"/>
      <c r="G54" s="9"/>
      <c r="H54" s="9"/>
      <c r="I54" s="9"/>
      <c r="J54" s="37"/>
      <c r="O54" t="s">
        <v>102</v>
      </c>
      <c r="P54" s="4">
        <v>1582</v>
      </c>
      <c r="R54" s="3">
        <v>1582</v>
      </c>
    </row>
    <row r="55" spans="1:18" x14ac:dyDescent="0.25">
      <c r="A55" s="238"/>
      <c r="B55" s="278"/>
      <c r="C55" s="279"/>
      <c r="D55" s="281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129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282" t="s">
        <v>91</v>
      </c>
      <c r="B58" s="283"/>
      <c r="C58" s="283"/>
      <c r="D58" s="284"/>
      <c r="E58" s="9"/>
      <c r="F58" s="282" t="s">
        <v>92</v>
      </c>
      <c r="G58" s="283"/>
      <c r="H58" s="283"/>
      <c r="I58" s="283"/>
      <c r="J58" s="284"/>
    </row>
    <row r="59" spans="1:18" x14ac:dyDescent="0.25">
      <c r="A59" s="285"/>
      <c r="B59" s="286"/>
      <c r="C59" s="286"/>
      <c r="D59" s="287"/>
      <c r="E59" s="9"/>
      <c r="F59" s="285"/>
      <c r="G59" s="286"/>
      <c r="H59" s="286"/>
      <c r="I59" s="286"/>
      <c r="J59" s="287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C9810-2F12-4ACB-918B-B8D65682B7F6}">
  <dimension ref="A1:R59"/>
  <sheetViews>
    <sheetView topLeftCell="A4"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174" t="s">
        <v>1</v>
      </c>
      <c r="O1" s="174"/>
      <c r="P1" s="147" t="s">
        <v>2</v>
      </c>
      <c r="Q1" s="147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75" t="s">
        <v>7</v>
      </c>
      <c r="B4" s="176"/>
      <c r="C4" s="176"/>
      <c r="D4" s="177"/>
      <c r="E4" s="9"/>
      <c r="F4" s="178" t="s">
        <v>8</v>
      </c>
      <c r="G4" s="180">
        <v>2</v>
      </c>
      <c r="H4" s="182" t="s">
        <v>9</v>
      </c>
      <c r="I4" s="184">
        <v>45796</v>
      </c>
      <c r="J4" s="185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88" t="s">
        <v>7</v>
      </c>
      <c r="B5" s="18" t="s">
        <v>11</v>
      </c>
      <c r="C5" s="12" t="s">
        <v>12</v>
      </c>
      <c r="D5" s="28" t="s">
        <v>13</v>
      </c>
      <c r="E5" s="9"/>
      <c r="F5" s="179"/>
      <c r="G5" s="181"/>
      <c r="H5" s="183"/>
      <c r="I5" s="186"/>
      <c r="J5" s="187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89"/>
      <c r="B6" s="19" t="s">
        <v>15</v>
      </c>
      <c r="C6" s="53">
        <v>346</v>
      </c>
      <c r="D6" s="16">
        <f t="shared" ref="D6:D28" si="1">C6*L6</f>
        <v>255002</v>
      </c>
      <c r="E6" s="9"/>
      <c r="F6" s="191" t="s">
        <v>16</v>
      </c>
      <c r="G6" s="193" t="s">
        <v>127</v>
      </c>
      <c r="H6" s="194"/>
      <c r="I6" s="194"/>
      <c r="J6" s="195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89"/>
      <c r="B7" s="19" t="s">
        <v>18</v>
      </c>
      <c r="C7" s="53">
        <v>2</v>
      </c>
      <c r="D7" s="16">
        <f t="shared" si="1"/>
        <v>1450</v>
      </c>
      <c r="E7" s="9"/>
      <c r="F7" s="192"/>
      <c r="G7" s="196"/>
      <c r="H7" s="197"/>
      <c r="I7" s="197"/>
      <c r="J7" s="198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189"/>
      <c r="B8" s="19" t="s">
        <v>20</v>
      </c>
      <c r="C8" s="53"/>
      <c r="D8" s="16">
        <f t="shared" si="1"/>
        <v>0</v>
      </c>
      <c r="E8" s="9"/>
      <c r="F8" s="199" t="s">
        <v>21</v>
      </c>
      <c r="G8" s="201" t="s">
        <v>115</v>
      </c>
      <c r="H8" s="202"/>
      <c r="I8" s="202"/>
      <c r="J8" s="203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189"/>
      <c r="B9" s="19" t="s">
        <v>23</v>
      </c>
      <c r="C9" s="53">
        <v>58</v>
      </c>
      <c r="D9" s="16">
        <f t="shared" si="1"/>
        <v>41006</v>
      </c>
      <c r="E9" s="9"/>
      <c r="F9" s="192"/>
      <c r="G9" s="204"/>
      <c r="H9" s="205"/>
      <c r="I9" s="205"/>
      <c r="J9" s="206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189"/>
      <c r="B10" s="11" t="s">
        <v>25</v>
      </c>
      <c r="C10" s="53"/>
      <c r="D10" s="16">
        <f t="shared" si="1"/>
        <v>0</v>
      </c>
      <c r="E10" s="9"/>
      <c r="F10" s="191" t="s">
        <v>26</v>
      </c>
      <c r="G10" s="207" t="s">
        <v>116</v>
      </c>
      <c r="H10" s="208"/>
      <c r="I10" s="208"/>
      <c r="J10" s="209"/>
      <c r="K10" s="10"/>
      <c r="L10" s="6">
        <f>R36</f>
        <v>972</v>
      </c>
      <c r="P10" s="4"/>
      <c r="Q10" s="4"/>
      <c r="R10" s="5"/>
    </row>
    <row r="11" spans="1:18" ht="15.75" x14ac:dyDescent="0.25">
      <c r="A11" s="189"/>
      <c r="B11" s="20" t="s">
        <v>28</v>
      </c>
      <c r="C11" s="53"/>
      <c r="D11" s="16">
        <f t="shared" si="1"/>
        <v>0</v>
      </c>
      <c r="E11" s="9"/>
      <c r="F11" s="192"/>
      <c r="G11" s="204"/>
      <c r="H11" s="205"/>
      <c r="I11" s="205"/>
      <c r="J11" s="206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89"/>
      <c r="B12" s="20" t="s">
        <v>30</v>
      </c>
      <c r="C12" s="53"/>
      <c r="D12" s="52">
        <f t="shared" si="1"/>
        <v>0</v>
      </c>
      <c r="E12" s="9"/>
      <c r="F12" s="210" t="s">
        <v>33</v>
      </c>
      <c r="G12" s="211"/>
      <c r="H12" s="211"/>
      <c r="I12" s="211"/>
      <c r="J12" s="212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89"/>
      <c r="B13" s="20" t="s">
        <v>32</v>
      </c>
      <c r="C13" s="53">
        <v>17</v>
      </c>
      <c r="D13" s="52">
        <f t="shared" si="1"/>
        <v>5219</v>
      </c>
      <c r="E13" s="9"/>
      <c r="F13" s="213" t="s">
        <v>36</v>
      </c>
      <c r="G13" s="214"/>
      <c r="H13" s="215">
        <f>D29</f>
        <v>302798</v>
      </c>
      <c r="I13" s="216"/>
      <c r="J13" s="217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89"/>
      <c r="B14" s="17" t="s">
        <v>35</v>
      </c>
      <c r="C14" s="53">
        <v>11</v>
      </c>
      <c r="D14" s="34">
        <f t="shared" si="1"/>
        <v>121</v>
      </c>
      <c r="E14" s="9"/>
      <c r="F14" s="218" t="s">
        <v>39</v>
      </c>
      <c r="G14" s="219"/>
      <c r="H14" s="220">
        <f>D54</f>
        <v>45695.25</v>
      </c>
      <c r="I14" s="221"/>
      <c r="J14" s="222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89"/>
      <c r="B15" s="17" t="s">
        <v>38</v>
      </c>
      <c r="C15" s="53"/>
      <c r="D15" s="34">
        <f t="shared" si="1"/>
        <v>0</v>
      </c>
      <c r="E15" s="9"/>
      <c r="F15" s="223" t="s">
        <v>40</v>
      </c>
      <c r="G15" s="214"/>
      <c r="H15" s="224">
        <f>H13-H14</f>
        <v>257102.75</v>
      </c>
      <c r="I15" s="225"/>
      <c r="J15" s="226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89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227">
        <f>3519</f>
        <v>3519</v>
      </c>
      <c r="I16" s="227"/>
      <c r="J16" s="22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89"/>
      <c r="B17" s="11" t="s">
        <v>93</v>
      </c>
      <c r="C17" s="53"/>
      <c r="D17" s="52">
        <f t="shared" si="1"/>
        <v>0</v>
      </c>
      <c r="E17" s="9"/>
      <c r="F17" s="62"/>
      <c r="G17" s="74" t="s">
        <v>45</v>
      </c>
      <c r="H17" s="200"/>
      <c r="I17" s="200"/>
      <c r="J17" s="200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89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200"/>
      <c r="I18" s="200"/>
      <c r="J18" s="200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89"/>
      <c r="B19" s="17" t="s">
        <v>96</v>
      </c>
      <c r="C19" s="53"/>
      <c r="D19" s="52">
        <f t="shared" si="1"/>
        <v>0</v>
      </c>
      <c r="E19" s="9"/>
      <c r="F19" s="62"/>
      <c r="G19" s="76" t="s">
        <v>50</v>
      </c>
      <c r="H19" s="298"/>
      <c r="I19" s="298"/>
      <c r="J19" s="298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89"/>
      <c r="B20" s="50" t="s">
        <v>131</v>
      </c>
      <c r="C20" s="53"/>
      <c r="D20" s="16">
        <f t="shared" si="1"/>
        <v>0</v>
      </c>
      <c r="E20" s="9"/>
      <c r="F20" s="63"/>
      <c r="G20" s="78" t="s">
        <v>124</v>
      </c>
      <c r="H20" s="200"/>
      <c r="I20" s="200"/>
      <c r="J20" s="200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89"/>
      <c r="B21" s="17" t="s">
        <v>130</v>
      </c>
      <c r="C21" s="53"/>
      <c r="D21" s="52">
        <f t="shared" si="1"/>
        <v>0</v>
      </c>
      <c r="E21" s="9"/>
      <c r="F21" s="77" t="s">
        <v>99</v>
      </c>
      <c r="G21" s="92" t="s">
        <v>98</v>
      </c>
      <c r="H21" s="246" t="s">
        <v>13</v>
      </c>
      <c r="I21" s="247"/>
      <c r="J21" s="248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89"/>
      <c r="B22" s="50" t="s">
        <v>104</v>
      </c>
      <c r="C22" s="53"/>
      <c r="D22" s="52">
        <f t="shared" si="1"/>
        <v>0</v>
      </c>
      <c r="E22" s="9"/>
      <c r="F22" s="80"/>
      <c r="G22" s="81"/>
      <c r="H22" s="249"/>
      <c r="I22" s="249"/>
      <c r="J22" s="249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89"/>
      <c r="B23" s="17" t="s">
        <v>107</v>
      </c>
      <c r="C23" s="53"/>
      <c r="D23" s="52">
        <f t="shared" si="1"/>
        <v>0</v>
      </c>
      <c r="E23" s="9"/>
      <c r="F23" s="28"/>
      <c r="G23" s="41"/>
      <c r="H23" s="299"/>
      <c r="I23" s="255"/>
      <c r="J23" s="255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89"/>
      <c r="B24" s="17" t="s">
        <v>133</v>
      </c>
      <c r="C24" s="53"/>
      <c r="D24" s="52">
        <f t="shared" si="1"/>
        <v>0</v>
      </c>
      <c r="E24" s="9"/>
      <c r="F24" s="42"/>
      <c r="G24" s="41"/>
      <c r="H24" s="299"/>
      <c r="I24" s="255"/>
      <c r="J24" s="255"/>
      <c r="L24" s="51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89"/>
      <c r="B25" s="17" t="s">
        <v>134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52" t="s">
        <v>13</v>
      </c>
      <c r="I25" s="253"/>
      <c r="J25" s="254"/>
      <c r="L25" s="51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89"/>
      <c r="B26" s="17" t="s">
        <v>105</v>
      </c>
      <c r="C26" s="53"/>
      <c r="D26" s="52">
        <f t="shared" si="1"/>
        <v>0</v>
      </c>
      <c r="E26" s="9"/>
      <c r="F26" s="72"/>
      <c r="G26" s="13"/>
      <c r="H26" s="300"/>
      <c r="I26" s="301"/>
      <c r="J26" s="302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89"/>
      <c r="B27" s="17" t="s">
        <v>109</v>
      </c>
      <c r="C27" s="53"/>
      <c r="D27" s="48">
        <f t="shared" si="1"/>
        <v>0</v>
      </c>
      <c r="E27" s="9"/>
      <c r="F27" s="67"/>
      <c r="G27" s="67"/>
      <c r="H27" s="303"/>
      <c r="I27" s="304"/>
      <c r="J27" s="305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90"/>
      <c r="B28" s="50" t="s">
        <v>97</v>
      </c>
      <c r="C28" s="53"/>
      <c r="D28" s="52">
        <f t="shared" si="1"/>
        <v>0</v>
      </c>
      <c r="E28" s="9"/>
      <c r="F28" s="60"/>
      <c r="G28" s="68"/>
      <c r="H28" s="258"/>
      <c r="I28" s="259"/>
      <c r="J28" s="260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28" t="s">
        <v>36</v>
      </c>
      <c r="B29" s="229"/>
      <c r="C29" s="230"/>
      <c r="D29" s="234">
        <f>SUM(D6:D28)</f>
        <v>302798</v>
      </c>
      <c r="E29" s="9"/>
      <c r="F29" s="236" t="s">
        <v>55</v>
      </c>
      <c r="G29" s="237"/>
      <c r="H29" s="240">
        <f>H15-H16-H17-H18-H19-H20-H22-H23-H24+H26+H27</f>
        <v>253583.75</v>
      </c>
      <c r="I29" s="241"/>
      <c r="J29" s="242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231"/>
      <c r="B30" s="232"/>
      <c r="C30" s="233"/>
      <c r="D30" s="235"/>
      <c r="E30" s="9"/>
      <c r="F30" s="238"/>
      <c r="G30" s="239"/>
      <c r="H30" s="243"/>
      <c r="I30" s="244"/>
      <c r="J30" s="245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5" t="s">
        <v>58</v>
      </c>
      <c r="B32" s="176"/>
      <c r="C32" s="176"/>
      <c r="D32" s="177"/>
      <c r="E32" s="11"/>
      <c r="F32" s="261" t="s">
        <v>59</v>
      </c>
      <c r="G32" s="262"/>
      <c r="H32" s="262"/>
      <c r="I32" s="262"/>
      <c r="J32" s="263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48" t="s">
        <v>63</v>
      </c>
      <c r="H33" s="261" t="s">
        <v>13</v>
      </c>
      <c r="I33" s="262"/>
      <c r="J33" s="263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88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82">
        <v>15</v>
      </c>
      <c r="H34" s="264">
        <f>F34*G34</f>
        <v>15000</v>
      </c>
      <c r="I34" s="265"/>
      <c r="J34" s="266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89"/>
      <c r="B35" s="30" t="s">
        <v>68</v>
      </c>
      <c r="C35" s="57"/>
      <c r="D35" s="33">
        <f>C35*84</f>
        <v>0</v>
      </c>
      <c r="E35" s="9"/>
      <c r="F35" s="64">
        <v>500</v>
      </c>
      <c r="G35" s="45">
        <v>7</v>
      </c>
      <c r="H35" s="264">
        <f t="shared" ref="H35:H39" si="2">F35*G35</f>
        <v>3500</v>
      </c>
      <c r="I35" s="265"/>
      <c r="J35" s="266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90"/>
      <c r="B36" s="29" t="s">
        <v>70</v>
      </c>
      <c r="C36" s="53"/>
      <c r="D36" s="15">
        <f>C36*1.5</f>
        <v>0</v>
      </c>
      <c r="E36" s="9"/>
      <c r="F36" s="15">
        <v>200</v>
      </c>
      <c r="G36" s="41">
        <v>100</v>
      </c>
      <c r="H36" s="264">
        <f t="shared" si="2"/>
        <v>20000</v>
      </c>
      <c r="I36" s="265"/>
      <c r="J36" s="266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88" t="s">
        <v>72</v>
      </c>
      <c r="B37" s="31" t="s">
        <v>66</v>
      </c>
      <c r="C37" s="58">
        <v>399</v>
      </c>
      <c r="D37" s="15">
        <f>C37*111</f>
        <v>44289</v>
      </c>
      <c r="E37" s="9"/>
      <c r="F37" s="15">
        <v>100</v>
      </c>
      <c r="G37" s="43">
        <v>1625</v>
      </c>
      <c r="H37" s="264">
        <f t="shared" si="2"/>
        <v>162500</v>
      </c>
      <c r="I37" s="265"/>
      <c r="J37" s="266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89"/>
      <c r="B38" s="32" t="s">
        <v>68</v>
      </c>
      <c r="C38" s="59">
        <v>2</v>
      </c>
      <c r="D38" s="15">
        <f>C38*84</f>
        <v>168</v>
      </c>
      <c r="E38" s="9"/>
      <c r="F38" s="33">
        <v>50</v>
      </c>
      <c r="G38" s="43">
        <v>1011</v>
      </c>
      <c r="H38" s="264">
        <f t="shared" si="2"/>
        <v>50550</v>
      </c>
      <c r="I38" s="265"/>
      <c r="J38" s="266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90"/>
      <c r="B39" s="32" t="s">
        <v>70</v>
      </c>
      <c r="C39" s="57">
        <v>4</v>
      </c>
      <c r="D39" s="34">
        <f>C39*4.5</f>
        <v>18</v>
      </c>
      <c r="E39" s="9"/>
      <c r="F39" s="15">
        <v>20</v>
      </c>
      <c r="G39" s="41">
        <v>1</v>
      </c>
      <c r="H39" s="264">
        <f t="shared" si="2"/>
        <v>20</v>
      </c>
      <c r="I39" s="265"/>
      <c r="J39" s="266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88" t="s">
        <v>76</v>
      </c>
      <c r="B40" s="30" t="s">
        <v>66</v>
      </c>
      <c r="C40" s="70">
        <v>2</v>
      </c>
      <c r="D40" s="15">
        <f>C40*111</f>
        <v>222</v>
      </c>
      <c r="E40" s="9"/>
      <c r="F40" s="15">
        <v>10</v>
      </c>
      <c r="G40" s="46"/>
      <c r="H40" s="264"/>
      <c r="I40" s="265"/>
      <c r="J40" s="266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89"/>
      <c r="B41" s="30" t="s">
        <v>68</v>
      </c>
      <c r="C41" s="53">
        <v>1</v>
      </c>
      <c r="D41" s="15">
        <f>C41*84</f>
        <v>84</v>
      </c>
      <c r="E41" s="9"/>
      <c r="F41" s="15">
        <v>5</v>
      </c>
      <c r="G41" s="46"/>
      <c r="H41" s="264"/>
      <c r="I41" s="265"/>
      <c r="J41" s="266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90"/>
      <c r="B42" s="30" t="s">
        <v>70</v>
      </c>
      <c r="C42" s="71">
        <v>5</v>
      </c>
      <c r="D42" s="15">
        <f>C42*2.25</f>
        <v>11.25</v>
      </c>
      <c r="E42" s="9"/>
      <c r="F42" s="43" t="s">
        <v>79</v>
      </c>
      <c r="G42" s="264">
        <v>49</v>
      </c>
      <c r="H42" s="265"/>
      <c r="I42" s="265"/>
      <c r="J42" s="266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67" t="s">
        <v>81</v>
      </c>
      <c r="C43" s="71"/>
      <c r="D43" s="15"/>
      <c r="E43" s="9"/>
      <c r="F43" s="65" t="s">
        <v>82</v>
      </c>
      <c r="G43" s="145" t="s">
        <v>83</v>
      </c>
      <c r="H43" s="270" t="s">
        <v>13</v>
      </c>
      <c r="I43" s="271"/>
      <c r="J43" s="272"/>
      <c r="K43" s="24"/>
      <c r="P43" s="4"/>
      <c r="Q43" s="4"/>
      <c r="R43" s="5"/>
    </row>
    <row r="44" spans="1:18" ht="15.75" x14ac:dyDescent="0.25">
      <c r="A44" s="268"/>
      <c r="B44" s="30" t="s">
        <v>66</v>
      </c>
      <c r="C44" s="53"/>
      <c r="D44" s="15">
        <f>C44*120</f>
        <v>0</v>
      </c>
      <c r="E44" s="9"/>
      <c r="F44" s="41"/>
      <c r="G44" s="69"/>
      <c r="H44" s="255"/>
      <c r="I44" s="255"/>
      <c r="J44" s="255"/>
      <c r="K44" s="24"/>
      <c r="P44" s="4"/>
      <c r="Q44" s="4"/>
      <c r="R44" s="5"/>
    </row>
    <row r="45" spans="1:18" ht="15.75" x14ac:dyDescent="0.25">
      <c r="A45" s="268"/>
      <c r="B45" s="30" t="s">
        <v>68</v>
      </c>
      <c r="C45" s="90"/>
      <c r="D45" s="15">
        <f>C45*84</f>
        <v>0</v>
      </c>
      <c r="E45" s="9"/>
      <c r="F45" s="41"/>
      <c r="G45" s="69"/>
      <c r="H45" s="255"/>
      <c r="I45" s="255"/>
      <c r="J45" s="255"/>
      <c r="K45" s="24"/>
      <c r="P45" s="4"/>
      <c r="Q45" s="4"/>
      <c r="R45" s="5"/>
    </row>
    <row r="46" spans="1:18" ht="15.75" x14ac:dyDescent="0.25">
      <c r="A46" s="268"/>
      <c r="B46" s="54" t="s">
        <v>70</v>
      </c>
      <c r="C46" s="91">
        <v>8</v>
      </c>
      <c r="D46" s="15">
        <f>C46*1.5</f>
        <v>12</v>
      </c>
      <c r="E46" s="9"/>
      <c r="F46" s="41"/>
      <c r="G46" s="146"/>
      <c r="H46" s="306"/>
      <c r="I46" s="306"/>
      <c r="J46" s="306"/>
      <c r="K46" s="24"/>
      <c r="P46" s="4"/>
      <c r="Q46" s="4"/>
      <c r="R46" s="5"/>
    </row>
    <row r="47" spans="1:18" ht="15.75" x14ac:dyDescent="0.25">
      <c r="A47" s="269"/>
      <c r="B47" s="30"/>
      <c r="C47" s="71"/>
      <c r="D47" s="15"/>
      <c r="E47" s="9"/>
      <c r="F47" s="65"/>
      <c r="G47" s="65"/>
      <c r="H47" s="273"/>
      <c r="I47" s="274"/>
      <c r="J47" s="275"/>
      <c r="K47" s="24"/>
      <c r="P47" s="4"/>
      <c r="Q47" s="4"/>
      <c r="R47" s="5"/>
    </row>
    <row r="48" spans="1:18" ht="15" customHeight="1" x14ac:dyDescent="0.25">
      <c r="A48" s="267" t="s">
        <v>32</v>
      </c>
      <c r="B48" s="30" t="s">
        <v>66</v>
      </c>
      <c r="C48" s="53">
        <v>1</v>
      </c>
      <c r="D48" s="15">
        <f>C48*78</f>
        <v>78</v>
      </c>
      <c r="E48" s="9"/>
      <c r="F48" s="65"/>
      <c r="G48" s="65"/>
      <c r="H48" s="273"/>
      <c r="I48" s="274"/>
      <c r="J48" s="275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68"/>
      <c r="B49" s="32" t="s">
        <v>68</v>
      </c>
      <c r="C49" s="90">
        <v>19</v>
      </c>
      <c r="D49" s="15">
        <f>C49*42</f>
        <v>798</v>
      </c>
      <c r="E49" s="9"/>
      <c r="F49" s="288" t="s">
        <v>86</v>
      </c>
      <c r="G49" s="240">
        <f>H34+H35+H36+H37+H38+H39+H40+H41+G42+H44+H45+H46</f>
        <v>251619</v>
      </c>
      <c r="H49" s="241"/>
      <c r="I49" s="241"/>
      <c r="J49" s="242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68"/>
      <c r="B50" s="35" t="s">
        <v>70</v>
      </c>
      <c r="C50" s="71">
        <v>10</v>
      </c>
      <c r="D50" s="15">
        <f>C50*1.5</f>
        <v>15</v>
      </c>
      <c r="E50" s="9"/>
      <c r="F50" s="289"/>
      <c r="G50" s="243"/>
      <c r="H50" s="244"/>
      <c r="I50" s="244"/>
      <c r="J50" s="245"/>
      <c r="K50" s="9"/>
      <c r="P50" s="4"/>
      <c r="Q50" s="4"/>
      <c r="R50" s="5"/>
    </row>
    <row r="51" spans="1:18" ht="15" customHeight="1" x14ac:dyDescent="0.25">
      <c r="A51" s="268"/>
      <c r="B51" s="30"/>
      <c r="C51" s="13"/>
      <c r="D51" s="34"/>
      <c r="E51" s="9"/>
      <c r="F51" s="290" t="s">
        <v>157</v>
      </c>
      <c r="G51" s="314">
        <f>G49-H29</f>
        <v>-1964.75</v>
      </c>
      <c r="H51" s="315"/>
      <c r="I51" s="315"/>
      <c r="J51" s="316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68"/>
      <c r="B52" s="32"/>
      <c r="C52" s="36"/>
      <c r="D52" s="49"/>
      <c r="E52" s="9"/>
      <c r="F52" s="291"/>
      <c r="G52" s="317"/>
      <c r="H52" s="318"/>
      <c r="I52" s="318"/>
      <c r="J52" s="319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69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236" t="s">
        <v>90</v>
      </c>
      <c r="B54" s="276"/>
      <c r="C54" s="277"/>
      <c r="D54" s="280">
        <f>SUM(D34:D53)</f>
        <v>45695.25</v>
      </c>
      <c r="E54" s="9"/>
      <c r="F54" s="24"/>
      <c r="G54" s="9"/>
      <c r="H54" s="9"/>
      <c r="I54" s="9"/>
      <c r="J54" s="37"/>
    </row>
    <row r="55" spans="1:18" x14ac:dyDescent="0.25">
      <c r="A55" s="238"/>
      <c r="B55" s="278"/>
      <c r="C55" s="279"/>
      <c r="D55" s="281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136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282" t="s">
        <v>91</v>
      </c>
      <c r="B58" s="283"/>
      <c r="C58" s="283"/>
      <c r="D58" s="284"/>
      <c r="E58" s="9"/>
      <c r="F58" s="282" t="s">
        <v>92</v>
      </c>
      <c r="G58" s="283"/>
      <c r="H58" s="283"/>
      <c r="I58" s="283"/>
      <c r="J58" s="284"/>
    </row>
    <row r="59" spans="1:18" x14ac:dyDescent="0.25">
      <c r="A59" s="285"/>
      <c r="B59" s="286"/>
      <c r="C59" s="286"/>
      <c r="D59" s="287"/>
      <c r="E59" s="9"/>
      <c r="F59" s="285"/>
      <c r="G59" s="286"/>
      <c r="H59" s="286"/>
      <c r="I59" s="286"/>
      <c r="J59" s="287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C7B82-FB19-4D2B-854D-DA549634B89C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s="8" t="s">
        <v>0</v>
      </c>
      <c r="B1" s="8"/>
      <c r="C1" s="8"/>
      <c r="D1" s="8"/>
      <c r="N1" s="174" t="s">
        <v>1</v>
      </c>
      <c r="O1" s="174"/>
      <c r="P1" s="147" t="s">
        <v>2</v>
      </c>
      <c r="Q1" s="147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75" t="s">
        <v>7</v>
      </c>
      <c r="B4" s="176"/>
      <c r="C4" s="176"/>
      <c r="D4" s="177"/>
      <c r="E4" s="9"/>
      <c r="F4" s="178" t="s">
        <v>8</v>
      </c>
      <c r="G4" s="180">
        <v>3</v>
      </c>
      <c r="H4" s="182" t="s">
        <v>9</v>
      </c>
      <c r="I4" s="184">
        <v>45796</v>
      </c>
      <c r="J4" s="185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88" t="s">
        <v>7</v>
      </c>
      <c r="B5" s="18" t="s">
        <v>11</v>
      </c>
      <c r="C5" s="12" t="s">
        <v>12</v>
      </c>
      <c r="D5" s="28" t="s">
        <v>13</v>
      </c>
      <c r="E5" s="9"/>
      <c r="F5" s="179"/>
      <c r="G5" s="181"/>
      <c r="H5" s="183"/>
      <c r="I5" s="186"/>
      <c r="J5" s="187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89"/>
      <c r="B6" s="19" t="s">
        <v>15</v>
      </c>
      <c r="C6" s="53">
        <v>536</v>
      </c>
      <c r="D6" s="16">
        <f t="shared" ref="D6:D28" si="1">C6*L6</f>
        <v>395032</v>
      </c>
      <c r="E6" s="9"/>
      <c r="F6" s="191" t="s">
        <v>16</v>
      </c>
      <c r="G6" s="193" t="s">
        <v>111</v>
      </c>
      <c r="H6" s="194"/>
      <c r="I6" s="194"/>
      <c r="J6" s="195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89"/>
      <c r="B7" s="19" t="s">
        <v>18</v>
      </c>
      <c r="C7" s="53">
        <v>30</v>
      </c>
      <c r="D7" s="16">
        <f t="shared" si="1"/>
        <v>21750</v>
      </c>
      <c r="E7" s="9"/>
      <c r="F7" s="192"/>
      <c r="G7" s="196"/>
      <c r="H7" s="197"/>
      <c r="I7" s="197"/>
      <c r="J7" s="198"/>
      <c r="K7" s="10"/>
      <c r="L7" s="6">
        <f>R41</f>
        <v>725</v>
      </c>
      <c r="P7" s="4"/>
      <c r="Q7" s="4"/>
      <c r="R7" s="5"/>
    </row>
    <row r="8" spans="1:19" ht="14.45" customHeight="1" x14ac:dyDescent="0.25">
      <c r="A8" s="189"/>
      <c r="B8" s="19" t="s">
        <v>20</v>
      </c>
      <c r="C8" s="53">
        <v>1</v>
      </c>
      <c r="D8" s="16">
        <f t="shared" si="1"/>
        <v>1033</v>
      </c>
      <c r="E8" s="9"/>
      <c r="F8" s="199" t="s">
        <v>21</v>
      </c>
      <c r="G8" s="201" t="s">
        <v>122</v>
      </c>
      <c r="H8" s="202"/>
      <c r="I8" s="202"/>
      <c r="J8" s="203"/>
      <c r="K8" s="10"/>
      <c r="L8" s="6">
        <f>R40</f>
        <v>1033</v>
      </c>
      <c r="P8" s="4"/>
      <c r="Q8" s="4"/>
      <c r="R8" s="5"/>
    </row>
    <row r="9" spans="1:19" ht="14.45" customHeight="1" x14ac:dyDescent="0.25">
      <c r="A9" s="189"/>
      <c r="B9" s="19" t="s">
        <v>23</v>
      </c>
      <c r="C9" s="53">
        <v>257</v>
      </c>
      <c r="D9" s="16">
        <f t="shared" si="1"/>
        <v>181699</v>
      </c>
      <c r="E9" s="9"/>
      <c r="F9" s="192"/>
      <c r="G9" s="204"/>
      <c r="H9" s="205"/>
      <c r="I9" s="205"/>
      <c r="J9" s="206"/>
      <c r="K9" s="10"/>
      <c r="L9" s="6">
        <f>R38</f>
        <v>707</v>
      </c>
      <c r="P9" s="4"/>
      <c r="Q9" s="4"/>
      <c r="R9" s="5"/>
    </row>
    <row r="10" spans="1:19" ht="14.45" customHeight="1" x14ac:dyDescent="0.25">
      <c r="A10" s="189"/>
      <c r="B10" s="11" t="s">
        <v>25</v>
      </c>
      <c r="C10" s="53">
        <v>5</v>
      </c>
      <c r="D10" s="16">
        <f t="shared" si="1"/>
        <v>4860</v>
      </c>
      <c r="E10" s="9"/>
      <c r="F10" s="191" t="s">
        <v>26</v>
      </c>
      <c r="G10" s="207" t="s">
        <v>123</v>
      </c>
      <c r="H10" s="208"/>
      <c r="I10" s="208"/>
      <c r="J10" s="209"/>
      <c r="K10" s="10"/>
      <c r="L10" s="6">
        <f>R36</f>
        <v>972</v>
      </c>
      <c r="P10" s="4"/>
      <c r="Q10" s="4"/>
      <c r="R10" s="5"/>
    </row>
    <row r="11" spans="1:19" ht="15.75" x14ac:dyDescent="0.25">
      <c r="A11" s="189"/>
      <c r="B11" s="20" t="s">
        <v>28</v>
      </c>
      <c r="C11" s="53"/>
      <c r="D11" s="16">
        <f t="shared" si="1"/>
        <v>0</v>
      </c>
      <c r="E11" s="9"/>
      <c r="F11" s="192"/>
      <c r="G11" s="204"/>
      <c r="H11" s="205"/>
      <c r="I11" s="205"/>
      <c r="J11" s="206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89"/>
      <c r="B12" s="20" t="s">
        <v>30</v>
      </c>
      <c r="C12" s="53">
        <f>3</f>
        <v>3</v>
      </c>
      <c r="D12" s="52">
        <f t="shared" si="1"/>
        <v>2856</v>
      </c>
      <c r="E12" s="9"/>
      <c r="F12" s="210" t="s">
        <v>33</v>
      </c>
      <c r="G12" s="211"/>
      <c r="H12" s="211"/>
      <c r="I12" s="211"/>
      <c r="J12" s="212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89"/>
      <c r="B13" s="20" t="s">
        <v>32</v>
      </c>
      <c r="C13" s="53">
        <v>33</v>
      </c>
      <c r="D13" s="52">
        <f t="shared" si="1"/>
        <v>10131</v>
      </c>
      <c r="E13" s="9"/>
      <c r="F13" s="213" t="s">
        <v>36</v>
      </c>
      <c r="G13" s="214"/>
      <c r="H13" s="215">
        <f>D29</f>
        <v>626902</v>
      </c>
      <c r="I13" s="216"/>
      <c r="J13" s="217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89"/>
      <c r="B14" s="17" t="s">
        <v>35</v>
      </c>
      <c r="C14" s="53">
        <v>11</v>
      </c>
      <c r="D14" s="34">
        <f t="shared" si="1"/>
        <v>121</v>
      </c>
      <c r="E14" s="9"/>
      <c r="F14" s="218" t="s">
        <v>39</v>
      </c>
      <c r="G14" s="219"/>
      <c r="H14" s="220">
        <f>D54</f>
        <v>80671.5</v>
      </c>
      <c r="I14" s="221"/>
      <c r="J14" s="222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89"/>
      <c r="B15" s="17" t="s">
        <v>38</v>
      </c>
      <c r="C15" s="53"/>
      <c r="D15" s="34">
        <f t="shared" si="1"/>
        <v>0</v>
      </c>
      <c r="E15" s="9"/>
      <c r="F15" s="223" t="s">
        <v>40</v>
      </c>
      <c r="G15" s="214"/>
      <c r="H15" s="224">
        <f>H13-H14</f>
        <v>546230.5</v>
      </c>
      <c r="I15" s="225"/>
      <c r="J15" s="226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89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227">
        <f>528+336+3546</f>
        <v>4410</v>
      </c>
      <c r="I16" s="227"/>
      <c r="J16" s="22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89"/>
      <c r="B17" s="11" t="s">
        <v>114</v>
      </c>
      <c r="C17" s="53"/>
      <c r="D17" s="52">
        <f t="shared" si="1"/>
        <v>0</v>
      </c>
      <c r="E17" s="9"/>
      <c r="F17" s="62"/>
      <c r="G17" s="74" t="s">
        <v>45</v>
      </c>
      <c r="H17" s="200"/>
      <c r="I17" s="200"/>
      <c r="J17" s="200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89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200"/>
      <c r="I18" s="200"/>
      <c r="J18" s="200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89"/>
      <c r="B19" s="17" t="s">
        <v>118</v>
      </c>
      <c r="C19" s="53"/>
      <c r="D19" s="52">
        <f t="shared" si="1"/>
        <v>0</v>
      </c>
      <c r="E19" s="9"/>
      <c r="F19" s="62"/>
      <c r="G19" s="76" t="s">
        <v>50</v>
      </c>
      <c r="H19" s="313"/>
      <c r="I19" s="313"/>
      <c r="J19" s="313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89"/>
      <c r="B20" s="50" t="s">
        <v>108</v>
      </c>
      <c r="C20" s="53"/>
      <c r="D20" s="16">
        <f t="shared" si="1"/>
        <v>0</v>
      </c>
      <c r="E20" s="9"/>
      <c r="F20" s="63"/>
      <c r="G20" s="78" t="s">
        <v>124</v>
      </c>
      <c r="H20" s="227">
        <f>674</f>
        <v>674</v>
      </c>
      <c r="I20" s="227"/>
      <c r="J20" s="227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89"/>
      <c r="B21" s="17" t="s">
        <v>130</v>
      </c>
      <c r="C21" s="53"/>
      <c r="D21" s="52">
        <f t="shared" si="1"/>
        <v>0</v>
      </c>
      <c r="E21" s="9"/>
      <c r="F21" s="77" t="s">
        <v>99</v>
      </c>
      <c r="G21" s="92" t="s">
        <v>98</v>
      </c>
      <c r="H21" s="246" t="s">
        <v>13</v>
      </c>
      <c r="I21" s="247"/>
      <c r="J21" s="248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89"/>
      <c r="B22" s="50" t="s">
        <v>104</v>
      </c>
      <c r="C22" s="53"/>
      <c r="D22" s="52">
        <f t="shared" si="1"/>
        <v>0</v>
      </c>
      <c r="E22" s="9"/>
      <c r="F22" s="85"/>
      <c r="G22" s="81"/>
      <c r="H22" s="249"/>
      <c r="I22" s="249"/>
      <c r="J22" s="249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89"/>
      <c r="B23" s="17" t="s">
        <v>107</v>
      </c>
      <c r="C23" s="53"/>
      <c r="D23" s="52">
        <f t="shared" si="1"/>
        <v>0</v>
      </c>
      <c r="E23" s="9"/>
      <c r="F23" s="86"/>
      <c r="G23" s="87"/>
      <c r="H23" s="299"/>
      <c r="I23" s="255"/>
      <c r="J23" s="255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89"/>
      <c r="B24" s="17" t="s">
        <v>101</v>
      </c>
      <c r="C24" s="53"/>
      <c r="D24" s="52">
        <f t="shared" si="1"/>
        <v>0</v>
      </c>
      <c r="E24" s="9"/>
      <c r="F24" s="42"/>
      <c r="G24" s="41"/>
      <c r="H24" s="299"/>
      <c r="I24" s="255"/>
      <c r="J24" s="255"/>
      <c r="L24" s="51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89"/>
      <c r="B25" s="17" t="s">
        <v>117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52" t="s">
        <v>13</v>
      </c>
      <c r="I25" s="253"/>
      <c r="J25" s="254"/>
      <c r="L25" s="51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89"/>
      <c r="B26" s="17" t="s">
        <v>105</v>
      </c>
      <c r="C26" s="53"/>
      <c r="D26" s="52">
        <f t="shared" si="1"/>
        <v>0</v>
      </c>
      <c r="E26" s="9"/>
      <c r="F26" s="72"/>
      <c r="G26" s="65"/>
      <c r="H26" s="300"/>
      <c r="I26" s="301"/>
      <c r="J26" s="302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89"/>
      <c r="B27" s="17" t="s">
        <v>109</v>
      </c>
      <c r="C27" s="53"/>
      <c r="D27" s="48">
        <f t="shared" si="1"/>
        <v>0</v>
      </c>
      <c r="E27" s="9"/>
      <c r="F27" s="88"/>
      <c r="G27" s="89"/>
      <c r="H27" s="303"/>
      <c r="I27" s="304"/>
      <c r="J27" s="305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90"/>
      <c r="B28" s="50" t="s">
        <v>97</v>
      </c>
      <c r="C28" s="53">
        <v>12</v>
      </c>
      <c r="D28" s="52">
        <f t="shared" si="1"/>
        <v>9420</v>
      </c>
      <c r="E28" s="9"/>
      <c r="F28" s="60"/>
      <c r="G28" s="68"/>
      <c r="H28" s="258"/>
      <c r="I28" s="259"/>
      <c r="J28" s="260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28" t="s">
        <v>36</v>
      </c>
      <c r="B29" s="229"/>
      <c r="C29" s="230"/>
      <c r="D29" s="234">
        <f>SUM(D6:D28)</f>
        <v>626902</v>
      </c>
      <c r="E29" s="9"/>
      <c r="F29" s="236" t="s">
        <v>55</v>
      </c>
      <c r="G29" s="237"/>
      <c r="H29" s="240">
        <f>H15-H16-H17-H18-H19-H20-H22-H23-H24+H26+H27</f>
        <v>541146.5</v>
      </c>
      <c r="I29" s="241"/>
      <c r="J29" s="242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231"/>
      <c r="B30" s="232"/>
      <c r="C30" s="233"/>
      <c r="D30" s="235"/>
      <c r="E30" s="9"/>
      <c r="F30" s="238"/>
      <c r="G30" s="239"/>
      <c r="H30" s="243"/>
      <c r="I30" s="244"/>
      <c r="J30" s="245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5" t="s">
        <v>58</v>
      </c>
      <c r="B32" s="176"/>
      <c r="C32" s="176"/>
      <c r="D32" s="177"/>
      <c r="E32" s="11"/>
      <c r="F32" s="261" t="s">
        <v>59</v>
      </c>
      <c r="G32" s="262"/>
      <c r="H32" s="262"/>
      <c r="I32" s="262"/>
      <c r="J32" s="263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48" t="s">
        <v>63</v>
      </c>
      <c r="H33" s="261" t="s">
        <v>13</v>
      </c>
      <c r="I33" s="262"/>
      <c r="J33" s="263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88" t="s">
        <v>65</v>
      </c>
      <c r="B34" s="29" t="s">
        <v>66</v>
      </c>
      <c r="C34" s="56">
        <v>1</v>
      </c>
      <c r="D34" s="33">
        <f>C34*120</f>
        <v>120</v>
      </c>
      <c r="E34" s="9"/>
      <c r="F34" s="15">
        <v>1000</v>
      </c>
      <c r="G34" s="82">
        <v>77</v>
      </c>
      <c r="H34" s="264">
        <f>F34*G34</f>
        <v>77000</v>
      </c>
      <c r="I34" s="265"/>
      <c r="J34" s="266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89"/>
      <c r="B35" s="30" t="s">
        <v>68</v>
      </c>
      <c r="C35" s="57"/>
      <c r="D35" s="33">
        <f>C35*84</f>
        <v>0</v>
      </c>
      <c r="E35" s="9"/>
      <c r="F35" s="64">
        <v>500</v>
      </c>
      <c r="G35" s="45">
        <v>40</v>
      </c>
      <c r="H35" s="264">
        <f>F35*G35</f>
        <v>20000</v>
      </c>
      <c r="I35" s="265"/>
      <c r="J35" s="266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90"/>
      <c r="B36" s="29" t="s">
        <v>70</v>
      </c>
      <c r="C36" s="53">
        <v>3</v>
      </c>
      <c r="D36" s="15">
        <f>C36*1.5</f>
        <v>4.5</v>
      </c>
      <c r="E36" s="9"/>
      <c r="F36" s="15">
        <v>200</v>
      </c>
      <c r="G36" s="41">
        <v>13</v>
      </c>
      <c r="H36" s="264">
        <f t="shared" ref="H36:H39" si="2">F36*G36</f>
        <v>2600</v>
      </c>
      <c r="I36" s="265"/>
      <c r="J36" s="266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88" t="s">
        <v>72</v>
      </c>
      <c r="B37" s="31" t="s">
        <v>66</v>
      </c>
      <c r="C37" s="58">
        <v>680</v>
      </c>
      <c r="D37" s="15">
        <f>C37*111</f>
        <v>75480</v>
      </c>
      <c r="E37" s="9"/>
      <c r="F37" s="15">
        <v>100</v>
      </c>
      <c r="G37" s="43">
        <v>501</v>
      </c>
      <c r="H37" s="264">
        <f t="shared" si="2"/>
        <v>50100</v>
      </c>
      <c r="I37" s="265"/>
      <c r="J37" s="266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89"/>
      <c r="B38" s="32" t="s">
        <v>68</v>
      </c>
      <c r="C38" s="59">
        <v>6</v>
      </c>
      <c r="D38" s="15">
        <f>C38*84</f>
        <v>504</v>
      </c>
      <c r="E38" s="9"/>
      <c r="F38" s="33">
        <v>50</v>
      </c>
      <c r="G38" s="43">
        <v>353</v>
      </c>
      <c r="H38" s="264">
        <f t="shared" si="2"/>
        <v>17650</v>
      </c>
      <c r="I38" s="265"/>
      <c r="J38" s="266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90"/>
      <c r="B39" s="32" t="s">
        <v>70</v>
      </c>
      <c r="C39" s="57">
        <v>4</v>
      </c>
      <c r="D39" s="34">
        <f>C39*4.5</f>
        <v>18</v>
      </c>
      <c r="E39" s="9"/>
      <c r="F39" s="15">
        <v>20</v>
      </c>
      <c r="G39" s="41">
        <v>1</v>
      </c>
      <c r="H39" s="264">
        <f t="shared" si="2"/>
        <v>20</v>
      </c>
      <c r="I39" s="265"/>
      <c r="J39" s="266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88" t="s">
        <v>76</v>
      </c>
      <c r="B40" s="30" t="s">
        <v>66</v>
      </c>
      <c r="C40" s="70">
        <v>18</v>
      </c>
      <c r="D40" s="15">
        <f>C40*111</f>
        <v>1998</v>
      </c>
      <c r="E40" s="9"/>
      <c r="F40" s="15">
        <v>10</v>
      </c>
      <c r="G40" s="46"/>
      <c r="H40" s="264"/>
      <c r="I40" s="265"/>
      <c r="J40" s="266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89"/>
      <c r="B41" s="30" t="s">
        <v>68</v>
      </c>
      <c r="C41" s="53">
        <v>4</v>
      </c>
      <c r="D41" s="15">
        <f>C41*84</f>
        <v>336</v>
      </c>
      <c r="E41" s="9"/>
      <c r="F41" s="15">
        <v>5</v>
      </c>
      <c r="G41" s="46"/>
      <c r="H41" s="264"/>
      <c r="I41" s="265"/>
      <c r="J41" s="266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90"/>
      <c r="B42" s="30" t="s">
        <v>70</v>
      </c>
      <c r="C42" s="71">
        <v>8</v>
      </c>
      <c r="D42" s="15">
        <f>C42*2.25</f>
        <v>18</v>
      </c>
      <c r="E42" s="9"/>
      <c r="F42" s="43" t="s">
        <v>79</v>
      </c>
      <c r="G42" s="264">
        <v>111</v>
      </c>
      <c r="H42" s="265"/>
      <c r="I42" s="265"/>
      <c r="J42" s="266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67" t="s">
        <v>81</v>
      </c>
      <c r="C43" s="71"/>
      <c r="D43" s="15"/>
      <c r="E43" s="9"/>
      <c r="F43" s="65" t="s">
        <v>82</v>
      </c>
      <c r="G43" s="145" t="s">
        <v>83</v>
      </c>
      <c r="H43" s="270" t="s">
        <v>13</v>
      </c>
      <c r="I43" s="271"/>
      <c r="J43" s="272"/>
      <c r="K43" s="24"/>
      <c r="P43" s="4"/>
      <c r="Q43" s="4"/>
      <c r="R43" s="5"/>
    </row>
    <row r="44" spans="1:18" ht="15.75" x14ac:dyDescent="0.25">
      <c r="A44" s="268"/>
      <c r="B44" s="30" t="s">
        <v>66</v>
      </c>
      <c r="C44" s="53">
        <v>3</v>
      </c>
      <c r="D44" s="15">
        <f>C44*120</f>
        <v>360</v>
      </c>
      <c r="E44" s="9"/>
      <c r="F44" s="41" t="s">
        <v>148</v>
      </c>
      <c r="G44" s="84" t="s">
        <v>198</v>
      </c>
      <c r="H44" s="255">
        <v>373313</v>
      </c>
      <c r="I44" s="255"/>
      <c r="J44" s="255"/>
      <c r="K44" s="24"/>
      <c r="P44" s="4"/>
      <c r="Q44" s="4"/>
      <c r="R44" s="5"/>
    </row>
    <row r="45" spans="1:18" ht="15.75" x14ac:dyDescent="0.25">
      <c r="A45" s="268"/>
      <c r="B45" s="30" t="s">
        <v>68</v>
      </c>
      <c r="C45" s="90">
        <v>1</v>
      </c>
      <c r="D45" s="15">
        <f>C45*84</f>
        <v>84</v>
      </c>
      <c r="E45" s="9"/>
      <c r="F45" s="41"/>
      <c r="G45" s="84"/>
      <c r="H45" s="255"/>
      <c r="I45" s="255"/>
      <c r="J45" s="255"/>
      <c r="K45" s="24"/>
      <c r="P45" s="4"/>
      <c r="Q45" s="4"/>
      <c r="R45" s="5"/>
    </row>
    <row r="46" spans="1:18" ht="15.75" x14ac:dyDescent="0.25">
      <c r="A46" s="268"/>
      <c r="B46" s="54" t="s">
        <v>70</v>
      </c>
      <c r="C46" s="91">
        <v>19</v>
      </c>
      <c r="D46" s="15">
        <f>C46*1.5</f>
        <v>28.5</v>
      </c>
      <c r="E46" s="9"/>
      <c r="F46" s="41"/>
      <c r="G46" s="69"/>
      <c r="H46" s="306"/>
      <c r="I46" s="306"/>
      <c r="J46" s="306"/>
      <c r="K46" s="24"/>
      <c r="P46" s="4"/>
      <c r="Q46" s="4"/>
      <c r="R46" s="5"/>
    </row>
    <row r="47" spans="1:18" ht="15.75" x14ac:dyDescent="0.25">
      <c r="A47" s="269"/>
      <c r="B47" s="30"/>
      <c r="C47" s="71"/>
      <c r="D47" s="15"/>
      <c r="E47" s="9"/>
      <c r="F47" s="65"/>
      <c r="G47" s="65"/>
      <c r="H47" s="273"/>
      <c r="I47" s="274"/>
      <c r="J47" s="275"/>
      <c r="K47" s="24"/>
      <c r="P47" s="4"/>
      <c r="Q47" s="4"/>
      <c r="R47" s="5"/>
    </row>
    <row r="48" spans="1:18" ht="15" customHeight="1" x14ac:dyDescent="0.25">
      <c r="A48" s="267" t="s">
        <v>32</v>
      </c>
      <c r="B48" s="30" t="s">
        <v>66</v>
      </c>
      <c r="C48" s="53">
        <v>19</v>
      </c>
      <c r="D48" s="15">
        <f>C48*78</f>
        <v>1482</v>
      </c>
      <c r="E48" s="9"/>
      <c r="F48" s="65"/>
      <c r="G48" s="65"/>
      <c r="H48" s="273"/>
      <c r="I48" s="274"/>
      <c r="J48" s="275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68"/>
      <c r="B49" s="32" t="s">
        <v>68</v>
      </c>
      <c r="C49" s="90">
        <v>5</v>
      </c>
      <c r="D49" s="15">
        <f>C49*42</f>
        <v>210</v>
      </c>
      <c r="E49" s="9"/>
      <c r="F49" s="288" t="s">
        <v>86</v>
      </c>
      <c r="G49" s="240">
        <f>H34+H35+H36+H37+H38+H39+H40+H41+G42+H44+H45+H46</f>
        <v>540794</v>
      </c>
      <c r="H49" s="241"/>
      <c r="I49" s="241"/>
      <c r="J49" s="242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68"/>
      <c r="B50" s="35" t="s">
        <v>70</v>
      </c>
      <c r="C50" s="71">
        <v>19</v>
      </c>
      <c r="D50" s="15">
        <f>C50*1.5</f>
        <v>28.5</v>
      </c>
      <c r="E50" s="9"/>
      <c r="F50" s="289"/>
      <c r="G50" s="243"/>
      <c r="H50" s="244"/>
      <c r="I50" s="244"/>
      <c r="J50" s="245"/>
      <c r="K50" s="9"/>
      <c r="P50" s="4"/>
      <c r="Q50" s="4"/>
      <c r="R50" s="5"/>
    </row>
    <row r="51" spans="1:18" ht="15" customHeight="1" x14ac:dyDescent="0.25">
      <c r="A51" s="268"/>
      <c r="B51" s="30"/>
      <c r="C51" s="53"/>
      <c r="D51" s="34"/>
      <c r="E51" s="9"/>
      <c r="F51" s="290" t="s">
        <v>135</v>
      </c>
      <c r="G51" s="314">
        <f>G49-H29</f>
        <v>-352.5</v>
      </c>
      <c r="H51" s="315"/>
      <c r="I51" s="315"/>
      <c r="J51" s="316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68"/>
      <c r="B52" s="32"/>
      <c r="C52" s="36"/>
      <c r="D52" s="49"/>
      <c r="E52" s="9"/>
      <c r="F52" s="291"/>
      <c r="G52" s="317"/>
      <c r="H52" s="318"/>
      <c r="I52" s="318"/>
      <c r="J52" s="319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69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236" t="s">
        <v>90</v>
      </c>
      <c r="B54" s="276"/>
      <c r="C54" s="277"/>
      <c r="D54" s="280">
        <f>SUM(D34:D53)</f>
        <v>80671.5</v>
      </c>
      <c r="E54" s="9"/>
      <c r="F54" s="24"/>
      <c r="G54" s="9"/>
      <c r="H54" s="9"/>
      <c r="I54" s="9"/>
      <c r="J54" s="37"/>
    </row>
    <row r="55" spans="1:18" x14ac:dyDescent="0.25">
      <c r="A55" s="238"/>
      <c r="B55" s="278"/>
      <c r="C55" s="279"/>
      <c r="D55" s="281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119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282" t="s">
        <v>91</v>
      </c>
      <c r="B58" s="283"/>
      <c r="C58" s="283"/>
      <c r="D58" s="284"/>
      <c r="E58" s="9"/>
      <c r="F58" s="282" t="s">
        <v>92</v>
      </c>
      <c r="G58" s="283"/>
      <c r="H58" s="283"/>
      <c r="I58" s="283"/>
      <c r="J58" s="284"/>
    </row>
    <row r="59" spans="1:18" x14ac:dyDescent="0.25">
      <c r="A59" s="285"/>
      <c r="B59" s="286"/>
      <c r="C59" s="286"/>
      <c r="D59" s="287"/>
      <c r="E59" s="9"/>
      <c r="F59" s="285"/>
      <c r="G59" s="286"/>
      <c r="H59" s="286"/>
      <c r="I59" s="286"/>
      <c r="J59" s="287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B09A1-14CC-45AE-BEA6-7A83A45BA8BB}">
  <dimension ref="A1"/>
  <sheetViews>
    <sheetView workbookViewId="0">
      <selection activeCell="I4" sqref="I4:J5"/>
    </sheetView>
  </sheetViews>
  <sheetFormatPr defaultRowHeight="15" x14ac:dyDescent="0.25"/>
  <sheetData/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D3F525-04C6-42E4-91BC-FDAD4F494483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174" t="s">
        <v>1</v>
      </c>
      <c r="O1" s="174"/>
      <c r="P1" s="149" t="s">
        <v>2</v>
      </c>
      <c r="Q1" s="149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75" t="s">
        <v>7</v>
      </c>
      <c r="B4" s="176"/>
      <c r="C4" s="176"/>
      <c r="D4" s="177"/>
      <c r="E4" s="9"/>
      <c r="F4" s="178" t="s">
        <v>8</v>
      </c>
      <c r="G4" s="180">
        <v>1</v>
      </c>
      <c r="H4" s="182" t="s">
        <v>9</v>
      </c>
      <c r="I4" s="184">
        <v>45797</v>
      </c>
      <c r="J4" s="185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88" t="s">
        <v>7</v>
      </c>
      <c r="B5" s="18" t="s">
        <v>11</v>
      </c>
      <c r="C5" s="12" t="s">
        <v>12</v>
      </c>
      <c r="D5" s="28" t="s">
        <v>13</v>
      </c>
      <c r="E5" s="9"/>
      <c r="F5" s="179"/>
      <c r="G5" s="181"/>
      <c r="H5" s="183"/>
      <c r="I5" s="186"/>
      <c r="J5" s="187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89"/>
      <c r="B6" s="19" t="s">
        <v>15</v>
      </c>
      <c r="C6" s="53">
        <v>464</v>
      </c>
      <c r="D6" s="16">
        <f t="shared" ref="D6:D28" si="1">C6*L6</f>
        <v>341968</v>
      </c>
      <c r="E6" s="9"/>
      <c r="F6" s="191" t="s">
        <v>16</v>
      </c>
      <c r="G6" s="193" t="s">
        <v>128</v>
      </c>
      <c r="H6" s="194"/>
      <c r="I6" s="194"/>
      <c r="J6" s="195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89"/>
      <c r="B7" s="19" t="s">
        <v>18</v>
      </c>
      <c r="C7" s="53">
        <v>2</v>
      </c>
      <c r="D7" s="16">
        <f t="shared" si="1"/>
        <v>1450</v>
      </c>
      <c r="E7" s="9"/>
      <c r="F7" s="192"/>
      <c r="G7" s="196"/>
      <c r="H7" s="197"/>
      <c r="I7" s="197"/>
      <c r="J7" s="198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189"/>
      <c r="B8" s="19" t="s">
        <v>20</v>
      </c>
      <c r="C8" s="53"/>
      <c r="D8" s="16">
        <f t="shared" si="1"/>
        <v>0</v>
      </c>
      <c r="E8" s="9"/>
      <c r="F8" s="199" t="s">
        <v>21</v>
      </c>
      <c r="G8" s="201" t="s">
        <v>113</v>
      </c>
      <c r="H8" s="202"/>
      <c r="I8" s="202"/>
      <c r="J8" s="203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189"/>
      <c r="B9" s="19" t="s">
        <v>23</v>
      </c>
      <c r="C9" s="53">
        <v>52</v>
      </c>
      <c r="D9" s="16">
        <f t="shared" si="1"/>
        <v>36764</v>
      </c>
      <c r="E9" s="9"/>
      <c r="F9" s="192"/>
      <c r="G9" s="204"/>
      <c r="H9" s="205"/>
      <c r="I9" s="205"/>
      <c r="J9" s="206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189"/>
      <c r="B10" s="11" t="s">
        <v>25</v>
      </c>
      <c r="C10" s="53"/>
      <c r="D10" s="16">
        <f t="shared" si="1"/>
        <v>0</v>
      </c>
      <c r="E10" s="9"/>
      <c r="F10" s="191" t="s">
        <v>26</v>
      </c>
      <c r="G10" s="207" t="s">
        <v>132</v>
      </c>
      <c r="H10" s="208"/>
      <c r="I10" s="208"/>
      <c r="J10" s="209"/>
      <c r="K10" s="10"/>
      <c r="L10" s="6">
        <f>R36</f>
        <v>972</v>
      </c>
      <c r="P10" s="4"/>
      <c r="Q10" s="4"/>
      <c r="R10" s="5"/>
    </row>
    <row r="11" spans="1:18" ht="15.75" x14ac:dyDescent="0.25">
      <c r="A11" s="189"/>
      <c r="B11" s="20" t="s">
        <v>28</v>
      </c>
      <c r="C11" s="53"/>
      <c r="D11" s="16">
        <f t="shared" si="1"/>
        <v>0</v>
      </c>
      <c r="E11" s="9"/>
      <c r="F11" s="192"/>
      <c r="G11" s="204"/>
      <c r="H11" s="205"/>
      <c r="I11" s="205"/>
      <c r="J11" s="206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89"/>
      <c r="B12" s="20" t="s">
        <v>30</v>
      </c>
      <c r="C12" s="53">
        <v>2</v>
      </c>
      <c r="D12" s="52">
        <f t="shared" si="1"/>
        <v>1904</v>
      </c>
      <c r="E12" s="9"/>
      <c r="F12" s="210" t="s">
        <v>33</v>
      </c>
      <c r="G12" s="211"/>
      <c r="H12" s="211"/>
      <c r="I12" s="211"/>
      <c r="J12" s="212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89"/>
      <c r="B13" s="20" t="s">
        <v>32</v>
      </c>
      <c r="C13" s="53">
        <v>21</v>
      </c>
      <c r="D13" s="52">
        <f t="shared" si="1"/>
        <v>6447</v>
      </c>
      <c r="E13" s="9"/>
      <c r="F13" s="213" t="s">
        <v>36</v>
      </c>
      <c r="G13" s="214"/>
      <c r="H13" s="215">
        <f>D29</f>
        <v>391260</v>
      </c>
      <c r="I13" s="216"/>
      <c r="J13" s="217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89"/>
      <c r="B14" s="17" t="s">
        <v>35</v>
      </c>
      <c r="C14" s="53">
        <v>17</v>
      </c>
      <c r="D14" s="34">
        <f t="shared" si="1"/>
        <v>187</v>
      </c>
      <c r="E14" s="9"/>
      <c r="F14" s="218" t="s">
        <v>39</v>
      </c>
      <c r="G14" s="219"/>
      <c r="H14" s="220">
        <f>D54</f>
        <v>60822.75</v>
      </c>
      <c r="I14" s="221"/>
      <c r="J14" s="222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89"/>
      <c r="B15" s="17" t="s">
        <v>38</v>
      </c>
      <c r="C15" s="53"/>
      <c r="D15" s="34">
        <f t="shared" si="1"/>
        <v>0</v>
      </c>
      <c r="E15" s="9"/>
      <c r="F15" s="223" t="s">
        <v>40</v>
      </c>
      <c r="G15" s="214"/>
      <c r="H15" s="224">
        <f>H13-H14</f>
        <v>330437.25</v>
      </c>
      <c r="I15" s="225"/>
      <c r="J15" s="226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89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227">
        <v>3096</v>
      </c>
      <c r="I16" s="227"/>
      <c r="J16" s="22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89"/>
      <c r="B17" s="11" t="s">
        <v>137</v>
      </c>
      <c r="C17" s="53"/>
      <c r="D17" s="52">
        <f t="shared" si="1"/>
        <v>0</v>
      </c>
      <c r="E17" s="9"/>
      <c r="F17" s="62"/>
      <c r="G17" s="74" t="s">
        <v>45</v>
      </c>
      <c r="H17" s="200"/>
      <c r="I17" s="200"/>
      <c r="J17" s="200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89"/>
      <c r="B18" s="22" t="s">
        <v>95</v>
      </c>
      <c r="C18" s="53">
        <v>2</v>
      </c>
      <c r="D18" s="52">
        <f t="shared" si="1"/>
        <v>1240</v>
      </c>
      <c r="E18" s="9"/>
      <c r="F18" s="62"/>
      <c r="G18" s="74" t="s">
        <v>47</v>
      </c>
      <c r="H18" s="200"/>
      <c r="I18" s="200"/>
      <c r="J18" s="200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89"/>
      <c r="B19" s="17" t="s">
        <v>140</v>
      </c>
      <c r="C19" s="53"/>
      <c r="D19" s="52">
        <f t="shared" si="1"/>
        <v>0</v>
      </c>
      <c r="E19" s="9"/>
      <c r="F19" s="62"/>
      <c r="G19" s="76" t="s">
        <v>50</v>
      </c>
      <c r="H19" s="200"/>
      <c r="I19" s="200"/>
      <c r="J19" s="200"/>
      <c r="L19" s="6">
        <v>1102</v>
      </c>
      <c r="Q19" s="4"/>
      <c r="R19" s="5">
        <f t="shared" si="0"/>
        <v>0</v>
      </c>
    </row>
    <row r="20" spans="1:18" ht="15.75" x14ac:dyDescent="0.25">
      <c r="A20" s="189"/>
      <c r="B20" s="97" t="s">
        <v>139</v>
      </c>
      <c r="C20" s="53"/>
      <c r="D20" s="16">
        <f t="shared" si="1"/>
        <v>0</v>
      </c>
      <c r="E20" s="9"/>
      <c r="F20" s="63"/>
      <c r="G20" s="78" t="s">
        <v>124</v>
      </c>
      <c r="H20" s="227"/>
      <c r="I20" s="227"/>
      <c r="J20" s="227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89"/>
      <c r="B21" s="17" t="s">
        <v>145</v>
      </c>
      <c r="C21" s="53">
        <f>1+1</f>
        <v>2</v>
      </c>
      <c r="D21" s="52">
        <f t="shared" si="1"/>
        <v>1300</v>
      </c>
      <c r="E21" s="9"/>
      <c r="F21" s="77" t="s">
        <v>99</v>
      </c>
      <c r="G21" s="92" t="s">
        <v>98</v>
      </c>
      <c r="H21" s="246" t="s">
        <v>13</v>
      </c>
      <c r="I21" s="247"/>
      <c r="J21" s="248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89"/>
      <c r="B22" s="50" t="s">
        <v>110</v>
      </c>
      <c r="C22" s="53"/>
      <c r="D22" s="52">
        <f t="shared" si="1"/>
        <v>0</v>
      </c>
      <c r="E22" s="9"/>
      <c r="F22" s="85"/>
      <c r="G22" s="81"/>
      <c r="H22" s="249"/>
      <c r="I22" s="249"/>
      <c r="J22" s="249"/>
      <c r="L22" s="7">
        <v>1142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89"/>
      <c r="B23" s="17" t="s">
        <v>125</v>
      </c>
      <c r="C23" s="53"/>
      <c r="D23" s="52">
        <f t="shared" si="1"/>
        <v>0</v>
      </c>
      <c r="E23" s="9"/>
      <c r="F23" s="85"/>
      <c r="G23" s="87"/>
      <c r="H23" s="250"/>
      <c r="I23" s="251"/>
      <c r="J23" s="251"/>
      <c r="L23" s="51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89"/>
      <c r="B24" s="17" t="s">
        <v>126</v>
      </c>
      <c r="C24" s="53"/>
      <c r="D24" s="52">
        <f t="shared" si="1"/>
        <v>0</v>
      </c>
      <c r="E24" s="9"/>
      <c r="F24" s="85"/>
      <c r="G24" s="87"/>
      <c r="H24" s="250"/>
      <c r="I24" s="251"/>
      <c r="J24" s="251"/>
      <c r="L24" s="51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89"/>
      <c r="B25" s="17" t="s">
        <v>121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52" t="s">
        <v>13</v>
      </c>
      <c r="I25" s="253"/>
      <c r="J25" s="254"/>
      <c r="L25" s="51">
        <f>852/24+1.5</f>
        <v>37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89"/>
      <c r="B26" s="17" t="s">
        <v>112</v>
      </c>
      <c r="C26" s="53"/>
      <c r="D26" s="52">
        <f t="shared" si="1"/>
        <v>0</v>
      </c>
      <c r="E26" s="9"/>
      <c r="F26" s="83" t="s">
        <v>153</v>
      </c>
      <c r="G26" s="73">
        <v>1845</v>
      </c>
      <c r="H26" s="255">
        <v>123243</v>
      </c>
      <c r="I26" s="255"/>
      <c r="J26" s="255"/>
      <c r="L26" s="7">
        <f>500/24+1.5</f>
        <v>22.333333333333332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89"/>
      <c r="B27" s="17" t="s">
        <v>120</v>
      </c>
      <c r="C27" s="53"/>
      <c r="D27" s="48">
        <f t="shared" si="1"/>
        <v>0</v>
      </c>
      <c r="E27" s="9"/>
      <c r="F27" s="79"/>
      <c r="G27" s="152"/>
      <c r="H27" s="256"/>
      <c r="I27" s="257"/>
      <c r="J27" s="257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90"/>
      <c r="B28" s="50" t="s">
        <v>97</v>
      </c>
      <c r="C28" s="53"/>
      <c r="D28" s="52">
        <f t="shared" si="1"/>
        <v>0</v>
      </c>
      <c r="E28" s="9"/>
      <c r="F28" s="60"/>
      <c r="G28" s="68"/>
      <c r="H28" s="258"/>
      <c r="I28" s="259"/>
      <c r="J28" s="260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28" t="s">
        <v>36</v>
      </c>
      <c r="B29" s="229"/>
      <c r="C29" s="230"/>
      <c r="D29" s="234">
        <f>SUM(D6:D28)</f>
        <v>391260</v>
      </c>
      <c r="E29" s="9"/>
      <c r="F29" s="236" t="s">
        <v>55</v>
      </c>
      <c r="G29" s="237"/>
      <c r="H29" s="240">
        <f>H15-H16-H17-H18-H19-H20-H22-H23-H24+H26+H27+H28</f>
        <v>450584.25</v>
      </c>
      <c r="I29" s="241"/>
      <c r="J29" s="242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231"/>
      <c r="B30" s="232"/>
      <c r="C30" s="233"/>
      <c r="D30" s="235"/>
      <c r="E30" s="9"/>
      <c r="F30" s="238"/>
      <c r="G30" s="239"/>
      <c r="H30" s="243"/>
      <c r="I30" s="244"/>
      <c r="J30" s="245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5" t="s">
        <v>58</v>
      </c>
      <c r="B32" s="176"/>
      <c r="C32" s="176"/>
      <c r="D32" s="177"/>
      <c r="E32" s="11"/>
      <c r="F32" s="261" t="s">
        <v>59</v>
      </c>
      <c r="G32" s="262"/>
      <c r="H32" s="262"/>
      <c r="I32" s="262"/>
      <c r="J32" s="263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50" t="s">
        <v>63</v>
      </c>
      <c r="H33" s="261" t="s">
        <v>13</v>
      </c>
      <c r="I33" s="262"/>
      <c r="J33" s="263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88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44">
        <v>141</v>
      </c>
      <c r="H34" s="264">
        <f t="shared" ref="H34:H39" si="2">F34*G34</f>
        <v>141000</v>
      </c>
      <c r="I34" s="265"/>
      <c r="J34" s="266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89"/>
      <c r="B35" s="30" t="s">
        <v>68</v>
      </c>
      <c r="C35" s="57"/>
      <c r="D35" s="33">
        <f>C35*84</f>
        <v>0</v>
      </c>
      <c r="E35" s="9"/>
      <c r="F35" s="64">
        <v>500</v>
      </c>
      <c r="G35" s="45">
        <v>70</v>
      </c>
      <c r="H35" s="264">
        <f t="shared" si="2"/>
        <v>35000</v>
      </c>
      <c r="I35" s="265"/>
      <c r="J35" s="266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90"/>
      <c r="B36" s="29" t="s">
        <v>70</v>
      </c>
      <c r="C36" s="53"/>
      <c r="D36" s="15">
        <f>C36*1.5</f>
        <v>0</v>
      </c>
      <c r="E36" s="9"/>
      <c r="F36" s="15">
        <v>200</v>
      </c>
      <c r="G36" s="41">
        <v>5</v>
      </c>
      <c r="H36" s="264">
        <f t="shared" si="2"/>
        <v>1000</v>
      </c>
      <c r="I36" s="265"/>
      <c r="J36" s="266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88" t="s">
        <v>72</v>
      </c>
      <c r="B37" s="31" t="s">
        <v>66</v>
      </c>
      <c r="C37" s="58">
        <v>524</v>
      </c>
      <c r="D37" s="15">
        <f>C37*111</f>
        <v>58164</v>
      </c>
      <c r="E37" s="9"/>
      <c r="F37" s="15">
        <v>100</v>
      </c>
      <c r="G37" s="43">
        <v>1248</v>
      </c>
      <c r="H37" s="264">
        <f t="shared" si="2"/>
        <v>124800</v>
      </c>
      <c r="I37" s="265"/>
      <c r="J37" s="266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89"/>
      <c r="B38" s="32" t="s">
        <v>68</v>
      </c>
      <c r="C38" s="59">
        <v>7</v>
      </c>
      <c r="D38" s="15">
        <f>C38*84</f>
        <v>588</v>
      </c>
      <c r="E38" s="9"/>
      <c r="F38" s="33">
        <v>50</v>
      </c>
      <c r="G38" s="43">
        <v>231</v>
      </c>
      <c r="H38" s="264">
        <f t="shared" si="2"/>
        <v>11550</v>
      </c>
      <c r="I38" s="265"/>
      <c r="J38" s="266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90"/>
      <c r="B39" s="32" t="s">
        <v>70</v>
      </c>
      <c r="C39" s="57">
        <v>5</v>
      </c>
      <c r="D39" s="34">
        <f>C39*4.5</f>
        <v>22.5</v>
      </c>
      <c r="E39" s="9"/>
      <c r="F39" s="15">
        <v>20</v>
      </c>
      <c r="G39" s="41">
        <v>8</v>
      </c>
      <c r="H39" s="264">
        <f t="shared" si="2"/>
        <v>160</v>
      </c>
      <c r="I39" s="265"/>
      <c r="J39" s="266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88" t="s">
        <v>76</v>
      </c>
      <c r="B40" s="30" t="s">
        <v>66</v>
      </c>
      <c r="C40" s="70">
        <v>1</v>
      </c>
      <c r="D40" s="15">
        <f>C40*111</f>
        <v>111</v>
      </c>
      <c r="E40" s="9"/>
      <c r="F40" s="15">
        <v>10</v>
      </c>
      <c r="G40" s="46"/>
      <c r="H40" s="264"/>
      <c r="I40" s="265"/>
      <c r="J40" s="266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89"/>
      <c r="B41" s="30" t="s">
        <v>68</v>
      </c>
      <c r="C41" s="53">
        <v>1</v>
      </c>
      <c r="D41" s="15">
        <f>C41*84</f>
        <v>84</v>
      </c>
      <c r="E41" s="9"/>
      <c r="F41" s="15">
        <v>5</v>
      </c>
      <c r="G41" s="46"/>
      <c r="H41" s="264"/>
      <c r="I41" s="265"/>
      <c r="J41" s="266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90"/>
      <c r="B42" s="30" t="s">
        <v>70</v>
      </c>
      <c r="C42" s="71">
        <v>9</v>
      </c>
      <c r="D42" s="15">
        <f>C42*2.25</f>
        <v>20.25</v>
      </c>
      <c r="E42" s="9"/>
      <c r="F42" s="43" t="s">
        <v>79</v>
      </c>
      <c r="G42" s="264">
        <v>69</v>
      </c>
      <c r="H42" s="265"/>
      <c r="I42" s="265"/>
      <c r="J42" s="266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67" t="s">
        <v>81</v>
      </c>
      <c r="C43" s="71"/>
      <c r="D43" s="15"/>
      <c r="E43" s="9"/>
      <c r="F43" s="65" t="s">
        <v>82</v>
      </c>
      <c r="G43" s="152" t="s">
        <v>83</v>
      </c>
      <c r="H43" s="270" t="s">
        <v>13</v>
      </c>
      <c r="I43" s="271"/>
      <c r="J43" s="272"/>
      <c r="K43" s="24"/>
      <c r="O43" t="s">
        <v>103</v>
      </c>
      <c r="P43" s="4">
        <v>1667</v>
      </c>
      <c r="Q43" s="4"/>
      <c r="R43" s="5"/>
    </row>
    <row r="44" spans="1:18" ht="15.75" x14ac:dyDescent="0.25">
      <c r="A44" s="268"/>
      <c r="B44" s="30" t="s">
        <v>66</v>
      </c>
      <c r="C44" s="53">
        <v>2</v>
      </c>
      <c r="D44" s="15">
        <f>C44*120</f>
        <v>240</v>
      </c>
      <c r="E44" s="9"/>
      <c r="F44" s="41" t="s">
        <v>148</v>
      </c>
      <c r="G44" s="69" t="s">
        <v>201</v>
      </c>
      <c r="H44" s="255">
        <v>123243</v>
      </c>
      <c r="I44" s="255"/>
      <c r="J44" s="255"/>
      <c r="K44" s="24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268"/>
      <c r="B45" s="30" t="s">
        <v>68</v>
      </c>
      <c r="C45" s="90">
        <v>2</v>
      </c>
      <c r="D45" s="15">
        <f>C45*84</f>
        <v>168</v>
      </c>
      <c r="E45" s="9"/>
      <c r="F45" s="41"/>
      <c r="G45" s="69"/>
      <c r="H45" s="255"/>
      <c r="I45" s="255"/>
      <c r="J45" s="255"/>
      <c r="K45" s="24"/>
      <c r="P45" s="4"/>
      <c r="Q45" s="4"/>
      <c r="R45" s="5"/>
    </row>
    <row r="46" spans="1:18" ht="15.75" x14ac:dyDescent="0.25">
      <c r="A46" s="268"/>
      <c r="B46" s="54" t="s">
        <v>70</v>
      </c>
      <c r="C46" s="91">
        <v>23</v>
      </c>
      <c r="D46" s="15">
        <f>C46*1.5</f>
        <v>34.5</v>
      </c>
      <c r="E46" s="9"/>
      <c r="F46" s="41"/>
      <c r="G46" s="69"/>
      <c r="H46" s="255"/>
      <c r="I46" s="255"/>
      <c r="J46" s="255"/>
      <c r="K46" s="24"/>
      <c r="P46" s="4"/>
      <c r="Q46" s="4"/>
      <c r="R46" s="5"/>
    </row>
    <row r="47" spans="1:18" ht="15.75" x14ac:dyDescent="0.25">
      <c r="A47" s="269"/>
      <c r="B47" s="30"/>
      <c r="C47" s="71"/>
      <c r="D47" s="15"/>
      <c r="E47" s="9"/>
      <c r="F47" s="65"/>
      <c r="G47" s="65"/>
      <c r="H47" s="273"/>
      <c r="I47" s="274"/>
      <c r="J47" s="275"/>
      <c r="K47" s="24"/>
      <c r="P47" s="4"/>
      <c r="Q47" s="4"/>
      <c r="R47" s="5"/>
    </row>
    <row r="48" spans="1:18" ht="15" customHeight="1" x14ac:dyDescent="0.25">
      <c r="A48" s="267" t="s">
        <v>32</v>
      </c>
      <c r="B48" s="30" t="s">
        <v>66</v>
      </c>
      <c r="C48" s="53">
        <v>6</v>
      </c>
      <c r="D48" s="15">
        <f>C48*78</f>
        <v>468</v>
      </c>
      <c r="E48" s="9"/>
      <c r="F48" s="65"/>
      <c r="G48" s="65"/>
      <c r="H48" s="273"/>
      <c r="I48" s="274"/>
      <c r="J48" s="275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68"/>
      <c r="B49" s="32" t="s">
        <v>68</v>
      </c>
      <c r="C49" s="90">
        <v>20</v>
      </c>
      <c r="D49" s="15">
        <f>C49*42</f>
        <v>840</v>
      </c>
      <c r="E49" s="9"/>
      <c r="F49" s="288" t="s">
        <v>86</v>
      </c>
      <c r="G49" s="240">
        <f>H34+H35+H36+H37+H38+H39+H40+H41+G42+H44+H45+H46</f>
        <v>436822</v>
      </c>
      <c r="H49" s="241"/>
      <c r="I49" s="241"/>
      <c r="J49" s="242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68"/>
      <c r="B50" s="35" t="s">
        <v>70</v>
      </c>
      <c r="C50" s="71">
        <v>55</v>
      </c>
      <c r="D50" s="15">
        <f>C50*1.5</f>
        <v>82.5</v>
      </c>
      <c r="E50" s="9"/>
      <c r="F50" s="289"/>
      <c r="G50" s="243"/>
      <c r="H50" s="244"/>
      <c r="I50" s="244"/>
      <c r="J50" s="245"/>
      <c r="K50" s="9"/>
      <c r="P50" s="4"/>
      <c r="Q50" s="4"/>
      <c r="R50" s="5"/>
    </row>
    <row r="51" spans="1:18" ht="15" customHeight="1" x14ac:dyDescent="0.25">
      <c r="A51" s="268"/>
      <c r="B51" s="30"/>
      <c r="C51" s="13"/>
      <c r="D51" s="34"/>
      <c r="E51" s="9"/>
      <c r="F51" s="290" t="s">
        <v>135</v>
      </c>
      <c r="G51" s="292">
        <f>G49-H29</f>
        <v>-13762.25</v>
      </c>
      <c r="H51" s="293"/>
      <c r="I51" s="293"/>
      <c r="J51" s="294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68"/>
      <c r="B52" s="32"/>
      <c r="C52" s="36"/>
      <c r="D52" s="49"/>
      <c r="E52" s="9"/>
      <c r="F52" s="291"/>
      <c r="G52" s="295"/>
      <c r="H52" s="296"/>
      <c r="I52" s="296"/>
      <c r="J52" s="297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69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236" t="s">
        <v>90</v>
      </c>
      <c r="B54" s="276"/>
      <c r="C54" s="277"/>
      <c r="D54" s="280">
        <f>SUM(D34:D53)</f>
        <v>60822.75</v>
      </c>
      <c r="E54" s="9"/>
      <c r="F54" s="24"/>
      <c r="G54" s="9"/>
      <c r="H54" s="9"/>
      <c r="I54" s="9"/>
      <c r="J54" s="37"/>
      <c r="O54" t="s">
        <v>102</v>
      </c>
      <c r="P54" s="4">
        <v>1582</v>
      </c>
      <c r="R54" s="3">
        <v>1582</v>
      </c>
    </row>
    <row r="55" spans="1:18" x14ac:dyDescent="0.25">
      <c r="A55" s="238"/>
      <c r="B55" s="278"/>
      <c r="C55" s="279"/>
      <c r="D55" s="281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129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282" t="s">
        <v>91</v>
      </c>
      <c r="B58" s="283"/>
      <c r="C58" s="283"/>
      <c r="D58" s="284"/>
      <c r="E58" s="9"/>
      <c r="F58" s="282" t="s">
        <v>92</v>
      </c>
      <c r="G58" s="283"/>
      <c r="H58" s="283"/>
      <c r="I58" s="283"/>
      <c r="J58" s="284"/>
    </row>
    <row r="59" spans="1:18" x14ac:dyDescent="0.25">
      <c r="A59" s="285"/>
      <c r="B59" s="286"/>
      <c r="C59" s="286"/>
      <c r="D59" s="287"/>
      <c r="E59" s="9"/>
      <c r="F59" s="285"/>
      <c r="G59" s="286"/>
      <c r="H59" s="286"/>
      <c r="I59" s="286"/>
      <c r="J59" s="287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1367D-E4C6-466B-BE76-9368BFFCAEAD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174" t="s">
        <v>1</v>
      </c>
      <c r="O1" s="174"/>
      <c r="P1" s="149" t="s">
        <v>2</v>
      </c>
      <c r="Q1" s="149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75" t="s">
        <v>7</v>
      </c>
      <c r="B4" s="176"/>
      <c r="C4" s="176"/>
      <c r="D4" s="177"/>
      <c r="E4" s="9"/>
      <c r="F4" s="178" t="s">
        <v>8</v>
      </c>
      <c r="G4" s="180">
        <v>2</v>
      </c>
      <c r="H4" s="182" t="s">
        <v>9</v>
      </c>
      <c r="I4" s="184">
        <v>45797</v>
      </c>
      <c r="J4" s="185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88" t="s">
        <v>7</v>
      </c>
      <c r="B5" s="18" t="s">
        <v>11</v>
      </c>
      <c r="C5" s="12" t="s">
        <v>12</v>
      </c>
      <c r="D5" s="28" t="s">
        <v>13</v>
      </c>
      <c r="E5" s="9"/>
      <c r="F5" s="179"/>
      <c r="G5" s="181"/>
      <c r="H5" s="183"/>
      <c r="I5" s="186"/>
      <c r="J5" s="187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89"/>
      <c r="B6" s="19" t="s">
        <v>15</v>
      </c>
      <c r="C6" s="53">
        <v>283</v>
      </c>
      <c r="D6" s="16">
        <f t="shared" ref="D6:D28" si="1">C6*L6</f>
        <v>208571</v>
      </c>
      <c r="E6" s="9"/>
      <c r="F6" s="191" t="s">
        <v>16</v>
      </c>
      <c r="G6" s="193" t="s">
        <v>127</v>
      </c>
      <c r="H6" s="194"/>
      <c r="I6" s="194"/>
      <c r="J6" s="195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89"/>
      <c r="B7" s="19" t="s">
        <v>18</v>
      </c>
      <c r="C7" s="53">
        <v>5</v>
      </c>
      <c r="D7" s="16">
        <f t="shared" si="1"/>
        <v>3625</v>
      </c>
      <c r="E7" s="9"/>
      <c r="F7" s="192"/>
      <c r="G7" s="196"/>
      <c r="H7" s="197"/>
      <c r="I7" s="197"/>
      <c r="J7" s="198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189"/>
      <c r="B8" s="19" t="s">
        <v>20</v>
      </c>
      <c r="C8" s="53"/>
      <c r="D8" s="16">
        <f t="shared" si="1"/>
        <v>0</v>
      </c>
      <c r="E8" s="9"/>
      <c r="F8" s="199" t="s">
        <v>21</v>
      </c>
      <c r="G8" s="201" t="s">
        <v>115</v>
      </c>
      <c r="H8" s="202"/>
      <c r="I8" s="202"/>
      <c r="J8" s="203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189"/>
      <c r="B9" s="19" t="s">
        <v>23</v>
      </c>
      <c r="C9" s="53">
        <v>52</v>
      </c>
      <c r="D9" s="16">
        <f t="shared" si="1"/>
        <v>36764</v>
      </c>
      <c r="E9" s="9"/>
      <c r="F9" s="192"/>
      <c r="G9" s="204"/>
      <c r="H9" s="205"/>
      <c r="I9" s="205"/>
      <c r="J9" s="206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189"/>
      <c r="B10" s="11" t="s">
        <v>25</v>
      </c>
      <c r="C10" s="53">
        <v>1</v>
      </c>
      <c r="D10" s="16">
        <f t="shared" si="1"/>
        <v>972</v>
      </c>
      <c r="E10" s="9"/>
      <c r="F10" s="191" t="s">
        <v>26</v>
      </c>
      <c r="G10" s="207" t="s">
        <v>116</v>
      </c>
      <c r="H10" s="208"/>
      <c r="I10" s="208"/>
      <c r="J10" s="209"/>
      <c r="K10" s="10"/>
      <c r="L10" s="6">
        <f>R36</f>
        <v>972</v>
      </c>
      <c r="P10" s="4"/>
      <c r="Q10" s="4"/>
      <c r="R10" s="5"/>
    </row>
    <row r="11" spans="1:18" ht="15.75" x14ac:dyDescent="0.25">
      <c r="A11" s="189"/>
      <c r="B11" s="20" t="s">
        <v>28</v>
      </c>
      <c r="C11" s="53"/>
      <c r="D11" s="16">
        <f t="shared" si="1"/>
        <v>0</v>
      </c>
      <c r="E11" s="9"/>
      <c r="F11" s="192"/>
      <c r="G11" s="204"/>
      <c r="H11" s="205"/>
      <c r="I11" s="205"/>
      <c r="J11" s="206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89"/>
      <c r="B12" s="20" t="s">
        <v>30</v>
      </c>
      <c r="C12" s="53"/>
      <c r="D12" s="52">
        <f t="shared" si="1"/>
        <v>0</v>
      </c>
      <c r="E12" s="9"/>
      <c r="F12" s="210" t="s">
        <v>33</v>
      </c>
      <c r="G12" s="211"/>
      <c r="H12" s="211"/>
      <c r="I12" s="211"/>
      <c r="J12" s="212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89"/>
      <c r="B13" s="20" t="s">
        <v>32</v>
      </c>
      <c r="C13" s="53">
        <v>13</v>
      </c>
      <c r="D13" s="52">
        <f t="shared" si="1"/>
        <v>3991</v>
      </c>
      <c r="E13" s="9"/>
      <c r="F13" s="213" t="s">
        <v>36</v>
      </c>
      <c r="G13" s="214"/>
      <c r="H13" s="215">
        <f>D29</f>
        <v>256008.33333333334</v>
      </c>
      <c r="I13" s="216"/>
      <c r="J13" s="217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89"/>
      <c r="B14" s="17" t="s">
        <v>35</v>
      </c>
      <c r="C14" s="53">
        <v>6</v>
      </c>
      <c r="D14" s="34">
        <f t="shared" si="1"/>
        <v>66</v>
      </c>
      <c r="E14" s="9"/>
      <c r="F14" s="218" t="s">
        <v>39</v>
      </c>
      <c r="G14" s="219"/>
      <c r="H14" s="220">
        <f>D54</f>
        <v>38857.5</v>
      </c>
      <c r="I14" s="221"/>
      <c r="J14" s="222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89"/>
      <c r="B15" s="17" t="s">
        <v>38</v>
      </c>
      <c r="C15" s="53"/>
      <c r="D15" s="34">
        <f t="shared" si="1"/>
        <v>0</v>
      </c>
      <c r="E15" s="9"/>
      <c r="F15" s="223" t="s">
        <v>40</v>
      </c>
      <c r="G15" s="214"/>
      <c r="H15" s="224">
        <f>H13-H14</f>
        <v>217150.83333333334</v>
      </c>
      <c r="I15" s="225"/>
      <c r="J15" s="226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89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227">
        <f>1464</f>
        <v>1464</v>
      </c>
      <c r="I16" s="227"/>
      <c r="J16" s="22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89"/>
      <c r="B17" s="11" t="s">
        <v>93</v>
      </c>
      <c r="C17" s="53"/>
      <c r="D17" s="52">
        <f t="shared" si="1"/>
        <v>0</v>
      </c>
      <c r="E17" s="9"/>
      <c r="F17" s="62"/>
      <c r="G17" s="74" t="s">
        <v>45</v>
      </c>
      <c r="H17" s="200"/>
      <c r="I17" s="200"/>
      <c r="J17" s="200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89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200"/>
      <c r="I18" s="200"/>
      <c r="J18" s="200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89"/>
      <c r="B19" s="17" t="s">
        <v>96</v>
      </c>
      <c r="C19" s="53"/>
      <c r="D19" s="52">
        <f t="shared" si="1"/>
        <v>0</v>
      </c>
      <c r="E19" s="9"/>
      <c r="F19" s="62"/>
      <c r="G19" s="76" t="s">
        <v>50</v>
      </c>
      <c r="H19" s="298"/>
      <c r="I19" s="298"/>
      <c r="J19" s="298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89"/>
      <c r="B20" s="50" t="s">
        <v>131</v>
      </c>
      <c r="C20" s="53"/>
      <c r="D20" s="16">
        <f t="shared" si="1"/>
        <v>0</v>
      </c>
      <c r="E20" s="9"/>
      <c r="F20" s="63"/>
      <c r="G20" s="78" t="s">
        <v>124</v>
      </c>
      <c r="H20" s="200"/>
      <c r="I20" s="200"/>
      <c r="J20" s="200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89"/>
      <c r="B21" s="17" t="s">
        <v>130</v>
      </c>
      <c r="C21" s="53"/>
      <c r="D21" s="52">
        <f t="shared" si="1"/>
        <v>0</v>
      </c>
      <c r="E21" s="9"/>
      <c r="F21" s="77" t="s">
        <v>99</v>
      </c>
      <c r="G21" s="92" t="s">
        <v>98</v>
      </c>
      <c r="H21" s="246" t="s">
        <v>13</v>
      </c>
      <c r="I21" s="247"/>
      <c r="J21" s="248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89"/>
      <c r="B22" s="50" t="s">
        <v>104</v>
      </c>
      <c r="C22" s="53"/>
      <c r="D22" s="52">
        <f t="shared" si="1"/>
        <v>0</v>
      </c>
      <c r="E22" s="9"/>
      <c r="F22" s="80"/>
      <c r="G22" s="81"/>
      <c r="H22" s="249"/>
      <c r="I22" s="249"/>
      <c r="J22" s="249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89"/>
      <c r="B23" s="17" t="s">
        <v>107</v>
      </c>
      <c r="C23" s="53"/>
      <c r="D23" s="52">
        <f t="shared" si="1"/>
        <v>0</v>
      </c>
      <c r="E23" s="9"/>
      <c r="F23" s="28"/>
      <c r="G23" s="41"/>
      <c r="H23" s="299"/>
      <c r="I23" s="255"/>
      <c r="J23" s="255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89"/>
      <c r="B24" s="17" t="s">
        <v>133</v>
      </c>
      <c r="C24" s="53"/>
      <c r="D24" s="52">
        <f t="shared" si="1"/>
        <v>0</v>
      </c>
      <c r="E24" s="9"/>
      <c r="F24" s="42"/>
      <c r="G24" s="41"/>
      <c r="H24" s="299"/>
      <c r="I24" s="255"/>
      <c r="J24" s="255"/>
      <c r="L24" s="51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89"/>
      <c r="B25" s="17" t="s">
        <v>134</v>
      </c>
      <c r="C25" s="53">
        <v>4</v>
      </c>
      <c r="D25" s="52">
        <f t="shared" si="1"/>
        <v>449.33333333333331</v>
      </c>
      <c r="E25" s="9"/>
      <c r="F25" s="66" t="s">
        <v>100</v>
      </c>
      <c r="G25" s="61" t="s">
        <v>98</v>
      </c>
      <c r="H25" s="252" t="s">
        <v>13</v>
      </c>
      <c r="I25" s="253"/>
      <c r="J25" s="254"/>
      <c r="L25" s="51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89"/>
      <c r="B26" s="17" t="s">
        <v>105</v>
      </c>
      <c r="C26" s="53"/>
      <c r="D26" s="52">
        <f t="shared" si="1"/>
        <v>0</v>
      </c>
      <c r="E26" s="9"/>
      <c r="F26" s="72"/>
      <c r="G26" s="13"/>
      <c r="H26" s="300"/>
      <c r="I26" s="301"/>
      <c r="J26" s="302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89"/>
      <c r="B27" s="17" t="s">
        <v>109</v>
      </c>
      <c r="C27" s="53"/>
      <c r="D27" s="48">
        <f t="shared" si="1"/>
        <v>0</v>
      </c>
      <c r="E27" s="9"/>
      <c r="F27" s="67"/>
      <c r="G27" s="67"/>
      <c r="H27" s="303"/>
      <c r="I27" s="304"/>
      <c r="J27" s="305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90"/>
      <c r="B28" s="50" t="s">
        <v>97</v>
      </c>
      <c r="C28" s="53">
        <v>2</v>
      </c>
      <c r="D28" s="52">
        <f t="shared" si="1"/>
        <v>1570</v>
      </c>
      <c r="E28" s="9"/>
      <c r="F28" s="60"/>
      <c r="G28" s="68"/>
      <c r="H28" s="258"/>
      <c r="I28" s="259"/>
      <c r="J28" s="260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28" t="s">
        <v>36</v>
      </c>
      <c r="B29" s="229"/>
      <c r="C29" s="230"/>
      <c r="D29" s="234">
        <f>SUM(D6:D28)</f>
        <v>256008.33333333334</v>
      </c>
      <c r="E29" s="9"/>
      <c r="F29" s="236" t="s">
        <v>55</v>
      </c>
      <c r="G29" s="237"/>
      <c r="H29" s="240">
        <f>H15-H16-H17-H18-H19-H20-H22-H23-H24+H26+H27</f>
        <v>215686.83333333334</v>
      </c>
      <c r="I29" s="241"/>
      <c r="J29" s="242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231"/>
      <c r="B30" s="232"/>
      <c r="C30" s="233"/>
      <c r="D30" s="235"/>
      <c r="E30" s="9"/>
      <c r="F30" s="238"/>
      <c r="G30" s="239"/>
      <c r="H30" s="243"/>
      <c r="I30" s="244"/>
      <c r="J30" s="245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5" t="s">
        <v>58</v>
      </c>
      <c r="B32" s="176"/>
      <c r="C32" s="176"/>
      <c r="D32" s="177"/>
      <c r="E32" s="11"/>
      <c r="F32" s="261" t="s">
        <v>59</v>
      </c>
      <c r="G32" s="262"/>
      <c r="H32" s="262"/>
      <c r="I32" s="262"/>
      <c r="J32" s="263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50" t="s">
        <v>63</v>
      </c>
      <c r="H33" s="261" t="s">
        <v>13</v>
      </c>
      <c r="I33" s="262"/>
      <c r="J33" s="263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88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82">
        <v>162</v>
      </c>
      <c r="H34" s="264">
        <f>F34*G34</f>
        <v>162000</v>
      </c>
      <c r="I34" s="265"/>
      <c r="J34" s="266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89"/>
      <c r="B35" s="30" t="s">
        <v>68</v>
      </c>
      <c r="C35" s="57">
        <v>1</v>
      </c>
      <c r="D35" s="33">
        <f>C35*84</f>
        <v>84</v>
      </c>
      <c r="E35" s="9"/>
      <c r="F35" s="64">
        <v>500</v>
      </c>
      <c r="G35" s="45">
        <v>75</v>
      </c>
      <c r="H35" s="264">
        <f t="shared" ref="H35:H39" si="2">F35*G35</f>
        <v>37500</v>
      </c>
      <c r="I35" s="265"/>
      <c r="J35" s="266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90"/>
      <c r="B36" s="29" t="s">
        <v>70</v>
      </c>
      <c r="C36" s="53">
        <v>16</v>
      </c>
      <c r="D36" s="15">
        <f>C36*1.5</f>
        <v>24</v>
      </c>
      <c r="E36" s="9"/>
      <c r="F36" s="15">
        <v>200</v>
      </c>
      <c r="G36" s="41">
        <v>4</v>
      </c>
      <c r="H36" s="264">
        <f t="shared" si="2"/>
        <v>800</v>
      </c>
      <c r="I36" s="265"/>
      <c r="J36" s="266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88" t="s">
        <v>72</v>
      </c>
      <c r="B37" s="31" t="s">
        <v>66</v>
      </c>
      <c r="C37" s="58">
        <v>328</v>
      </c>
      <c r="D37" s="15">
        <f>C37*111</f>
        <v>36408</v>
      </c>
      <c r="E37" s="9"/>
      <c r="F37" s="15">
        <v>100</v>
      </c>
      <c r="G37" s="43">
        <v>95</v>
      </c>
      <c r="H37" s="264">
        <f t="shared" si="2"/>
        <v>9500</v>
      </c>
      <c r="I37" s="265"/>
      <c r="J37" s="266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89"/>
      <c r="B38" s="32" t="s">
        <v>68</v>
      </c>
      <c r="C38" s="59">
        <v>7</v>
      </c>
      <c r="D38" s="15">
        <f>C38*84</f>
        <v>588</v>
      </c>
      <c r="E38" s="9"/>
      <c r="F38" s="33">
        <v>50</v>
      </c>
      <c r="G38" s="43">
        <v>67</v>
      </c>
      <c r="H38" s="264">
        <f t="shared" si="2"/>
        <v>3350</v>
      </c>
      <c r="I38" s="265"/>
      <c r="J38" s="266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90"/>
      <c r="B39" s="32" t="s">
        <v>70</v>
      </c>
      <c r="C39" s="57">
        <v>8</v>
      </c>
      <c r="D39" s="34">
        <f>C39*4.5</f>
        <v>36</v>
      </c>
      <c r="E39" s="9"/>
      <c r="F39" s="15">
        <v>20</v>
      </c>
      <c r="G39" s="41"/>
      <c r="H39" s="264">
        <f t="shared" si="2"/>
        <v>0</v>
      </c>
      <c r="I39" s="265"/>
      <c r="J39" s="266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88" t="s">
        <v>76</v>
      </c>
      <c r="B40" s="30" t="s">
        <v>66</v>
      </c>
      <c r="C40" s="70">
        <v>6</v>
      </c>
      <c r="D40" s="15">
        <f>C40*111</f>
        <v>666</v>
      </c>
      <c r="E40" s="9"/>
      <c r="F40" s="15">
        <v>10</v>
      </c>
      <c r="G40" s="46"/>
      <c r="H40" s="264"/>
      <c r="I40" s="265"/>
      <c r="J40" s="266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89"/>
      <c r="B41" s="30" t="s">
        <v>68</v>
      </c>
      <c r="C41" s="53">
        <v>1</v>
      </c>
      <c r="D41" s="15">
        <f>C41*84</f>
        <v>84</v>
      </c>
      <c r="E41" s="9"/>
      <c r="F41" s="15">
        <v>5</v>
      </c>
      <c r="G41" s="46"/>
      <c r="H41" s="264"/>
      <c r="I41" s="265"/>
      <c r="J41" s="266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90"/>
      <c r="B42" s="30" t="s">
        <v>70</v>
      </c>
      <c r="C42" s="71">
        <v>12</v>
      </c>
      <c r="D42" s="15">
        <f>C42*2.25</f>
        <v>27</v>
      </c>
      <c r="E42" s="9"/>
      <c r="F42" s="43" t="s">
        <v>79</v>
      </c>
      <c r="G42" s="264">
        <v>1694</v>
      </c>
      <c r="H42" s="265"/>
      <c r="I42" s="265"/>
      <c r="J42" s="266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67" t="s">
        <v>81</v>
      </c>
      <c r="C43" s="71"/>
      <c r="D43" s="15"/>
      <c r="E43" s="9"/>
      <c r="F43" s="65" t="s">
        <v>82</v>
      </c>
      <c r="G43" s="152" t="s">
        <v>83</v>
      </c>
      <c r="H43" s="270" t="s">
        <v>13</v>
      </c>
      <c r="I43" s="271"/>
      <c r="J43" s="272"/>
      <c r="K43" s="24"/>
      <c r="P43" s="4"/>
      <c r="Q43" s="4"/>
      <c r="R43" s="5"/>
    </row>
    <row r="44" spans="1:18" ht="15.75" x14ac:dyDescent="0.25">
      <c r="A44" s="268"/>
      <c r="B44" s="30" t="s">
        <v>66</v>
      </c>
      <c r="C44" s="53"/>
      <c r="D44" s="15">
        <f>C44*120</f>
        <v>0</v>
      </c>
      <c r="E44" s="9"/>
      <c r="F44" s="41"/>
      <c r="G44" s="69"/>
      <c r="H44" s="255"/>
      <c r="I44" s="255"/>
      <c r="J44" s="255"/>
      <c r="K44" s="24"/>
      <c r="P44" s="4"/>
      <c r="Q44" s="4"/>
      <c r="R44" s="5"/>
    </row>
    <row r="45" spans="1:18" ht="15.75" x14ac:dyDescent="0.25">
      <c r="A45" s="268"/>
      <c r="B45" s="30" t="s">
        <v>68</v>
      </c>
      <c r="C45" s="90"/>
      <c r="D45" s="15">
        <f>C45*84</f>
        <v>0</v>
      </c>
      <c r="E45" s="9"/>
      <c r="F45" s="41"/>
      <c r="G45" s="69"/>
      <c r="H45" s="255"/>
      <c r="I45" s="255"/>
      <c r="J45" s="255"/>
      <c r="K45" s="24"/>
      <c r="P45" s="4"/>
      <c r="Q45" s="4"/>
      <c r="R45" s="5"/>
    </row>
    <row r="46" spans="1:18" ht="15.75" x14ac:dyDescent="0.25">
      <c r="A46" s="268"/>
      <c r="B46" s="54" t="s">
        <v>70</v>
      </c>
      <c r="C46" s="91">
        <v>15</v>
      </c>
      <c r="D46" s="15">
        <f>C46*1.5</f>
        <v>22.5</v>
      </c>
      <c r="E46" s="9"/>
      <c r="F46" s="41"/>
      <c r="G46" s="151"/>
      <c r="H46" s="306"/>
      <c r="I46" s="306"/>
      <c r="J46" s="306"/>
      <c r="K46" s="24"/>
      <c r="P46" s="4"/>
      <c r="Q46" s="4"/>
      <c r="R46" s="5"/>
    </row>
    <row r="47" spans="1:18" ht="15.75" x14ac:dyDescent="0.25">
      <c r="A47" s="269"/>
      <c r="B47" s="30"/>
      <c r="C47" s="71"/>
      <c r="D47" s="15"/>
      <c r="E47" s="9"/>
      <c r="F47" s="65"/>
      <c r="G47" s="65"/>
      <c r="H47" s="273"/>
      <c r="I47" s="274"/>
      <c r="J47" s="275"/>
      <c r="K47" s="24"/>
      <c r="P47" s="4"/>
      <c r="Q47" s="4"/>
      <c r="R47" s="5"/>
    </row>
    <row r="48" spans="1:18" ht="15" customHeight="1" x14ac:dyDescent="0.25">
      <c r="A48" s="267" t="s">
        <v>32</v>
      </c>
      <c r="B48" s="30" t="s">
        <v>66</v>
      </c>
      <c r="C48" s="53">
        <v>10</v>
      </c>
      <c r="D48" s="15">
        <f>C48*78</f>
        <v>780</v>
      </c>
      <c r="E48" s="9"/>
      <c r="F48" s="65"/>
      <c r="G48" s="65"/>
      <c r="H48" s="273"/>
      <c r="I48" s="274"/>
      <c r="J48" s="275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68"/>
      <c r="B49" s="32" t="s">
        <v>68</v>
      </c>
      <c r="C49" s="90">
        <v>3</v>
      </c>
      <c r="D49" s="15">
        <f>C49*42</f>
        <v>126</v>
      </c>
      <c r="E49" s="9"/>
      <c r="F49" s="288" t="s">
        <v>86</v>
      </c>
      <c r="G49" s="240">
        <f>H34+H35+H36+H37+H38+H39+H40+H41+G42+H44+H45+H46</f>
        <v>214844</v>
      </c>
      <c r="H49" s="241"/>
      <c r="I49" s="241"/>
      <c r="J49" s="242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68"/>
      <c r="B50" s="35" t="s">
        <v>70</v>
      </c>
      <c r="C50" s="71">
        <v>8</v>
      </c>
      <c r="D50" s="15">
        <f>C50*1.5</f>
        <v>12</v>
      </c>
      <c r="E50" s="9"/>
      <c r="F50" s="289"/>
      <c r="G50" s="243"/>
      <c r="H50" s="244"/>
      <c r="I50" s="244"/>
      <c r="J50" s="245"/>
      <c r="K50" s="9"/>
      <c r="P50" s="4"/>
      <c r="Q50" s="4"/>
      <c r="R50" s="5"/>
    </row>
    <row r="51" spans="1:18" ht="15" customHeight="1" x14ac:dyDescent="0.25">
      <c r="A51" s="268"/>
      <c r="B51" s="30"/>
      <c r="C51" s="13"/>
      <c r="D51" s="34"/>
      <c r="E51" s="9"/>
      <c r="F51" s="290" t="s">
        <v>202</v>
      </c>
      <c r="G51" s="314">
        <f>G49-H29</f>
        <v>-842.83333333334303</v>
      </c>
      <c r="H51" s="315"/>
      <c r="I51" s="315"/>
      <c r="J51" s="316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68"/>
      <c r="B52" s="32"/>
      <c r="C52" s="36"/>
      <c r="D52" s="49"/>
      <c r="E52" s="9"/>
      <c r="F52" s="291"/>
      <c r="G52" s="317"/>
      <c r="H52" s="318"/>
      <c r="I52" s="318"/>
      <c r="J52" s="319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69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236" t="s">
        <v>90</v>
      </c>
      <c r="B54" s="276"/>
      <c r="C54" s="277"/>
      <c r="D54" s="280">
        <f>SUM(D34:D53)</f>
        <v>38857.5</v>
      </c>
      <c r="E54" s="9"/>
      <c r="F54" s="24"/>
      <c r="G54" s="9"/>
      <c r="H54" s="9"/>
      <c r="I54" s="9"/>
      <c r="J54" s="37"/>
    </row>
    <row r="55" spans="1:18" x14ac:dyDescent="0.25">
      <c r="A55" s="238"/>
      <c r="B55" s="278"/>
      <c r="C55" s="279"/>
      <c r="D55" s="281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136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282" t="s">
        <v>91</v>
      </c>
      <c r="B58" s="283"/>
      <c r="C58" s="283"/>
      <c r="D58" s="284"/>
      <c r="E58" s="9"/>
      <c r="F58" s="282" t="s">
        <v>92</v>
      </c>
      <c r="G58" s="283"/>
      <c r="H58" s="283"/>
      <c r="I58" s="283"/>
      <c r="J58" s="284"/>
    </row>
    <row r="59" spans="1:18" x14ac:dyDescent="0.25">
      <c r="A59" s="285"/>
      <c r="B59" s="286"/>
      <c r="C59" s="286"/>
      <c r="D59" s="287"/>
      <c r="E59" s="9"/>
      <c r="F59" s="285"/>
      <c r="G59" s="286"/>
      <c r="H59" s="286"/>
      <c r="I59" s="286"/>
      <c r="J59" s="287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77C06-42E6-40E5-A5AD-7AC75F2CD5D5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174" t="s">
        <v>1</v>
      </c>
      <c r="O1" s="174"/>
      <c r="P1" s="100" t="s">
        <v>2</v>
      </c>
      <c r="Q1" s="100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75" t="s">
        <v>7</v>
      </c>
      <c r="B4" s="176"/>
      <c r="C4" s="176"/>
      <c r="D4" s="177"/>
      <c r="E4" s="9"/>
      <c r="F4" s="178" t="s">
        <v>8</v>
      </c>
      <c r="G4" s="180">
        <v>1</v>
      </c>
      <c r="H4" s="182" t="s">
        <v>9</v>
      </c>
      <c r="I4" s="184">
        <v>45779</v>
      </c>
      <c r="J4" s="185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88" t="s">
        <v>7</v>
      </c>
      <c r="B5" s="18" t="s">
        <v>11</v>
      </c>
      <c r="C5" s="12" t="s">
        <v>12</v>
      </c>
      <c r="D5" s="28" t="s">
        <v>13</v>
      </c>
      <c r="E5" s="9"/>
      <c r="F5" s="179"/>
      <c r="G5" s="181"/>
      <c r="H5" s="183"/>
      <c r="I5" s="186"/>
      <c r="J5" s="187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89"/>
      <c r="B6" s="19" t="s">
        <v>15</v>
      </c>
      <c r="C6" s="53">
        <v>216</v>
      </c>
      <c r="D6" s="16">
        <f t="shared" ref="D6:D28" si="1">C6*L6</f>
        <v>159192</v>
      </c>
      <c r="E6" s="9"/>
      <c r="F6" s="191" t="s">
        <v>16</v>
      </c>
      <c r="G6" s="193" t="s">
        <v>128</v>
      </c>
      <c r="H6" s="194"/>
      <c r="I6" s="194"/>
      <c r="J6" s="195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89"/>
      <c r="B7" s="19" t="s">
        <v>18</v>
      </c>
      <c r="C7" s="53">
        <v>5</v>
      </c>
      <c r="D7" s="16">
        <f t="shared" si="1"/>
        <v>3625</v>
      </c>
      <c r="E7" s="9"/>
      <c r="F7" s="192"/>
      <c r="G7" s="196"/>
      <c r="H7" s="197"/>
      <c r="I7" s="197"/>
      <c r="J7" s="198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189"/>
      <c r="B8" s="19" t="s">
        <v>20</v>
      </c>
      <c r="C8" s="53">
        <v>1</v>
      </c>
      <c r="D8" s="16">
        <f t="shared" si="1"/>
        <v>1033</v>
      </c>
      <c r="E8" s="9"/>
      <c r="F8" s="199" t="s">
        <v>21</v>
      </c>
      <c r="G8" s="201" t="s">
        <v>113</v>
      </c>
      <c r="H8" s="202"/>
      <c r="I8" s="202"/>
      <c r="J8" s="203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189"/>
      <c r="B9" s="19" t="s">
        <v>23</v>
      </c>
      <c r="C9" s="53">
        <v>12</v>
      </c>
      <c r="D9" s="16">
        <f t="shared" si="1"/>
        <v>8484</v>
      </c>
      <c r="E9" s="9"/>
      <c r="F9" s="192"/>
      <c r="G9" s="204"/>
      <c r="H9" s="205"/>
      <c r="I9" s="205"/>
      <c r="J9" s="206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189"/>
      <c r="B10" s="11" t="s">
        <v>25</v>
      </c>
      <c r="C10" s="53"/>
      <c r="D10" s="16">
        <f t="shared" si="1"/>
        <v>0</v>
      </c>
      <c r="E10" s="9"/>
      <c r="F10" s="191" t="s">
        <v>26</v>
      </c>
      <c r="G10" s="207" t="s">
        <v>132</v>
      </c>
      <c r="H10" s="208"/>
      <c r="I10" s="208"/>
      <c r="J10" s="209"/>
      <c r="K10" s="10"/>
      <c r="L10" s="6">
        <f>R36</f>
        <v>972</v>
      </c>
      <c r="P10" s="4"/>
      <c r="Q10" s="4"/>
      <c r="R10" s="5"/>
    </row>
    <row r="11" spans="1:18" ht="15.75" x14ac:dyDescent="0.25">
      <c r="A11" s="189"/>
      <c r="B11" s="20" t="s">
        <v>28</v>
      </c>
      <c r="C11" s="53"/>
      <c r="D11" s="16">
        <f t="shared" si="1"/>
        <v>0</v>
      </c>
      <c r="E11" s="9"/>
      <c r="F11" s="192"/>
      <c r="G11" s="204"/>
      <c r="H11" s="205"/>
      <c r="I11" s="205"/>
      <c r="J11" s="206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89"/>
      <c r="B12" s="20" t="s">
        <v>30</v>
      </c>
      <c r="C12" s="53"/>
      <c r="D12" s="52">
        <f t="shared" si="1"/>
        <v>0</v>
      </c>
      <c r="E12" s="9"/>
      <c r="F12" s="210" t="s">
        <v>33</v>
      </c>
      <c r="G12" s="211"/>
      <c r="H12" s="211"/>
      <c r="I12" s="211"/>
      <c r="J12" s="212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89"/>
      <c r="B13" s="20" t="s">
        <v>32</v>
      </c>
      <c r="C13" s="53">
        <v>3</v>
      </c>
      <c r="D13" s="52">
        <f t="shared" si="1"/>
        <v>921</v>
      </c>
      <c r="E13" s="9"/>
      <c r="F13" s="213" t="s">
        <v>36</v>
      </c>
      <c r="G13" s="214"/>
      <c r="H13" s="215">
        <f>D29</f>
        <v>179748</v>
      </c>
      <c r="I13" s="216"/>
      <c r="J13" s="217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89"/>
      <c r="B14" s="17" t="s">
        <v>35</v>
      </c>
      <c r="C14" s="53">
        <v>3</v>
      </c>
      <c r="D14" s="34">
        <f t="shared" si="1"/>
        <v>33</v>
      </c>
      <c r="E14" s="9"/>
      <c r="F14" s="218" t="s">
        <v>39</v>
      </c>
      <c r="G14" s="219"/>
      <c r="H14" s="220">
        <f>D54</f>
        <v>36675</v>
      </c>
      <c r="I14" s="221"/>
      <c r="J14" s="222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89"/>
      <c r="B15" s="17" t="s">
        <v>38</v>
      </c>
      <c r="C15" s="53">
        <v>2</v>
      </c>
      <c r="D15" s="34">
        <f t="shared" si="1"/>
        <v>1240</v>
      </c>
      <c r="E15" s="9"/>
      <c r="F15" s="223" t="s">
        <v>40</v>
      </c>
      <c r="G15" s="214"/>
      <c r="H15" s="224">
        <f>H13-H14</f>
        <v>143073</v>
      </c>
      <c r="I15" s="225"/>
      <c r="J15" s="226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89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227"/>
      <c r="I16" s="227"/>
      <c r="J16" s="22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89"/>
      <c r="B17" s="11" t="s">
        <v>137</v>
      </c>
      <c r="C17" s="53"/>
      <c r="D17" s="52">
        <f t="shared" si="1"/>
        <v>0</v>
      </c>
      <c r="E17" s="9"/>
      <c r="F17" s="62"/>
      <c r="G17" s="74" t="s">
        <v>45</v>
      </c>
      <c r="H17" s="200"/>
      <c r="I17" s="200"/>
      <c r="J17" s="200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89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200"/>
      <c r="I18" s="200"/>
      <c r="J18" s="200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89"/>
      <c r="B19" s="17" t="s">
        <v>140</v>
      </c>
      <c r="C19" s="53"/>
      <c r="D19" s="52">
        <f t="shared" si="1"/>
        <v>0</v>
      </c>
      <c r="E19" s="9"/>
      <c r="F19" s="62"/>
      <c r="G19" s="76" t="s">
        <v>50</v>
      </c>
      <c r="H19" s="200"/>
      <c r="I19" s="200"/>
      <c r="J19" s="200"/>
      <c r="L19" s="6">
        <v>1102</v>
      </c>
      <c r="Q19" s="4"/>
      <c r="R19" s="5">
        <f t="shared" si="0"/>
        <v>0</v>
      </c>
    </row>
    <row r="20" spans="1:18" ht="15.75" x14ac:dyDescent="0.25">
      <c r="A20" s="189"/>
      <c r="B20" s="97" t="s">
        <v>146</v>
      </c>
      <c r="C20" s="53">
        <v>2</v>
      </c>
      <c r="D20" s="16">
        <f t="shared" si="1"/>
        <v>2350</v>
      </c>
      <c r="E20" s="9"/>
      <c r="F20" s="63"/>
      <c r="G20" s="78" t="s">
        <v>124</v>
      </c>
      <c r="H20" s="227"/>
      <c r="I20" s="227"/>
      <c r="J20" s="227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89"/>
      <c r="B21" s="17" t="s">
        <v>145</v>
      </c>
      <c r="C21" s="53">
        <f>1+1</f>
        <v>2</v>
      </c>
      <c r="D21" s="52">
        <f t="shared" si="1"/>
        <v>1300</v>
      </c>
      <c r="E21" s="9"/>
      <c r="F21" s="77" t="s">
        <v>99</v>
      </c>
      <c r="G21" s="92" t="s">
        <v>98</v>
      </c>
      <c r="H21" s="246" t="s">
        <v>13</v>
      </c>
      <c r="I21" s="247"/>
      <c r="J21" s="248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89"/>
      <c r="B22" s="50" t="s">
        <v>110</v>
      </c>
      <c r="C22" s="53"/>
      <c r="D22" s="52">
        <f t="shared" si="1"/>
        <v>0</v>
      </c>
      <c r="E22" s="9"/>
      <c r="F22" s="85" t="s">
        <v>152</v>
      </c>
      <c r="G22" s="81">
        <v>1688</v>
      </c>
      <c r="H22" s="249">
        <v>60498</v>
      </c>
      <c r="I22" s="249"/>
      <c r="J22" s="249"/>
      <c r="L22" s="7">
        <v>1142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89"/>
      <c r="B23" s="17" t="s">
        <v>125</v>
      </c>
      <c r="C23" s="53"/>
      <c r="D23" s="52">
        <f t="shared" si="1"/>
        <v>0</v>
      </c>
      <c r="E23" s="9"/>
      <c r="F23" s="85"/>
      <c r="G23" s="87"/>
      <c r="H23" s="250"/>
      <c r="I23" s="251"/>
      <c r="J23" s="251"/>
      <c r="L23" s="51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89"/>
      <c r="B24" s="17" t="s">
        <v>126</v>
      </c>
      <c r="C24" s="53"/>
      <c r="D24" s="52">
        <f t="shared" si="1"/>
        <v>0</v>
      </c>
      <c r="E24" s="9"/>
      <c r="F24" s="85"/>
      <c r="G24" s="87"/>
      <c r="H24" s="250"/>
      <c r="I24" s="251"/>
      <c r="J24" s="251"/>
      <c r="L24" s="51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89"/>
      <c r="B25" s="17" t="s">
        <v>121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52" t="s">
        <v>13</v>
      </c>
      <c r="I25" s="253"/>
      <c r="J25" s="254"/>
      <c r="L25" s="51">
        <f>852/24+1.5</f>
        <v>37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89"/>
      <c r="B26" s="17" t="s">
        <v>112</v>
      </c>
      <c r="C26" s="53"/>
      <c r="D26" s="52">
        <f t="shared" si="1"/>
        <v>0</v>
      </c>
      <c r="E26" s="9"/>
      <c r="F26" s="83" t="s">
        <v>153</v>
      </c>
      <c r="G26" s="73"/>
      <c r="H26" s="255">
        <v>131318.5</v>
      </c>
      <c r="I26" s="255"/>
      <c r="J26" s="255"/>
      <c r="L26" s="7">
        <f>500/24+1.5</f>
        <v>22.333333333333332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89"/>
      <c r="B27" s="17" t="s">
        <v>120</v>
      </c>
      <c r="C27" s="53"/>
      <c r="D27" s="48">
        <f t="shared" si="1"/>
        <v>0</v>
      </c>
      <c r="E27" s="9"/>
      <c r="F27" s="83" t="s">
        <v>153</v>
      </c>
      <c r="G27" s="98"/>
      <c r="H27" s="256">
        <v>228797</v>
      </c>
      <c r="I27" s="257"/>
      <c r="J27" s="257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90"/>
      <c r="B28" s="50" t="s">
        <v>97</v>
      </c>
      <c r="C28" s="53">
        <v>2</v>
      </c>
      <c r="D28" s="52">
        <f t="shared" si="1"/>
        <v>1570</v>
      </c>
      <c r="E28" s="9"/>
      <c r="F28" s="83" t="s">
        <v>152</v>
      </c>
      <c r="G28" s="68"/>
      <c r="H28" s="258">
        <v>110567</v>
      </c>
      <c r="I28" s="259"/>
      <c r="J28" s="260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28" t="s">
        <v>36</v>
      </c>
      <c r="B29" s="229"/>
      <c r="C29" s="230"/>
      <c r="D29" s="234">
        <f>SUM(D6:D28)</f>
        <v>179748</v>
      </c>
      <c r="E29" s="9"/>
      <c r="F29" s="236" t="s">
        <v>55</v>
      </c>
      <c r="G29" s="237"/>
      <c r="H29" s="240">
        <f>H15-H16-H17-H18-H19-H20-H22-H23-H24+H26+H27+H28</f>
        <v>553257.5</v>
      </c>
      <c r="I29" s="241"/>
      <c r="J29" s="242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231"/>
      <c r="B30" s="232"/>
      <c r="C30" s="233"/>
      <c r="D30" s="235"/>
      <c r="E30" s="9"/>
      <c r="F30" s="238"/>
      <c r="G30" s="239"/>
      <c r="H30" s="243"/>
      <c r="I30" s="244"/>
      <c r="J30" s="245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5" t="s">
        <v>58</v>
      </c>
      <c r="B32" s="176"/>
      <c r="C32" s="176"/>
      <c r="D32" s="177"/>
      <c r="E32" s="11"/>
      <c r="F32" s="261" t="s">
        <v>59</v>
      </c>
      <c r="G32" s="262"/>
      <c r="H32" s="262"/>
      <c r="I32" s="262"/>
      <c r="J32" s="263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01" t="s">
        <v>63</v>
      </c>
      <c r="H33" s="261" t="s">
        <v>13</v>
      </c>
      <c r="I33" s="262"/>
      <c r="J33" s="263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88" t="s">
        <v>65</v>
      </c>
      <c r="B34" s="29" t="s">
        <v>66</v>
      </c>
      <c r="C34" s="56">
        <v>1</v>
      </c>
      <c r="D34" s="33">
        <f>C34*120</f>
        <v>120</v>
      </c>
      <c r="E34" s="9"/>
      <c r="F34" s="15">
        <v>1000</v>
      </c>
      <c r="G34" s="44">
        <v>82</v>
      </c>
      <c r="H34" s="264">
        <f t="shared" ref="H34:H39" si="2">F34*G34</f>
        <v>82000</v>
      </c>
      <c r="I34" s="265"/>
      <c r="J34" s="266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89"/>
      <c r="B35" s="30" t="s">
        <v>68</v>
      </c>
      <c r="C35" s="57"/>
      <c r="D35" s="33">
        <f>C35*84</f>
        <v>0</v>
      </c>
      <c r="E35" s="9"/>
      <c r="F35" s="64">
        <v>500</v>
      </c>
      <c r="G35" s="45">
        <v>11</v>
      </c>
      <c r="H35" s="264">
        <f t="shared" si="2"/>
        <v>5500</v>
      </c>
      <c r="I35" s="265"/>
      <c r="J35" s="266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90"/>
      <c r="B36" s="29" t="s">
        <v>70</v>
      </c>
      <c r="C36" s="53">
        <v>1</v>
      </c>
      <c r="D36" s="15">
        <f>C36*1.5</f>
        <v>1.5</v>
      </c>
      <c r="E36" s="9"/>
      <c r="F36" s="15">
        <v>200</v>
      </c>
      <c r="G36" s="41">
        <v>3</v>
      </c>
      <c r="H36" s="264">
        <f t="shared" si="2"/>
        <v>600</v>
      </c>
      <c r="I36" s="265"/>
      <c r="J36" s="266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88" t="s">
        <v>72</v>
      </c>
      <c r="B37" s="31" t="s">
        <v>66</v>
      </c>
      <c r="C37" s="58">
        <v>286</v>
      </c>
      <c r="D37" s="15">
        <f>C37*111</f>
        <v>31746</v>
      </c>
      <c r="E37" s="9"/>
      <c r="F37" s="15">
        <v>100</v>
      </c>
      <c r="G37" s="43">
        <v>12</v>
      </c>
      <c r="H37" s="264">
        <f t="shared" si="2"/>
        <v>1200</v>
      </c>
      <c r="I37" s="265"/>
      <c r="J37" s="266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89"/>
      <c r="B38" s="32" t="s">
        <v>68</v>
      </c>
      <c r="C38" s="59">
        <v>20</v>
      </c>
      <c r="D38" s="15">
        <f>C38*84</f>
        <v>1680</v>
      </c>
      <c r="E38" s="9"/>
      <c r="F38" s="33">
        <v>50</v>
      </c>
      <c r="G38" s="43">
        <v>16</v>
      </c>
      <c r="H38" s="264">
        <f t="shared" si="2"/>
        <v>800</v>
      </c>
      <c r="I38" s="265"/>
      <c r="J38" s="266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90"/>
      <c r="B39" s="32" t="s">
        <v>70</v>
      </c>
      <c r="C39" s="57">
        <v>9</v>
      </c>
      <c r="D39" s="34">
        <f>C39*4.5</f>
        <v>40.5</v>
      </c>
      <c r="E39" s="9"/>
      <c r="F39" s="15">
        <v>20</v>
      </c>
      <c r="G39" s="41"/>
      <c r="H39" s="264">
        <f t="shared" si="2"/>
        <v>0</v>
      </c>
      <c r="I39" s="265"/>
      <c r="J39" s="266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88" t="s">
        <v>76</v>
      </c>
      <c r="B40" s="30" t="s">
        <v>66</v>
      </c>
      <c r="C40" s="70">
        <v>6</v>
      </c>
      <c r="D40" s="15">
        <f>C40*111</f>
        <v>666</v>
      </c>
      <c r="E40" s="9"/>
      <c r="F40" s="15">
        <v>10</v>
      </c>
      <c r="G40" s="46"/>
      <c r="H40" s="264"/>
      <c r="I40" s="265"/>
      <c r="J40" s="266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89"/>
      <c r="B41" s="30" t="s">
        <v>68</v>
      </c>
      <c r="C41" s="53">
        <v>4</v>
      </c>
      <c r="D41" s="15">
        <f>C41*84</f>
        <v>336</v>
      </c>
      <c r="E41" s="9"/>
      <c r="F41" s="15">
        <v>5</v>
      </c>
      <c r="G41" s="46"/>
      <c r="H41" s="264"/>
      <c r="I41" s="265"/>
      <c r="J41" s="266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90"/>
      <c r="B42" s="30" t="s">
        <v>70</v>
      </c>
      <c r="C42" s="71"/>
      <c r="D42" s="15">
        <f>C42*2.25</f>
        <v>0</v>
      </c>
      <c r="E42" s="9"/>
      <c r="F42" s="43" t="s">
        <v>79</v>
      </c>
      <c r="G42" s="264">
        <v>794</v>
      </c>
      <c r="H42" s="265"/>
      <c r="I42" s="265"/>
      <c r="J42" s="266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67" t="s">
        <v>81</v>
      </c>
      <c r="C43" s="71"/>
      <c r="D43" s="15"/>
      <c r="E43" s="9"/>
      <c r="F43" s="65" t="s">
        <v>82</v>
      </c>
      <c r="G43" s="98" t="s">
        <v>83</v>
      </c>
      <c r="H43" s="270" t="s">
        <v>13</v>
      </c>
      <c r="I43" s="271"/>
      <c r="J43" s="272"/>
      <c r="K43" s="24"/>
      <c r="O43" t="s">
        <v>103</v>
      </c>
      <c r="P43" s="4">
        <v>1667</v>
      </c>
      <c r="Q43" s="4"/>
      <c r="R43" s="5"/>
    </row>
    <row r="44" spans="1:18" ht="15.75" x14ac:dyDescent="0.25">
      <c r="A44" s="268"/>
      <c r="B44" s="30" t="s">
        <v>66</v>
      </c>
      <c r="C44" s="53">
        <v>8</v>
      </c>
      <c r="D44" s="15">
        <f>C44*120</f>
        <v>960</v>
      </c>
      <c r="E44" s="9"/>
      <c r="F44" s="41" t="s">
        <v>148</v>
      </c>
      <c r="G44" s="69" t="s">
        <v>149</v>
      </c>
      <c r="H44" s="255">
        <v>131318.5</v>
      </c>
      <c r="I44" s="255"/>
      <c r="J44" s="255"/>
      <c r="K44" s="24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268"/>
      <c r="B45" s="30" t="s">
        <v>68</v>
      </c>
      <c r="C45" s="90">
        <v>2</v>
      </c>
      <c r="D45" s="15">
        <f>C45*84</f>
        <v>168</v>
      </c>
      <c r="E45" s="9"/>
      <c r="F45" s="41" t="s">
        <v>148</v>
      </c>
      <c r="G45" s="69" t="s">
        <v>150</v>
      </c>
      <c r="H45" s="255">
        <v>228797</v>
      </c>
      <c r="I45" s="255"/>
      <c r="J45" s="255"/>
      <c r="K45" s="24"/>
      <c r="P45" s="4"/>
      <c r="Q45" s="4"/>
      <c r="R45" s="5"/>
    </row>
    <row r="46" spans="1:18" ht="15.75" x14ac:dyDescent="0.25">
      <c r="A46" s="268"/>
      <c r="B46" s="54" t="s">
        <v>70</v>
      </c>
      <c r="C46" s="91">
        <v>37</v>
      </c>
      <c r="D46" s="15">
        <f>C46*1.5</f>
        <v>55.5</v>
      </c>
      <c r="E46" s="9"/>
      <c r="F46" s="41" t="s">
        <v>148</v>
      </c>
      <c r="G46" s="69" t="s">
        <v>151</v>
      </c>
      <c r="H46" s="255">
        <v>110567</v>
      </c>
      <c r="I46" s="255"/>
      <c r="J46" s="255"/>
      <c r="K46" s="24"/>
      <c r="P46" s="4"/>
      <c r="Q46" s="4"/>
      <c r="R46" s="5"/>
    </row>
    <row r="47" spans="1:18" ht="15.75" x14ac:dyDescent="0.25">
      <c r="A47" s="269"/>
      <c r="B47" s="30"/>
      <c r="C47" s="71"/>
      <c r="D47" s="15"/>
      <c r="E47" s="9"/>
      <c r="F47" s="65"/>
      <c r="G47" s="65"/>
      <c r="H47" s="273"/>
      <c r="I47" s="274"/>
      <c r="J47" s="275"/>
      <c r="K47" s="24"/>
      <c r="P47" s="4"/>
      <c r="Q47" s="4"/>
      <c r="R47" s="5"/>
    </row>
    <row r="48" spans="1:18" ht="15" customHeight="1" x14ac:dyDescent="0.25">
      <c r="A48" s="267" t="s">
        <v>32</v>
      </c>
      <c r="B48" s="30" t="s">
        <v>66</v>
      </c>
      <c r="C48" s="53">
        <v>8</v>
      </c>
      <c r="D48" s="15">
        <f>C48*78</f>
        <v>624</v>
      </c>
      <c r="E48" s="9"/>
      <c r="F48" s="65"/>
      <c r="G48" s="65"/>
      <c r="H48" s="273"/>
      <c r="I48" s="274"/>
      <c r="J48" s="275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68"/>
      <c r="B49" s="32" t="s">
        <v>68</v>
      </c>
      <c r="C49" s="90">
        <v>6</v>
      </c>
      <c r="D49" s="15">
        <f>C49*42</f>
        <v>252</v>
      </c>
      <c r="E49" s="9"/>
      <c r="F49" s="288" t="s">
        <v>86</v>
      </c>
      <c r="G49" s="240">
        <f>H34+H35+H36+H37+H38+H39+H40+H41+G42+H44+H45+H46</f>
        <v>561576.5</v>
      </c>
      <c r="H49" s="241"/>
      <c r="I49" s="241"/>
      <c r="J49" s="242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68"/>
      <c r="B50" s="35" t="s">
        <v>70</v>
      </c>
      <c r="C50" s="71">
        <v>17</v>
      </c>
      <c r="D50" s="15">
        <f>C50*1.5</f>
        <v>25.5</v>
      </c>
      <c r="E50" s="9"/>
      <c r="F50" s="289"/>
      <c r="G50" s="243"/>
      <c r="H50" s="244"/>
      <c r="I50" s="244"/>
      <c r="J50" s="245"/>
      <c r="K50" s="9"/>
      <c r="P50" s="4"/>
      <c r="Q50" s="4"/>
      <c r="R50" s="5"/>
    </row>
    <row r="51" spans="1:18" ht="15" customHeight="1" x14ac:dyDescent="0.25">
      <c r="A51" s="268"/>
      <c r="B51" s="30"/>
      <c r="C51" s="13"/>
      <c r="D51" s="34"/>
      <c r="E51" s="9"/>
      <c r="F51" s="290" t="s">
        <v>147</v>
      </c>
      <c r="G51" s="320">
        <f>G49-H29</f>
        <v>8319</v>
      </c>
      <c r="H51" s="321"/>
      <c r="I51" s="321"/>
      <c r="J51" s="322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68"/>
      <c r="B52" s="32"/>
      <c r="C52" s="36"/>
      <c r="D52" s="49"/>
      <c r="E52" s="9"/>
      <c r="F52" s="291"/>
      <c r="G52" s="323"/>
      <c r="H52" s="324"/>
      <c r="I52" s="324"/>
      <c r="J52" s="325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69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236" t="s">
        <v>90</v>
      </c>
      <c r="B54" s="276"/>
      <c r="C54" s="277"/>
      <c r="D54" s="280">
        <f>SUM(D34:D53)</f>
        <v>36675</v>
      </c>
      <c r="E54" s="9"/>
      <c r="F54" s="24"/>
      <c r="G54" s="9"/>
      <c r="H54" s="9"/>
      <c r="I54" s="9"/>
      <c r="J54" s="37"/>
      <c r="O54" t="s">
        <v>102</v>
      </c>
      <c r="P54" s="4">
        <v>1582</v>
      </c>
      <c r="R54" s="3">
        <v>1582</v>
      </c>
    </row>
    <row r="55" spans="1:18" x14ac:dyDescent="0.25">
      <c r="A55" s="238"/>
      <c r="B55" s="278"/>
      <c r="C55" s="279"/>
      <c r="D55" s="281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129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282" t="s">
        <v>91</v>
      </c>
      <c r="B58" s="283"/>
      <c r="C58" s="283"/>
      <c r="D58" s="284"/>
      <c r="E58" s="9"/>
      <c r="F58" s="282" t="s">
        <v>92</v>
      </c>
      <c r="G58" s="283"/>
      <c r="H58" s="283"/>
      <c r="I58" s="283"/>
      <c r="J58" s="284"/>
    </row>
    <row r="59" spans="1:18" x14ac:dyDescent="0.25">
      <c r="A59" s="285"/>
      <c r="B59" s="286"/>
      <c r="C59" s="286"/>
      <c r="D59" s="287"/>
      <c r="E59" s="9"/>
      <c r="F59" s="285"/>
      <c r="G59" s="286"/>
      <c r="H59" s="286"/>
      <c r="I59" s="286"/>
      <c r="J59" s="287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89A9E-D18A-42B0-8582-E45A905DC72B}">
  <dimension ref="A1:S59"/>
  <sheetViews>
    <sheetView zoomScaleNormal="100" zoomScaleSheetLayoutView="85" workbookViewId="0">
      <selection activeCell="G51" sqref="G51:J52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s="8" t="s">
        <v>0</v>
      </c>
      <c r="B1" s="8"/>
      <c r="C1" s="8"/>
      <c r="D1" s="8"/>
      <c r="N1" s="174" t="s">
        <v>1</v>
      </c>
      <c r="O1" s="174"/>
      <c r="P1" s="149" t="s">
        <v>2</v>
      </c>
      <c r="Q1" s="149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75" t="s">
        <v>7</v>
      </c>
      <c r="B4" s="176"/>
      <c r="C4" s="176"/>
      <c r="D4" s="177"/>
      <c r="E4" s="9"/>
      <c r="F4" s="178" t="s">
        <v>8</v>
      </c>
      <c r="G4" s="180">
        <v>3</v>
      </c>
      <c r="H4" s="182" t="s">
        <v>9</v>
      </c>
      <c r="I4" s="184">
        <v>45797</v>
      </c>
      <c r="J4" s="185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88" t="s">
        <v>7</v>
      </c>
      <c r="B5" s="18" t="s">
        <v>11</v>
      </c>
      <c r="C5" s="12" t="s">
        <v>12</v>
      </c>
      <c r="D5" s="28" t="s">
        <v>13</v>
      </c>
      <c r="E5" s="9"/>
      <c r="F5" s="179"/>
      <c r="G5" s="181"/>
      <c r="H5" s="183"/>
      <c r="I5" s="186"/>
      <c r="J5" s="187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89"/>
      <c r="B6" s="19" t="s">
        <v>15</v>
      </c>
      <c r="C6" s="53">
        <v>587</v>
      </c>
      <c r="D6" s="16">
        <f t="shared" ref="D6:D28" si="1">C6*L6</f>
        <v>432619</v>
      </c>
      <c r="E6" s="9"/>
      <c r="F6" s="191" t="s">
        <v>16</v>
      </c>
      <c r="G6" s="193" t="s">
        <v>111</v>
      </c>
      <c r="H6" s="194"/>
      <c r="I6" s="194"/>
      <c r="J6" s="195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89"/>
      <c r="B7" s="19" t="s">
        <v>18</v>
      </c>
      <c r="C7" s="53">
        <v>19</v>
      </c>
      <c r="D7" s="16">
        <f t="shared" si="1"/>
        <v>13775</v>
      </c>
      <c r="E7" s="9"/>
      <c r="F7" s="192"/>
      <c r="G7" s="196"/>
      <c r="H7" s="197"/>
      <c r="I7" s="197"/>
      <c r="J7" s="198"/>
      <c r="K7" s="10"/>
      <c r="L7" s="6">
        <f>R41</f>
        <v>725</v>
      </c>
      <c r="P7" s="4"/>
      <c r="Q7" s="4"/>
      <c r="R7" s="5"/>
    </row>
    <row r="8" spans="1:19" ht="14.45" customHeight="1" x14ac:dyDescent="0.25">
      <c r="A8" s="189"/>
      <c r="B8" s="19" t="s">
        <v>20</v>
      </c>
      <c r="C8" s="53"/>
      <c r="D8" s="16">
        <f t="shared" si="1"/>
        <v>0</v>
      </c>
      <c r="E8" s="9"/>
      <c r="F8" s="199" t="s">
        <v>21</v>
      </c>
      <c r="G8" s="201" t="s">
        <v>122</v>
      </c>
      <c r="H8" s="202"/>
      <c r="I8" s="202"/>
      <c r="J8" s="203"/>
      <c r="K8" s="10"/>
      <c r="L8" s="6">
        <f>R40</f>
        <v>1033</v>
      </c>
      <c r="P8" s="4"/>
      <c r="Q8" s="4"/>
      <c r="R8" s="5"/>
    </row>
    <row r="9" spans="1:19" ht="14.45" customHeight="1" x14ac:dyDescent="0.25">
      <c r="A9" s="189"/>
      <c r="B9" s="19" t="s">
        <v>23</v>
      </c>
      <c r="C9" s="53">
        <v>43</v>
      </c>
      <c r="D9" s="16">
        <f t="shared" si="1"/>
        <v>30401</v>
      </c>
      <c r="E9" s="9"/>
      <c r="F9" s="192"/>
      <c r="G9" s="204"/>
      <c r="H9" s="205"/>
      <c r="I9" s="205"/>
      <c r="J9" s="206"/>
      <c r="K9" s="10"/>
      <c r="L9" s="6">
        <f>R38</f>
        <v>707</v>
      </c>
      <c r="P9" s="4"/>
      <c r="Q9" s="4"/>
      <c r="R9" s="5"/>
    </row>
    <row r="10" spans="1:19" ht="14.45" customHeight="1" x14ac:dyDescent="0.25">
      <c r="A10" s="189"/>
      <c r="B10" s="11" t="s">
        <v>25</v>
      </c>
      <c r="C10" s="53"/>
      <c r="D10" s="16">
        <f t="shared" si="1"/>
        <v>0</v>
      </c>
      <c r="E10" s="9"/>
      <c r="F10" s="191" t="s">
        <v>26</v>
      </c>
      <c r="G10" s="207" t="s">
        <v>123</v>
      </c>
      <c r="H10" s="208"/>
      <c r="I10" s="208"/>
      <c r="J10" s="209"/>
      <c r="K10" s="10"/>
      <c r="L10" s="6">
        <f>R36</f>
        <v>972</v>
      </c>
      <c r="P10" s="4"/>
      <c r="Q10" s="4"/>
      <c r="R10" s="5"/>
    </row>
    <row r="11" spans="1:19" ht="15.75" x14ac:dyDescent="0.25">
      <c r="A11" s="189"/>
      <c r="B11" s="20" t="s">
        <v>28</v>
      </c>
      <c r="C11" s="53"/>
      <c r="D11" s="16">
        <f t="shared" si="1"/>
        <v>0</v>
      </c>
      <c r="E11" s="9"/>
      <c r="F11" s="192"/>
      <c r="G11" s="204"/>
      <c r="H11" s="205"/>
      <c r="I11" s="205"/>
      <c r="J11" s="206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89"/>
      <c r="B12" s="20" t="s">
        <v>30</v>
      </c>
      <c r="C12" s="53">
        <v>1</v>
      </c>
      <c r="D12" s="52">
        <f t="shared" si="1"/>
        <v>952</v>
      </c>
      <c r="E12" s="9"/>
      <c r="F12" s="210" t="s">
        <v>33</v>
      </c>
      <c r="G12" s="211"/>
      <c r="H12" s="211"/>
      <c r="I12" s="211"/>
      <c r="J12" s="212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89"/>
      <c r="B13" s="20" t="s">
        <v>32</v>
      </c>
      <c r="C13" s="53">
        <v>26</v>
      </c>
      <c r="D13" s="52">
        <f t="shared" si="1"/>
        <v>7982</v>
      </c>
      <c r="E13" s="9"/>
      <c r="F13" s="213" t="s">
        <v>36</v>
      </c>
      <c r="G13" s="214"/>
      <c r="H13" s="215">
        <f>D29</f>
        <v>494062</v>
      </c>
      <c r="I13" s="216"/>
      <c r="J13" s="217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89"/>
      <c r="B14" s="17" t="s">
        <v>35</v>
      </c>
      <c r="C14" s="53">
        <v>8</v>
      </c>
      <c r="D14" s="34">
        <f t="shared" si="1"/>
        <v>88</v>
      </c>
      <c r="E14" s="9"/>
      <c r="F14" s="218" t="s">
        <v>39</v>
      </c>
      <c r="G14" s="219"/>
      <c r="H14" s="220">
        <f>D54</f>
        <v>86579.25</v>
      </c>
      <c r="I14" s="221"/>
      <c r="J14" s="222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89"/>
      <c r="B15" s="17" t="s">
        <v>38</v>
      </c>
      <c r="C15" s="53"/>
      <c r="D15" s="34">
        <f t="shared" si="1"/>
        <v>0</v>
      </c>
      <c r="E15" s="9"/>
      <c r="F15" s="223" t="s">
        <v>40</v>
      </c>
      <c r="G15" s="214"/>
      <c r="H15" s="224">
        <f>H13-H14</f>
        <v>407482.75</v>
      </c>
      <c r="I15" s="225"/>
      <c r="J15" s="226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89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227">
        <f>1290+1626</f>
        <v>2916</v>
      </c>
      <c r="I16" s="227"/>
      <c r="J16" s="22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89"/>
      <c r="B17" s="11" t="s">
        <v>114</v>
      </c>
      <c r="C17" s="53"/>
      <c r="D17" s="52">
        <f t="shared" si="1"/>
        <v>0</v>
      </c>
      <c r="E17" s="9"/>
      <c r="F17" s="62"/>
      <c r="G17" s="74" t="s">
        <v>45</v>
      </c>
      <c r="H17" s="200"/>
      <c r="I17" s="200"/>
      <c r="J17" s="200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89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200"/>
      <c r="I18" s="200"/>
      <c r="J18" s="200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89"/>
      <c r="B19" s="17" t="s">
        <v>118</v>
      </c>
      <c r="C19" s="53"/>
      <c r="D19" s="52">
        <f t="shared" si="1"/>
        <v>0</v>
      </c>
      <c r="E19" s="9"/>
      <c r="F19" s="62"/>
      <c r="G19" s="76" t="s">
        <v>50</v>
      </c>
      <c r="H19" s="313"/>
      <c r="I19" s="313"/>
      <c r="J19" s="313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89"/>
      <c r="B20" s="50" t="s">
        <v>108</v>
      </c>
      <c r="C20" s="53">
        <v>5</v>
      </c>
      <c r="D20" s="16">
        <f t="shared" si="1"/>
        <v>5510</v>
      </c>
      <c r="E20" s="9"/>
      <c r="F20" s="63"/>
      <c r="G20" s="78" t="s">
        <v>124</v>
      </c>
      <c r="H20" s="227"/>
      <c r="I20" s="227"/>
      <c r="J20" s="227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89"/>
      <c r="B21" s="17" t="s">
        <v>158</v>
      </c>
      <c r="C21" s="53">
        <v>3</v>
      </c>
      <c r="D21" s="52">
        <f t="shared" si="1"/>
        <v>1950</v>
      </c>
      <c r="E21" s="9"/>
      <c r="F21" s="77" t="s">
        <v>99</v>
      </c>
      <c r="G21" s="92" t="s">
        <v>98</v>
      </c>
      <c r="H21" s="246" t="s">
        <v>13</v>
      </c>
      <c r="I21" s="247"/>
      <c r="J21" s="248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89"/>
      <c r="B22" s="50" t="s">
        <v>104</v>
      </c>
      <c r="C22" s="53"/>
      <c r="D22" s="52">
        <f t="shared" si="1"/>
        <v>0</v>
      </c>
      <c r="E22" s="9"/>
      <c r="F22" s="85"/>
      <c r="G22" s="81"/>
      <c r="H22" s="249"/>
      <c r="I22" s="249"/>
      <c r="J22" s="249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89"/>
      <c r="B23" s="17" t="s">
        <v>107</v>
      </c>
      <c r="C23" s="53"/>
      <c r="D23" s="52">
        <f t="shared" si="1"/>
        <v>0</v>
      </c>
      <c r="E23" s="9"/>
      <c r="F23" s="86"/>
      <c r="G23" s="87"/>
      <c r="H23" s="299"/>
      <c r="I23" s="255"/>
      <c r="J23" s="255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89"/>
      <c r="B24" s="17" t="s">
        <v>101</v>
      </c>
      <c r="C24" s="53"/>
      <c r="D24" s="52">
        <f t="shared" si="1"/>
        <v>0</v>
      </c>
      <c r="E24" s="9"/>
      <c r="F24" s="42"/>
      <c r="G24" s="41"/>
      <c r="H24" s="299"/>
      <c r="I24" s="255"/>
      <c r="J24" s="255"/>
      <c r="L24" s="51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89"/>
      <c r="B25" s="17" t="s">
        <v>117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52" t="s">
        <v>13</v>
      </c>
      <c r="I25" s="253"/>
      <c r="J25" s="254"/>
      <c r="L25" s="51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89"/>
      <c r="B26" s="17" t="s">
        <v>105</v>
      </c>
      <c r="C26" s="53"/>
      <c r="D26" s="52">
        <f t="shared" si="1"/>
        <v>0</v>
      </c>
      <c r="E26" s="9"/>
      <c r="F26" s="72"/>
      <c r="G26" s="65"/>
      <c r="H26" s="300"/>
      <c r="I26" s="301"/>
      <c r="J26" s="302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89"/>
      <c r="B27" s="17" t="s">
        <v>109</v>
      </c>
      <c r="C27" s="53"/>
      <c r="D27" s="48">
        <f t="shared" si="1"/>
        <v>0</v>
      </c>
      <c r="E27" s="9"/>
      <c r="F27" s="88"/>
      <c r="G27" s="89"/>
      <c r="H27" s="303"/>
      <c r="I27" s="304"/>
      <c r="J27" s="305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90"/>
      <c r="B28" s="50" t="s">
        <v>97</v>
      </c>
      <c r="C28" s="53">
        <v>1</v>
      </c>
      <c r="D28" s="52">
        <f t="shared" si="1"/>
        <v>785</v>
      </c>
      <c r="E28" s="9"/>
      <c r="F28" s="60"/>
      <c r="G28" s="68"/>
      <c r="H28" s="258"/>
      <c r="I28" s="259"/>
      <c r="J28" s="260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28" t="s">
        <v>36</v>
      </c>
      <c r="B29" s="229"/>
      <c r="C29" s="230"/>
      <c r="D29" s="234">
        <f>SUM(D6:D28)</f>
        <v>494062</v>
      </c>
      <c r="E29" s="9"/>
      <c r="F29" s="236" t="s">
        <v>55</v>
      </c>
      <c r="G29" s="237"/>
      <c r="H29" s="240">
        <f>H15-H16-H17-H18-H19-H20-H22-H23-H24+H26+H27</f>
        <v>404566.75</v>
      </c>
      <c r="I29" s="241"/>
      <c r="J29" s="242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231"/>
      <c r="B30" s="232"/>
      <c r="C30" s="233"/>
      <c r="D30" s="235"/>
      <c r="E30" s="9"/>
      <c r="F30" s="238"/>
      <c r="G30" s="239"/>
      <c r="H30" s="243"/>
      <c r="I30" s="244"/>
      <c r="J30" s="245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5" t="s">
        <v>58</v>
      </c>
      <c r="B32" s="176"/>
      <c r="C32" s="176"/>
      <c r="D32" s="177"/>
      <c r="E32" s="11"/>
      <c r="F32" s="261" t="s">
        <v>59</v>
      </c>
      <c r="G32" s="262"/>
      <c r="H32" s="262"/>
      <c r="I32" s="262"/>
      <c r="J32" s="263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50" t="s">
        <v>63</v>
      </c>
      <c r="H33" s="261" t="s">
        <v>13</v>
      </c>
      <c r="I33" s="262"/>
      <c r="J33" s="263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88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82">
        <v>69</v>
      </c>
      <c r="H34" s="264">
        <f>F34*G34</f>
        <v>69000</v>
      </c>
      <c r="I34" s="265"/>
      <c r="J34" s="266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89"/>
      <c r="B35" s="30" t="s">
        <v>68</v>
      </c>
      <c r="C35" s="57"/>
      <c r="D35" s="33">
        <f>C35*84</f>
        <v>0</v>
      </c>
      <c r="E35" s="9"/>
      <c r="F35" s="64">
        <v>500</v>
      </c>
      <c r="G35" s="45">
        <f>120+30</f>
        <v>150</v>
      </c>
      <c r="H35" s="264">
        <f>F35*G35</f>
        <v>75000</v>
      </c>
      <c r="I35" s="265"/>
      <c r="J35" s="266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90"/>
      <c r="B36" s="29" t="s">
        <v>70</v>
      </c>
      <c r="C36" s="53"/>
      <c r="D36" s="15">
        <f>C36*1.5</f>
        <v>0</v>
      </c>
      <c r="E36" s="9"/>
      <c r="F36" s="15">
        <v>200</v>
      </c>
      <c r="G36" s="41">
        <v>15</v>
      </c>
      <c r="H36" s="264">
        <f t="shared" ref="H36:H39" si="2">F36*G36</f>
        <v>3000</v>
      </c>
      <c r="I36" s="265"/>
      <c r="J36" s="266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88" t="s">
        <v>72</v>
      </c>
      <c r="B37" s="31" t="s">
        <v>66</v>
      </c>
      <c r="C37" s="58">
        <v>737</v>
      </c>
      <c r="D37" s="15">
        <f>C37*111</f>
        <v>81807</v>
      </c>
      <c r="E37" s="9"/>
      <c r="F37" s="15">
        <v>100</v>
      </c>
      <c r="G37" s="43">
        <f>576+49</f>
        <v>625</v>
      </c>
      <c r="H37" s="264">
        <f t="shared" si="2"/>
        <v>62500</v>
      </c>
      <c r="I37" s="265"/>
      <c r="J37" s="266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89"/>
      <c r="B38" s="32" t="s">
        <v>68</v>
      </c>
      <c r="C38" s="59">
        <v>10</v>
      </c>
      <c r="D38" s="15">
        <f>C38*84</f>
        <v>840</v>
      </c>
      <c r="E38" s="9"/>
      <c r="F38" s="33">
        <v>50</v>
      </c>
      <c r="G38" s="43">
        <f>307+305</f>
        <v>612</v>
      </c>
      <c r="H38" s="264">
        <f t="shared" si="2"/>
        <v>30600</v>
      </c>
      <c r="I38" s="265"/>
      <c r="J38" s="266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90"/>
      <c r="B39" s="32" t="s">
        <v>70</v>
      </c>
      <c r="C39" s="57">
        <v>4</v>
      </c>
      <c r="D39" s="34">
        <f>C39*4.5</f>
        <v>18</v>
      </c>
      <c r="E39" s="9"/>
      <c r="F39" s="15">
        <v>20</v>
      </c>
      <c r="G39" s="41"/>
      <c r="H39" s="264">
        <f t="shared" si="2"/>
        <v>0</v>
      </c>
      <c r="I39" s="265"/>
      <c r="J39" s="266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88" t="s">
        <v>76</v>
      </c>
      <c r="B40" s="30" t="s">
        <v>66</v>
      </c>
      <c r="C40" s="70">
        <v>20</v>
      </c>
      <c r="D40" s="15">
        <f>C40*111</f>
        <v>2220</v>
      </c>
      <c r="E40" s="9"/>
      <c r="F40" s="15">
        <v>10</v>
      </c>
      <c r="G40" s="46"/>
      <c r="H40" s="264"/>
      <c r="I40" s="265"/>
      <c r="J40" s="266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89"/>
      <c r="B41" s="30" t="s">
        <v>68</v>
      </c>
      <c r="C41" s="53">
        <v>1</v>
      </c>
      <c r="D41" s="15">
        <f>C41*84</f>
        <v>84</v>
      </c>
      <c r="E41" s="9"/>
      <c r="F41" s="15">
        <v>5</v>
      </c>
      <c r="G41" s="46"/>
      <c r="H41" s="264"/>
      <c r="I41" s="265"/>
      <c r="J41" s="266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90"/>
      <c r="B42" s="30" t="s">
        <v>70</v>
      </c>
      <c r="C42" s="71">
        <v>11</v>
      </c>
      <c r="D42" s="15">
        <f>C42*2.25</f>
        <v>24.75</v>
      </c>
      <c r="E42" s="9"/>
      <c r="F42" s="43" t="s">
        <v>79</v>
      </c>
      <c r="G42" s="264">
        <v>183</v>
      </c>
      <c r="H42" s="265"/>
      <c r="I42" s="265"/>
      <c r="J42" s="266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67" t="s">
        <v>81</v>
      </c>
      <c r="C43" s="71"/>
      <c r="D43" s="15"/>
      <c r="E43" s="9"/>
      <c r="F43" s="65" t="s">
        <v>82</v>
      </c>
      <c r="G43" s="152" t="s">
        <v>83</v>
      </c>
      <c r="H43" s="270" t="s">
        <v>13</v>
      </c>
      <c r="I43" s="271"/>
      <c r="J43" s="272"/>
      <c r="K43" s="24"/>
      <c r="P43" s="4"/>
      <c r="Q43" s="4"/>
      <c r="R43" s="5"/>
    </row>
    <row r="44" spans="1:18" ht="15.75" x14ac:dyDescent="0.25">
      <c r="A44" s="268"/>
      <c r="B44" s="30" t="s">
        <v>66</v>
      </c>
      <c r="C44" s="53">
        <v>1</v>
      </c>
      <c r="D44" s="15">
        <f>C44*120</f>
        <v>120</v>
      </c>
      <c r="E44" s="9"/>
      <c r="F44" s="41" t="s">
        <v>154</v>
      </c>
      <c r="G44" s="84" t="s">
        <v>203</v>
      </c>
      <c r="H44" s="255">
        <v>162627</v>
      </c>
      <c r="I44" s="255"/>
      <c r="J44" s="255"/>
      <c r="K44" s="24"/>
      <c r="P44" s="4"/>
      <c r="Q44" s="4"/>
      <c r="R44" s="5"/>
    </row>
    <row r="45" spans="1:18" ht="15.75" x14ac:dyDescent="0.25">
      <c r="A45" s="268"/>
      <c r="B45" s="30" t="s">
        <v>68</v>
      </c>
      <c r="C45" s="90"/>
      <c r="D45" s="15">
        <f>C45*84</f>
        <v>0</v>
      </c>
      <c r="E45" s="9"/>
      <c r="F45" s="41"/>
      <c r="G45" s="84"/>
      <c r="H45" s="255"/>
      <c r="I45" s="255"/>
      <c r="J45" s="255"/>
      <c r="K45" s="24"/>
      <c r="P45" s="4"/>
      <c r="Q45" s="4"/>
      <c r="R45" s="5"/>
    </row>
    <row r="46" spans="1:18" ht="15.75" x14ac:dyDescent="0.25">
      <c r="A46" s="268"/>
      <c r="B46" s="54" t="s">
        <v>70</v>
      </c>
      <c r="C46" s="91">
        <v>16</v>
      </c>
      <c r="D46" s="15">
        <f>C46*1.5</f>
        <v>24</v>
      </c>
      <c r="E46" s="9"/>
      <c r="F46" s="41"/>
      <c r="G46" s="69"/>
      <c r="H46" s="306"/>
      <c r="I46" s="306"/>
      <c r="J46" s="306"/>
      <c r="K46" s="24"/>
      <c r="P46" s="4"/>
      <c r="Q46" s="4"/>
      <c r="R46" s="5"/>
    </row>
    <row r="47" spans="1:18" ht="15.75" x14ac:dyDescent="0.25">
      <c r="A47" s="269"/>
      <c r="B47" s="30"/>
      <c r="C47" s="71"/>
      <c r="D47" s="15"/>
      <c r="E47" s="9"/>
      <c r="F47" s="65"/>
      <c r="G47" s="65"/>
      <c r="H47" s="273"/>
      <c r="I47" s="274"/>
      <c r="J47" s="275"/>
      <c r="K47" s="24"/>
      <c r="P47" s="4"/>
      <c r="Q47" s="4"/>
      <c r="R47" s="5"/>
    </row>
    <row r="48" spans="1:18" ht="15" customHeight="1" x14ac:dyDescent="0.25">
      <c r="A48" s="267" t="s">
        <v>32</v>
      </c>
      <c r="B48" s="30" t="s">
        <v>66</v>
      </c>
      <c r="C48" s="53">
        <v>14</v>
      </c>
      <c r="D48" s="15">
        <f>C48*78</f>
        <v>1092</v>
      </c>
      <c r="E48" s="9"/>
      <c r="F48" s="65"/>
      <c r="G48" s="65"/>
      <c r="H48" s="273"/>
      <c r="I48" s="274"/>
      <c r="J48" s="275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68"/>
      <c r="B49" s="32" t="s">
        <v>68</v>
      </c>
      <c r="C49" s="90">
        <v>8</v>
      </c>
      <c r="D49" s="15">
        <f>C49*42</f>
        <v>336</v>
      </c>
      <c r="E49" s="9"/>
      <c r="F49" s="288" t="s">
        <v>86</v>
      </c>
      <c r="G49" s="240">
        <f>H34+H35+H36+H37+H38+H39+H40+H41+G42+H44+H45+H46</f>
        <v>402910</v>
      </c>
      <c r="H49" s="241"/>
      <c r="I49" s="241"/>
      <c r="J49" s="242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68"/>
      <c r="B50" s="35" t="s">
        <v>70</v>
      </c>
      <c r="C50" s="71">
        <v>9</v>
      </c>
      <c r="D50" s="15">
        <f>C50*1.5</f>
        <v>13.5</v>
      </c>
      <c r="E50" s="9"/>
      <c r="F50" s="289"/>
      <c r="G50" s="243"/>
      <c r="H50" s="244"/>
      <c r="I50" s="244"/>
      <c r="J50" s="245"/>
      <c r="K50" s="9"/>
      <c r="P50" s="4"/>
      <c r="Q50" s="4"/>
      <c r="R50" s="5"/>
    </row>
    <row r="51" spans="1:18" ht="15" customHeight="1" x14ac:dyDescent="0.25">
      <c r="A51" s="268"/>
      <c r="B51" s="30"/>
      <c r="C51" s="53"/>
      <c r="D51" s="34"/>
      <c r="E51" s="9"/>
      <c r="F51" s="290" t="s">
        <v>135</v>
      </c>
      <c r="G51" s="314">
        <f>G49-H29</f>
        <v>-1656.75</v>
      </c>
      <c r="H51" s="315"/>
      <c r="I51" s="315"/>
      <c r="J51" s="316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68"/>
      <c r="B52" s="32"/>
      <c r="C52" s="36"/>
      <c r="D52" s="49"/>
      <c r="E52" s="9"/>
      <c r="F52" s="291"/>
      <c r="G52" s="317"/>
      <c r="H52" s="318"/>
      <c r="I52" s="318"/>
      <c r="J52" s="319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69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236" t="s">
        <v>90</v>
      </c>
      <c r="B54" s="276"/>
      <c r="C54" s="277"/>
      <c r="D54" s="280">
        <f>SUM(D34:D53)</f>
        <v>86579.25</v>
      </c>
      <c r="E54" s="9"/>
      <c r="F54" s="24"/>
      <c r="G54" s="9"/>
      <c r="H54" s="9"/>
      <c r="I54" s="9"/>
      <c r="J54" s="37"/>
    </row>
    <row r="55" spans="1:18" x14ac:dyDescent="0.25">
      <c r="A55" s="238"/>
      <c r="B55" s="278"/>
      <c r="C55" s="279"/>
      <c r="D55" s="281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119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282" t="s">
        <v>91</v>
      </c>
      <c r="B58" s="283"/>
      <c r="C58" s="283"/>
      <c r="D58" s="284"/>
      <c r="E58" s="9"/>
      <c r="F58" s="282" t="s">
        <v>92</v>
      </c>
      <c r="G58" s="283"/>
      <c r="H58" s="283"/>
      <c r="I58" s="283"/>
      <c r="J58" s="284"/>
    </row>
    <row r="59" spans="1:18" x14ac:dyDescent="0.25">
      <c r="A59" s="285"/>
      <c r="B59" s="286"/>
      <c r="C59" s="286"/>
      <c r="D59" s="287"/>
      <c r="E59" s="9"/>
      <c r="F59" s="285"/>
      <c r="G59" s="286"/>
      <c r="H59" s="286"/>
      <c r="I59" s="286"/>
      <c r="J59" s="287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CAC18-C132-4F5C-8526-88E3650A2C63}">
  <dimension ref="A1"/>
  <sheetViews>
    <sheetView workbookViewId="0">
      <selection activeCell="I4" sqref="I4:J5"/>
    </sheetView>
  </sheetViews>
  <sheetFormatPr defaultRowHeight="15" x14ac:dyDescent="0.25"/>
  <sheetData/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017AA-558A-4604-B0F8-4A72A33E1849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174" t="s">
        <v>1</v>
      </c>
      <c r="O1" s="174"/>
      <c r="P1" s="155" t="s">
        <v>2</v>
      </c>
      <c r="Q1" s="155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75" t="s">
        <v>7</v>
      </c>
      <c r="B4" s="176"/>
      <c r="C4" s="176"/>
      <c r="D4" s="177"/>
      <c r="E4" s="9"/>
      <c r="F4" s="178" t="s">
        <v>8</v>
      </c>
      <c r="G4" s="180">
        <v>1</v>
      </c>
      <c r="H4" s="182" t="s">
        <v>9</v>
      </c>
      <c r="I4" s="184">
        <v>45798</v>
      </c>
      <c r="J4" s="185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88" t="s">
        <v>7</v>
      </c>
      <c r="B5" s="18" t="s">
        <v>11</v>
      </c>
      <c r="C5" s="12" t="s">
        <v>12</v>
      </c>
      <c r="D5" s="28" t="s">
        <v>13</v>
      </c>
      <c r="E5" s="9"/>
      <c r="F5" s="179"/>
      <c r="G5" s="181"/>
      <c r="H5" s="183"/>
      <c r="I5" s="186"/>
      <c r="J5" s="187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89"/>
      <c r="B6" s="19" t="s">
        <v>15</v>
      </c>
      <c r="C6" s="53">
        <v>164</v>
      </c>
      <c r="D6" s="16">
        <f t="shared" ref="D6:D28" si="1">C6*L6</f>
        <v>120868</v>
      </c>
      <c r="E6" s="9"/>
      <c r="F6" s="191" t="s">
        <v>16</v>
      </c>
      <c r="G6" s="193" t="s">
        <v>128</v>
      </c>
      <c r="H6" s="194"/>
      <c r="I6" s="194"/>
      <c r="J6" s="195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89"/>
      <c r="B7" s="19" t="s">
        <v>18</v>
      </c>
      <c r="C7" s="53">
        <v>9</v>
      </c>
      <c r="D7" s="16">
        <f t="shared" si="1"/>
        <v>6525</v>
      </c>
      <c r="E7" s="9"/>
      <c r="F7" s="192"/>
      <c r="G7" s="196"/>
      <c r="H7" s="197"/>
      <c r="I7" s="197"/>
      <c r="J7" s="198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189"/>
      <c r="B8" s="19" t="s">
        <v>20</v>
      </c>
      <c r="C8" s="53"/>
      <c r="D8" s="16">
        <f t="shared" si="1"/>
        <v>0</v>
      </c>
      <c r="E8" s="9"/>
      <c r="F8" s="199" t="s">
        <v>21</v>
      </c>
      <c r="G8" s="201" t="s">
        <v>113</v>
      </c>
      <c r="H8" s="202"/>
      <c r="I8" s="202"/>
      <c r="J8" s="203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189"/>
      <c r="B9" s="19" t="s">
        <v>23</v>
      </c>
      <c r="C9" s="53">
        <v>30</v>
      </c>
      <c r="D9" s="16">
        <f t="shared" si="1"/>
        <v>21210</v>
      </c>
      <c r="E9" s="9"/>
      <c r="F9" s="192"/>
      <c r="G9" s="204"/>
      <c r="H9" s="205"/>
      <c r="I9" s="205"/>
      <c r="J9" s="206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189"/>
      <c r="B10" s="11" t="s">
        <v>25</v>
      </c>
      <c r="C10" s="53">
        <v>2</v>
      </c>
      <c r="D10" s="16">
        <f t="shared" si="1"/>
        <v>1944</v>
      </c>
      <c r="E10" s="9"/>
      <c r="F10" s="191" t="s">
        <v>26</v>
      </c>
      <c r="G10" s="207" t="s">
        <v>132</v>
      </c>
      <c r="H10" s="208"/>
      <c r="I10" s="208"/>
      <c r="J10" s="209"/>
      <c r="K10" s="10"/>
      <c r="L10" s="6">
        <f>R36</f>
        <v>972</v>
      </c>
      <c r="P10" s="4"/>
      <c r="Q10" s="4"/>
      <c r="R10" s="5"/>
    </row>
    <row r="11" spans="1:18" ht="15.75" x14ac:dyDescent="0.25">
      <c r="A11" s="189"/>
      <c r="B11" s="20" t="s">
        <v>28</v>
      </c>
      <c r="C11" s="53">
        <v>2</v>
      </c>
      <c r="D11" s="16">
        <f t="shared" si="1"/>
        <v>2250</v>
      </c>
      <c r="E11" s="9"/>
      <c r="F11" s="192"/>
      <c r="G11" s="204"/>
      <c r="H11" s="205"/>
      <c r="I11" s="205"/>
      <c r="J11" s="206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89"/>
      <c r="B12" s="20" t="s">
        <v>30</v>
      </c>
      <c r="C12" s="53"/>
      <c r="D12" s="52">
        <f t="shared" si="1"/>
        <v>0</v>
      </c>
      <c r="E12" s="9"/>
      <c r="F12" s="210" t="s">
        <v>33</v>
      </c>
      <c r="G12" s="211"/>
      <c r="H12" s="211"/>
      <c r="I12" s="211"/>
      <c r="J12" s="212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89"/>
      <c r="B13" s="20" t="s">
        <v>32</v>
      </c>
      <c r="C13" s="53">
        <v>10</v>
      </c>
      <c r="D13" s="52">
        <f t="shared" si="1"/>
        <v>3070</v>
      </c>
      <c r="E13" s="9"/>
      <c r="F13" s="213" t="s">
        <v>36</v>
      </c>
      <c r="G13" s="214"/>
      <c r="H13" s="215">
        <f>D29</f>
        <v>164053</v>
      </c>
      <c r="I13" s="216"/>
      <c r="J13" s="217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89"/>
      <c r="B14" s="17" t="s">
        <v>35</v>
      </c>
      <c r="C14" s="53">
        <v>11</v>
      </c>
      <c r="D14" s="34">
        <f t="shared" si="1"/>
        <v>121</v>
      </c>
      <c r="E14" s="9"/>
      <c r="F14" s="218" t="s">
        <v>39</v>
      </c>
      <c r="G14" s="219"/>
      <c r="H14" s="220">
        <f>D54</f>
        <v>24753.75</v>
      </c>
      <c r="I14" s="221"/>
      <c r="J14" s="222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89"/>
      <c r="B15" s="17" t="s">
        <v>38</v>
      </c>
      <c r="C15" s="53"/>
      <c r="D15" s="34">
        <f t="shared" si="1"/>
        <v>0</v>
      </c>
      <c r="E15" s="9"/>
      <c r="F15" s="223" t="s">
        <v>40</v>
      </c>
      <c r="G15" s="214"/>
      <c r="H15" s="224">
        <f>H13-H14</f>
        <v>139299.25</v>
      </c>
      <c r="I15" s="225"/>
      <c r="J15" s="226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89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227"/>
      <c r="I16" s="227"/>
      <c r="J16" s="22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89"/>
      <c r="B17" s="11" t="s">
        <v>137</v>
      </c>
      <c r="C17" s="53"/>
      <c r="D17" s="52">
        <f t="shared" si="1"/>
        <v>0</v>
      </c>
      <c r="E17" s="9"/>
      <c r="F17" s="62"/>
      <c r="G17" s="74" t="s">
        <v>45</v>
      </c>
      <c r="H17" s="200"/>
      <c r="I17" s="200"/>
      <c r="J17" s="200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89"/>
      <c r="B18" s="22" t="s">
        <v>95</v>
      </c>
      <c r="C18" s="53">
        <v>1</v>
      </c>
      <c r="D18" s="52">
        <f t="shared" si="1"/>
        <v>620</v>
      </c>
      <c r="E18" s="9"/>
      <c r="F18" s="62"/>
      <c r="G18" s="74" t="s">
        <v>47</v>
      </c>
      <c r="H18" s="200"/>
      <c r="I18" s="200"/>
      <c r="J18" s="200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89"/>
      <c r="B19" s="17" t="s">
        <v>140</v>
      </c>
      <c r="C19" s="53"/>
      <c r="D19" s="52">
        <f t="shared" si="1"/>
        <v>0</v>
      </c>
      <c r="E19" s="9"/>
      <c r="F19" s="62"/>
      <c r="G19" s="76" t="s">
        <v>50</v>
      </c>
      <c r="H19" s="200"/>
      <c r="I19" s="200"/>
      <c r="J19" s="200"/>
      <c r="L19" s="6">
        <v>1102</v>
      </c>
      <c r="Q19" s="4"/>
      <c r="R19" s="5">
        <f t="shared" si="0"/>
        <v>0</v>
      </c>
    </row>
    <row r="20" spans="1:18" ht="15.75" x14ac:dyDescent="0.25">
      <c r="A20" s="189"/>
      <c r="B20" s="97" t="s">
        <v>139</v>
      </c>
      <c r="C20" s="53"/>
      <c r="D20" s="16">
        <f t="shared" si="1"/>
        <v>0</v>
      </c>
      <c r="E20" s="9"/>
      <c r="F20" s="63"/>
      <c r="G20" s="78" t="s">
        <v>124</v>
      </c>
      <c r="H20" s="227"/>
      <c r="I20" s="227"/>
      <c r="J20" s="227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89"/>
      <c r="B21" s="17" t="s">
        <v>145</v>
      </c>
      <c r="C21" s="53">
        <f>2+1</f>
        <v>3</v>
      </c>
      <c r="D21" s="52">
        <f t="shared" si="1"/>
        <v>1950</v>
      </c>
      <c r="E21" s="9"/>
      <c r="F21" s="77" t="s">
        <v>99</v>
      </c>
      <c r="G21" s="92" t="s">
        <v>98</v>
      </c>
      <c r="H21" s="246" t="s">
        <v>13</v>
      </c>
      <c r="I21" s="247"/>
      <c r="J21" s="248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89"/>
      <c r="B22" s="50" t="s">
        <v>110</v>
      </c>
      <c r="C22" s="53"/>
      <c r="D22" s="52">
        <f t="shared" si="1"/>
        <v>0</v>
      </c>
      <c r="E22" s="9"/>
      <c r="F22" s="85"/>
      <c r="G22" s="81"/>
      <c r="H22" s="249"/>
      <c r="I22" s="249"/>
      <c r="J22" s="249"/>
      <c r="L22" s="7">
        <v>1142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89"/>
      <c r="B23" s="17" t="s">
        <v>125</v>
      </c>
      <c r="C23" s="53"/>
      <c r="D23" s="52">
        <f t="shared" si="1"/>
        <v>0</v>
      </c>
      <c r="E23" s="9"/>
      <c r="F23" s="85"/>
      <c r="G23" s="87"/>
      <c r="H23" s="250"/>
      <c r="I23" s="251"/>
      <c r="J23" s="251"/>
      <c r="L23" s="51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89"/>
      <c r="B24" s="17" t="s">
        <v>126</v>
      </c>
      <c r="C24" s="53"/>
      <c r="D24" s="52">
        <f t="shared" si="1"/>
        <v>0</v>
      </c>
      <c r="E24" s="9"/>
      <c r="F24" s="85"/>
      <c r="G24" s="87"/>
      <c r="H24" s="250"/>
      <c r="I24" s="251"/>
      <c r="J24" s="251"/>
      <c r="L24" s="51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89"/>
      <c r="B25" s="17" t="s">
        <v>121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52" t="s">
        <v>13</v>
      </c>
      <c r="I25" s="253"/>
      <c r="J25" s="254"/>
      <c r="L25" s="51">
        <f>852/24+1.5</f>
        <v>37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89"/>
      <c r="B26" s="17" t="s">
        <v>112</v>
      </c>
      <c r="C26" s="53"/>
      <c r="D26" s="52">
        <f t="shared" si="1"/>
        <v>0</v>
      </c>
      <c r="E26" s="9"/>
      <c r="F26" s="83"/>
      <c r="G26" s="73"/>
      <c r="H26" s="255"/>
      <c r="I26" s="255"/>
      <c r="J26" s="255"/>
      <c r="L26" s="7">
        <f>500/24+1.5</f>
        <v>22.333333333333332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89"/>
      <c r="B27" s="17" t="s">
        <v>120</v>
      </c>
      <c r="C27" s="53"/>
      <c r="D27" s="48">
        <f t="shared" si="1"/>
        <v>0</v>
      </c>
      <c r="E27" s="9"/>
      <c r="F27" s="79"/>
      <c r="G27" s="153"/>
      <c r="H27" s="256"/>
      <c r="I27" s="257"/>
      <c r="J27" s="257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90"/>
      <c r="B28" s="50" t="s">
        <v>97</v>
      </c>
      <c r="C28" s="53">
        <v>7</v>
      </c>
      <c r="D28" s="52">
        <f t="shared" si="1"/>
        <v>5495</v>
      </c>
      <c r="E28" s="9"/>
      <c r="F28" s="60"/>
      <c r="G28" s="68"/>
      <c r="H28" s="258"/>
      <c r="I28" s="259"/>
      <c r="J28" s="260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28" t="s">
        <v>36</v>
      </c>
      <c r="B29" s="229"/>
      <c r="C29" s="230"/>
      <c r="D29" s="234">
        <f>SUM(D6:D28)</f>
        <v>164053</v>
      </c>
      <c r="E29" s="9"/>
      <c r="F29" s="236" t="s">
        <v>55</v>
      </c>
      <c r="G29" s="237"/>
      <c r="H29" s="240">
        <f>H15-H16-H17-H18-H19-H20-H22-H23-H24+H26+H27+H28</f>
        <v>139299.25</v>
      </c>
      <c r="I29" s="241"/>
      <c r="J29" s="242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231"/>
      <c r="B30" s="232"/>
      <c r="C30" s="233"/>
      <c r="D30" s="235"/>
      <c r="E30" s="9"/>
      <c r="F30" s="238"/>
      <c r="G30" s="239"/>
      <c r="H30" s="243"/>
      <c r="I30" s="244"/>
      <c r="J30" s="245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5" t="s">
        <v>58</v>
      </c>
      <c r="B32" s="176"/>
      <c r="C32" s="176"/>
      <c r="D32" s="177"/>
      <c r="E32" s="11"/>
      <c r="F32" s="261" t="s">
        <v>59</v>
      </c>
      <c r="G32" s="262"/>
      <c r="H32" s="262"/>
      <c r="I32" s="262"/>
      <c r="J32" s="263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56" t="s">
        <v>63</v>
      </c>
      <c r="H33" s="261" t="s">
        <v>13</v>
      </c>
      <c r="I33" s="262"/>
      <c r="J33" s="263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88" t="s">
        <v>65</v>
      </c>
      <c r="B34" s="29" t="s">
        <v>66</v>
      </c>
      <c r="C34" s="56">
        <v>1</v>
      </c>
      <c r="D34" s="33">
        <f>C34*120</f>
        <v>120</v>
      </c>
      <c r="E34" s="9"/>
      <c r="F34" s="15">
        <v>1000</v>
      </c>
      <c r="G34" s="44">
        <v>117</v>
      </c>
      <c r="H34" s="264">
        <f t="shared" ref="H34:H39" si="2">F34*G34</f>
        <v>117000</v>
      </c>
      <c r="I34" s="265"/>
      <c r="J34" s="266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89"/>
      <c r="B35" s="30" t="s">
        <v>68</v>
      </c>
      <c r="C35" s="57"/>
      <c r="D35" s="33">
        <f>C35*84</f>
        <v>0</v>
      </c>
      <c r="E35" s="9"/>
      <c r="F35" s="64">
        <v>500</v>
      </c>
      <c r="G35" s="45">
        <v>33</v>
      </c>
      <c r="H35" s="264">
        <f t="shared" si="2"/>
        <v>16500</v>
      </c>
      <c r="I35" s="265"/>
      <c r="J35" s="266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90"/>
      <c r="B36" s="29" t="s">
        <v>70</v>
      </c>
      <c r="C36" s="53">
        <v>23</v>
      </c>
      <c r="D36" s="15">
        <f>C36*1.5</f>
        <v>34.5</v>
      </c>
      <c r="E36" s="9"/>
      <c r="F36" s="15">
        <v>200</v>
      </c>
      <c r="G36" s="41">
        <v>2</v>
      </c>
      <c r="H36" s="264">
        <f t="shared" si="2"/>
        <v>400</v>
      </c>
      <c r="I36" s="265"/>
      <c r="J36" s="266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88" t="s">
        <v>72</v>
      </c>
      <c r="B37" s="31" t="s">
        <v>66</v>
      </c>
      <c r="C37" s="58">
        <v>193</v>
      </c>
      <c r="D37" s="15">
        <f>C37*111</f>
        <v>21423</v>
      </c>
      <c r="E37" s="9"/>
      <c r="F37" s="15">
        <v>100</v>
      </c>
      <c r="G37" s="43">
        <v>50</v>
      </c>
      <c r="H37" s="264">
        <f t="shared" si="2"/>
        <v>5000</v>
      </c>
      <c r="I37" s="265"/>
      <c r="J37" s="266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89"/>
      <c r="B38" s="32" t="s">
        <v>68</v>
      </c>
      <c r="C38" s="59">
        <v>9</v>
      </c>
      <c r="D38" s="15">
        <f>C38*84</f>
        <v>756</v>
      </c>
      <c r="E38" s="9"/>
      <c r="F38" s="33">
        <v>50</v>
      </c>
      <c r="G38" s="43">
        <v>18</v>
      </c>
      <c r="H38" s="264">
        <f t="shared" si="2"/>
        <v>900</v>
      </c>
      <c r="I38" s="265"/>
      <c r="J38" s="266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90"/>
      <c r="B39" s="32" t="s">
        <v>70</v>
      </c>
      <c r="C39" s="57">
        <v>1</v>
      </c>
      <c r="D39" s="34">
        <f>C39*4.5</f>
        <v>4.5</v>
      </c>
      <c r="E39" s="9"/>
      <c r="F39" s="15">
        <v>20</v>
      </c>
      <c r="G39" s="41">
        <v>3</v>
      </c>
      <c r="H39" s="264">
        <f t="shared" si="2"/>
        <v>60</v>
      </c>
      <c r="I39" s="265"/>
      <c r="J39" s="266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88" t="s">
        <v>76</v>
      </c>
      <c r="B40" s="30" t="s">
        <v>66</v>
      </c>
      <c r="C40" s="70">
        <v>9</v>
      </c>
      <c r="D40" s="15">
        <f>C40*111</f>
        <v>999</v>
      </c>
      <c r="E40" s="9"/>
      <c r="F40" s="15">
        <v>10</v>
      </c>
      <c r="G40" s="46"/>
      <c r="H40" s="264"/>
      <c r="I40" s="265"/>
      <c r="J40" s="266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89"/>
      <c r="B41" s="30" t="s">
        <v>68</v>
      </c>
      <c r="C41" s="53">
        <v>1</v>
      </c>
      <c r="D41" s="15">
        <f>C41*84</f>
        <v>84</v>
      </c>
      <c r="E41" s="9"/>
      <c r="F41" s="15">
        <v>5</v>
      </c>
      <c r="G41" s="46"/>
      <c r="H41" s="264"/>
      <c r="I41" s="265"/>
      <c r="J41" s="266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90"/>
      <c r="B42" s="30" t="s">
        <v>70</v>
      </c>
      <c r="C42" s="71">
        <v>1</v>
      </c>
      <c r="D42" s="15">
        <f>C42*2.25</f>
        <v>2.25</v>
      </c>
      <c r="E42" s="9"/>
      <c r="F42" s="43" t="s">
        <v>79</v>
      </c>
      <c r="G42" s="264">
        <v>51</v>
      </c>
      <c r="H42" s="265"/>
      <c r="I42" s="265"/>
      <c r="J42" s="266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67" t="s">
        <v>81</v>
      </c>
      <c r="C43" s="71"/>
      <c r="D43" s="15"/>
      <c r="E43" s="9"/>
      <c r="F43" s="65" t="s">
        <v>82</v>
      </c>
      <c r="G43" s="153" t="s">
        <v>83</v>
      </c>
      <c r="H43" s="270" t="s">
        <v>13</v>
      </c>
      <c r="I43" s="271"/>
      <c r="J43" s="272"/>
      <c r="K43" s="24"/>
      <c r="O43" t="s">
        <v>103</v>
      </c>
      <c r="P43" s="4">
        <v>1667</v>
      </c>
      <c r="Q43" s="4"/>
      <c r="R43" s="5"/>
    </row>
    <row r="44" spans="1:18" ht="15.75" x14ac:dyDescent="0.25">
      <c r="A44" s="268"/>
      <c r="B44" s="30" t="s">
        <v>66</v>
      </c>
      <c r="C44" s="53">
        <v>3</v>
      </c>
      <c r="D44" s="15">
        <f>C44*120</f>
        <v>360</v>
      </c>
      <c r="E44" s="9"/>
      <c r="F44" s="41"/>
      <c r="G44" s="69"/>
      <c r="H44" s="255"/>
      <c r="I44" s="255"/>
      <c r="J44" s="255"/>
      <c r="K44" s="24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268"/>
      <c r="B45" s="30" t="s">
        <v>68</v>
      </c>
      <c r="C45" s="90">
        <v>2</v>
      </c>
      <c r="D45" s="15">
        <f>C45*84</f>
        <v>168</v>
      </c>
      <c r="E45" s="9"/>
      <c r="F45" s="41"/>
      <c r="G45" s="69"/>
      <c r="H45" s="255"/>
      <c r="I45" s="255"/>
      <c r="J45" s="255"/>
      <c r="K45" s="24"/>
      <c r="P45" s="4"/>
      <c r="Q45" s="4"/>
      <c r="R45" s="5"/>
    </row>
    <row r="46" spans="1:18" ht="15.75" x14ac:dyDescent="0.25">
      <c r="A46" s="268"/>
      <c r="B46" s="54" t="s">
        <v>70</v>
      </c>
      <c r="C46" s="91">
        <v>13</v>
      </c>
      <c r="D46" s="15">
        <f>C46*1.5</f>
        <v>19.5</v>
      </c>
      <c r="E46" s="9"/>
      <c r="F46" s="41"/>
      <c r="G46" s="69"/>
      <c r="H46" s="255"/>
      <c r="I46" s="255"/>
      <c r="J46" s="255"/>
      <c r="K46" s="24"/>
      <c r="P46" s="4"/>
      <c r="Q46" s="4"/>
      <c r="R46" s="5"/>
    </row>
    <row r="47" spans="1:18" ht="15.75" x14ac:dyDescent="0.25">
      <c r="A47" s="269"/>
      <c r="B47" s="30"/>
      <c r="C47" s="71"/>
      <c r="D47" s="15"/>
      <c r="E47" s="9"/>
      <c r="F47" s="65"/>
      <c r="G47" s="65"/>
      <c r="H47" s="273"/>
      <c r="I47" s="274"/>
      <c r="J47" s="275"/>
      <c r="K47" s="24"/>
      <c r="P47" s="4"/>
      <c r="Q47" s="4"/>
      <c r="R47" s="5"/>
    </row>
    <row r="48" spans="1:18" ht="15" customHeight="1" x14ac:dyDescent="0.25">
      <c r="A48" s="267" t="s">
        <v>32</v>
      </c>
      <c r="B48" s="30" t="s">
        <v>66</v>
      </c>
      <c r="C48" s="53">
        <v>8</v>
      </c>
      <c r="D48" s="15">
        <f>C48*78</f>
        <v>624</v>
      </c>
      <c r="E48" s="9"/>
      <c r="F48" s="65"/>
      <c r="G48" s="65"/>
      <c r="H48" s="273"/>
      <c r="I48" s="274"/>
      <c r="J48" s="275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68"/>
      <c r="B49" s="32" t="s">
        <v>68</v>
      </c>
      <c r="C49" s="90">
        <v>3</v>
      </c>
      <c r="D49" s="15">
        <f>C49*42</f>
        <v>126</v>
      </c>
      <c r="E49" s="9"/>
      <c r="F49" s="288" t="s">
        <v>86</v>
      </c>
      <c r="G49" s="240">
        <f>H34+H35+H36+H37+H38+H39+H40+H41+G42+H44+H45+H46</f>
        <v>139911</v>
      </c>
      <c r="H49" s="241"/>
      <c r="I49" s="241"/>
      <c r="J49" s="242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68"/>
      <c r="B50" s="35" t="s">
        <v>70</v>
      </c>
      <c r="C50" s="71">
        <v>22</v>
      </c>
      <c r="D50" s="15">
        <f>C50*1.5</f>
        <v>33</v>
      </c>
      <c r="E50" s="9"/>
      <c r="F50" s="289"/>
      <c r="G50" s="243"/>
      <c r="H50" s="244"/>
      <c r="I50" s="244"/>
      <c r="J50" s="245"/>
      <c r="K50" s="9"/>
      <c r="P50" s="4"/>
      <c r="Q50" s="4"/>
      <c r="R50" s="5"/>
    </row>
    <row r="51" spans="1:18" ht="15" customHeight="1" x14ac:dyDescent="0.25">
      <c r="A51" s="268"/>
      <c r="B51" s="30"/>
      <c r="C51" s="13"/>
      <c r="D51" s="34"/>
      <c r="E51" s="9"/>
      <c r="F51" s="290" t="s">
        <v>147</v>
      </c>
      <c r="G51" s="320">
        <f>G49-H29</f>
        <v>611.75</v>
      </c>
      <c r="H51" s="321"/>
      <c r="I51" s="321"/>
      <c r="J51" s="322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68"/>
      <c r="B52" s="32"/>
      <c r="C52" s="36"/>
      <c r="D52" s="49"/>
      <c r="E52" s="9"/>
      <c r="F52" s="291"/>
      <c r="G52" s="323"/>
      <c r="H52" s="324"/>
      <c r="I52" s="324"/>
      <c r="J52" s="325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69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236" t="s">
        <v>90</v>
      </c>
      <c r="B54" s="276"/>
      <c r="C54" s="277"/>
      <c r="D54" s="280">
        <f>SUM(D34:D53)</f>
        <v>24753.75</v>
      </c>
      <c r="E54" s="9"/>
      <c r="F54" s="24"/>
      <c r="G54" s="9"/>
      <c r="H54" s="9"/>
      <c r="I54" s="9"/>
      <c r="J54" s="37"/>
      <c r="O54" t="s">
        <v>102</v>
      </c>
      <c r="P54" s="4">
        <v>1582</v>
      </c>
      <c r="R54" s="3">
        <v>1582</v>
      </c>
    </row>
    <row r="55" spans="1:18" x14ac:dyDescent="0.25">
      <c r="A55" s="238"/>
      <c r="B55" s="278"/>
      <c r="C55" s="279"/>
      <c r="D55" s="281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129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282" t="s">
        <v>91</v>
      </c>
      <c r="B58" s="283"/>
      <c r="C58" s="283"/>
      <c r="D58" s="284"/>
      <c r="E58" s="9"/>
      <c r="F58" s="282" t="s">
        <v>92</v>
      </c>
      <c r="G58" s="283"/>
      <c r="H58" s="283"/>
      <c r="I58" s="283"/>
      <c r="J58" s="284"/>
    </row>
    <row r="59" spans="1:18" x14ac:dyDescent="0.25">
      <c r="A59" s="285"/>
      <c r="B59" s="286"/>
      <c r="C59" s="286"/>
      <c r="D59" s="287"/>
      <c r="E59" s="9"/>
      <c r="F59" s="285"/>
      <c r="G59" s="286"/>
      <c r="H59" s="286"/>
      <c r="I59" s="286"/>
      <c r="J59" s="287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46323-76DC-43A3-9B17-8A2A3753AE2D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174" t="s">
        <v>1</v>
      </c>
      <c r="O1" s="174"/>
      <c r="P1" s="155" t="s">
        <v>2</v>
      </c>
      <c r="Q1" s="155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75" t="s">
        <v>7</v>
      </c>
      <c r="B4" s="176"/>
      <c r="C4" s="176"/>
      <c r="D4" s="177"/>
      <c r="E4" s="9"/>
      <c r="F4" s="178" t="s">
        <v>8</v>
      </c>
      <c r="G4" s="180">
        <v>2</v>
      </c>
      <c r="H4" s="182" t="s">
        <v>9</v>
      </c>
      <c r="I4" s="184">
        <v>45798</v>
      </c>
      <c r="J4" s="185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88" t="s">
        <v>7</v>
      </c>
      <c r="B5" s="18" t="s">
        <v>11</v>
      </c>
      <c r="C5" s="12" t="s">
        <v>12</v>
      </c>
      <c r="D5" s="28" t="s">
        <v>13</v>
      </c>
      <c r="E5" s="9"/>
      <c r="F5" s="179"/>
      <c r="G5" s="181"/>
      <c r="H5" s="183"/>
      <c r="I5" s="186"/>
      <c r="J5" s="187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89"/>
      <c r="B6" s="19" t="s">
        <v>15</v>
      </c>
      <c r="C6" s="53">
        <v>308</v>
      </c>
      <c r="D6" s="16">
        <f t="shared" ref="D6:D28" si="1">C6*L6</f>
        <v>226996</v>
      </c>
      <c r="E6" s="9"/>
      <c r="F6" s="191" t="s">
        <v>16</v>
      </c>
      <c r="G6" s="193" t="s">
        <v>127</v>
      </c>
      <c r="H6" s="194"/>
      <c r="I6" s="194"/>
      <c r="J6" s="195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89"/>
      <c r="B7" s="19" t="s">
        <v>18</v>
      </c>
      <c r="C7" s="53"/>
      <c r="D7" s="16">
        <f t="shared" si="1"/>
        <v>0</v>
      </c>
      <c r="E7" s="9"/>
      <c r="F7" s="192"/>
      <c r="G7" s="196"/>
      <c r="H7" s="197"/>
      <c r="I7" s="197"/>
      <c r="J7" s="198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189"/>
      <c r="B8" s="19" t="s">
        <v>20</v>
      </c>
      <c r="C8" s="53"/>
      <c r="D8" s="16">
        <f t="shared" si="1"/>
        <v>0</v>
      </c>
      <c r="E8" s="9"/>
      <c r="F8" s="199" t="s">
        <v>21</v>
      </c>
      <c r="G8" s="201" t="s">
        <v>115</v>
      </c>
      <c r="H8" s="202"/>
      <c r="I8" s="202"/>
      <c r="J8" s="203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189"/>
      <c r="B9" s="19" t="s">
        <v>23</v>
      </c>
      <c r="C9" s="53">
        <v>14</v>
      </c>
      <c r="D9" s="16">
        <f t="shared" si="1"/>
        <v>9898</v>
      </c>
      <c r="E9" s="9"/>
      <c r="F9" s="192"/>
      <c r="G9" s="204"/>
      <c r="H9" s="205"/>
      <c r="I9" s="205"/>
      <c r="J9" s="206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189"/>
      <c r="B10" s="11" t="s">
        <v>25</v>
      </c>
      <c r="C10" s="53">
        <v>1</v>
      </c>
      <c r="D10" s="16">
        <f t="shared" si="1"/>
        <v>972</v>
      </c>
      <c r="E10" s="9"/>
      <c r="F10" s="191" t="s">
        <v>26</v>
      </c>
      <c r="G10" s="207" t="s">
        <v>116</v>
      </c>
      <c r="H10" s="208"/>
      <c r="I10" s="208"/>
      <c r="J10" s="209"/>
      <c r="K10" s="10"/>
      <c r="L10" s="6">
        <f>R36</f>
        <v>972</v>
      </c>
      <c r="P10" s="4"/>
      <c r="Q10" s="4"/>
      <c r="R10" s="5"/>
    </row>
    <row r="11" spans="1:18" ht="15.75" x14ac:dyDescent="0.25">
      <c r="A11" s="189"/>
      <c r="B11" s="20" t="s">
        <v>28</v>
      </c>
      <c r="C11" s="53"/>
      <c r="D11" s="16">
        <f t="shared" si="1"/>
        <v>0</v>
      </c>
      <c r="E11" s="9"/>
      <c r="F11" s="192"/>
      <c r="G11" s="204"/>
      <c r="H11" s="205"/>
      <c r="I11" s="205"/>
      <c r="J11" s="206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89"/>
      <c r="B12" s="20" t="s">
        <v>30</v>
      </c>
      <c r="C12" s="53">
        <v>1</v>
      </c>
      <c r="D12" s="52">
        <f t="shared" si="1"/>
        <v>952</v>
      </c>
      <c r="E12" s="9"/>
      <c r="F12" s="210" t="s">
        <v>33</v>
      </c>
      <c r="G12" s="211"/>
      <c r="H12" s="211"/>
      <c r="I12" s="211"/>
      <c r="J12" s="212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89"/>
      <c r="B13" s="20" t="s">
        <v>32</v>
      </c>
      <c r="C13" s="53">
        <v>15</v>
      </c>
      <c r="D13" s="52">
        <f t="shared" si="1"/>
        <v>4605</v>
      </c>
      <c r="E13" s="9"/>
      <c r="F13" s="213" t="s">
        <v>36</v>
      </c>
      <c r="G13" s="214"/>
      <c r="H13" s="215">
        <f>D29</f>
        <v>244296</v>
      </c>
      <c r="I13" s="216"/>
      <c r="J13" s="217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89"/>
      <c r="B14" s="17" t="s">
        <v>35</v>
      </c>
      <c r="C14" s="53">
        <v>8</v>
      </c>
      <c r="D14" s="34">
        <f t="shared" si="1"/>
        <v>88</v>
      </c>
      <c r="E14" s="9"/>
      <c r="F14" s="218" t="s">
        <v>39</v>
      </c>
      <c r="G14" s="219"/>
      <c r="H14" s="220">
        <f>D54</f>
        <v>37374</v>
      </c>
      <c r="I14" s="221"/>
      <c r="J14" s="222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89"/>
      <c r="B15" s="17" t="s">
        <v>38</v>
      </c>
      <c r="C15" s="53"/>
      <c r="D15" s="34">
        <f t="shared" si="1"/>
        <v>0</v>
      </c>
      <c r="E15" s="9"/>
      <c r="F15" s="223" t="s">
        <v>40</v>
      </c>
      <c r="G15" s="214"/>
      <c r="H15" s="224">
        <f>H13-H14</f>
        <v>206922</v>
      </c>
      <c r="I15" s="225"/>
      <c r="J15" s="226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89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227">
        <f>2025</f>
        <v>2025</v>
      </c>
      <c r="I16" s="227"/>
      <c r="J16" s="22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89"/>
      <c r="B17" s="11" t="s">
        <v>93</v>
      </c>
      <c r="C17" s="53"/>
      <c r="D17" s="52">
        <f t="shared" si="1"/>
        <v>0</v>
      </c>
      <c r="E17" s="9"/>
      <c r="F17" s="62"/>
      <c r="G17" s="74" t="s">
        <v>45</v>
      </c>
      <c r="H17" s="200"/>
      <c r="I17" s="200"/>
      <c r="J17" s="200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89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200"/>
      <c r="I18" s="200"/>
      <c r="J18" s="200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89"/>
      <c r="B19" s="17" t="s">
        <v>96</v>
      </c>
      <c r="C19" s="53"/>
      <c r="D19" s="52">
        <f t="shared" si="1"/>
        <v>0</v>
      </c>
      <c r="E19" s="9"/>
      <c r="F19" s="62"/>
      <c r="G19" s="76" t="s">
        <v>50</v>
      </c>
      <c r="H19" s="298"/>
      <c r="I19" s="298"/>
      <c r="J19" s="298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89"/>
      <c r="B20" s="50" t="s">
        <v>131</v>
      </c>
      <c r="C20" s="53"/>
      <c r="D20" s="16">
        <f t="shared" si="1"/>
        <v>0</v>
      </c>
      <c r="E20" s="9"/>
      <c r="F20" s="63"/>
      <c r="G20" s="78" t="s">
        <v>124</v>
      </c>
      <c r="H20" s="227">
        <f>626*3</f>
        <v>1878</v>
      </c>
      <c r="I20" s="227"/>
      <c r="J20" s="227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89"/>
      <c r="B21" s="17" t="s">
        <v>130</v>
      </c>
      <c r="C21" s="53"/>
      <c r="D21" s="52">
        <f t="shared" si="1"/>
        <v>0</v>
      </c>
      <c r="E21" s="9"/>
      <c r="F21" s="77" t="s">
        <v>99</v>
      </c>
      <c r="G21" s="92" t="s">
        <v>98</v>
      </c>
      <c r="H21" s="246" t="s">
        <v>13</v>
      </c>
      <c r="I21" s="247"/>
      <c r="J21" s="248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89"/>
      <c r="B22" s="50" t="s">
        <v>104</v>
      </c>
      <c r="C22" s="53"/>
      <c r="D22" s="52">
        <f t="shared" si="1"/>
        <v>0</v>
      </c>
      <c r="E22" s="9"/>
      <c r="F22" s="80"/>
      <c r="G22" s="81"/>
      <c r="H22" s="249"/>
      <c r="I22" s="249"/>
      <c r="J22" s="249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89"/>
      <c r="B23" s="17" t="s">
        <v>107</v>
      </c>
      <c r="C23" s="53"/>
      <c r="D23" s="52">
        <f t="shared" si="1"/>
        <v>0</v>
      </c>
      <c r="E23" s="9"/>
      <c r="F23" s="28"/>
      <c r="G23" s="41"/>
      <c r="H23" s="299"/>
      <c r="I23" s="255"/>
      <c r="J23" s="255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89"/>
      <c r="B24" s="17" t="s">
        <v>133</v>
      </c>
      <c r="C24" s="53"/>
      <c r="D24" s="52">
        <f t="shared" si="1"/>
        <v>0</v>
      </c>
      <c r="E24" s="9"/>
      <c r="F24" s="42"/>
      <c r="G24" s="41"/>
      <c r="H24" s="299"/>
      <c r="I24" s="255"/>
      <c r="J24" s="255"/>
      <c r="L24" s="51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89"/>
      <c r="B25" s="17" t="s">
        <v>134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52" t="s">
        <v>13</v>
      </c>
      <c r="I25" s="253"/>
      <c r="J25" s="254"/>
      <c r="L25" s="51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89"/>
      <c r="B26" s="17" t="s">
        <v>105</v>
      </c>
      <c r="C26" s="53"/>
      <c r="D26" s="52">
        <f t="shared" si="1"/>
        <v>0</v>
      </c>
      <c r="E26" s="9"/>
      <c r="F26" s="72"/>
      <c r="G26" s="13"/>
      <c r="H26" s="300"/>
      <c r="I26" s="301"/>
      <c r="J26" s="302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89"/>
      <c r="B27" s="17" t="s">
        <v>109</v>
      </c>
      <c r="C27" s="53"/>
      <c r="D27" s="48">
        <f t="shared" si="1"/>
        <v>0</v>
      </c>
      <c r="E27" s="9"/>
      <c r="F27" s="67"/>
      <c r="G27" s="67"/>
      <c r="H27" s="303"/>
      <c r="I27" s="304"/>
      <c r="J27" s="305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90"/>
      <c r="B28" s="50" t="s">
        <v>97</v>
      </c>
      <c r="C28" s="53">
        <v>1</v>
      </c>
      <c r="D28" s="52">
        <f t="shared" si="1"/>
        <v>785</v>
      </c>
      <c r="E28" s="9"/>
      <c r="F28" s="60"/>
      <c r="G28" s="68"/>
      <c r="H28" s="258"/>
      <c r="I28" s="259"/>
      <c r="J28" s="260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28" t="s">
        <v>36</v>
      </c>
      <c r="B29" s="229"/>
      <c r="C29" s="230"/>
      <c r="D29" s="234">
        <f>SUM(D6:D28)</f>
        <v>244296</v>
      </c>
      <c r="E29" s="9"/>
      <c r="F29" s="236" t="s">
        <v>55</v>
      </c>
      <c r="G29" s="237"/>
      <c r="H29" s="240">
        <f>H15-H16-H17-H18-H19-H20-H22-H23-H24+H26+H27</f>
        <v>203019</v>
      </c>
      <c r="I29" s="241"/>
      <c r="J29" s="242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231"/>
      <c r="B30" s="232"/>
      <c r="C30" s="233"/>
      <c r="D30" s="235"/>
      <c r="E30" s="9"/>
      <c r="F30" s="238"/>
      <c r="G30" s="239"/>
      <c r="H30" s="243"/>
      <c r="I30" s="244"/>
      <c r="J30" s="245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5" t="s">
        <v>58</v>
      </c>
      <c r="B32" s="176"/>
      <c r="C32" s="176"/>
      <c r="D32" s="177"/>
      <c r="E32" s="11"/>
      <c r="F32" s="261" t="s">
        <v>59</v>
      </c>
      <c r="G32" s="262"/>
      <c r="H32" s="262"/>
      <c r="I32" s="262"/>
      <c r="J32" s="263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56" t="s">
        <v>63</v>
      </c>
      <c r="H33" s="261" t="s">
        <v>13</v>
      </c>
      <c r="I33" s="262"/>
      <c r="J33" s="263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88" t="s">
        <v>65</v>
      </c>
      <c r="B34" s="29" t="s">
        <v>66</v>
      </c>
      <c r="C34" s="56">
        <v>1</v>
      </c>
      <c r="D34" s="33">
        <f>C34*120</f>
        <v>120</v>
      </c>
      <c r="E34" s="9"/>
      <c r="F34" s="15">
        <v>1000</v>
      </c>
      <c r="G34" s="82">
        <v>51</v>
      </c>
      <c r="H34" s="264">
        <f>F34*G34</f>
        <v>51000</v>
      </c>
      <c r="I34" s="265"/>
      <c r="J34" s="266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89"/>
      <c r="B35" s="30" t="s">
        <v>68</v>
      </c>
      <c r="C35" s="57"/>
      <c r="D35" s="33">
        <f>C35*84</f>
        <v>0</v>
      </c>
      <c r="E35" s="9"/>
      <c r="F35" s="64">
        <v>500</v>
      </c>
      <c r="G35" s="45">
        <v>20</v>
      </c>
      <c r="H35" s="264">
        <f t="shared" ref="H35:H39" si="2">F35*G35</f>
        <v>10000</v>
      </c>
      <c r="I35" s="265"/>
      <c r="J35" s="266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90"/>
      <c r="B36" s="29" t="s">
        <v>70</v>
      </c>
      <c r="C36" s="53"/>
      <c r="D36" s="15">
        <f>C36*1.5</f>
        <v>0</v>
      </c>
      <c r="E36" s="9"/>
      <c r="F36" s="15">
        <v>200</v>
      </c>
      <c r="G36" s="41">
        <v>2</v>
      </c>
      <c r="H36" s="264">
        <f t="shared" si="2"/>
        <v>400</v>
      </c>
      <c r="I36" s="265"/>
      <c r="J36" s="266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88" t="s">
        <v>72</v>
      </c>
      <c r="B37" s="31" t="s">
        <v>66</v>
      </c>
      <c r="C37" s="58">
        <v>317</v>
      </c>
      <c r="D37" s="15">
        <f>C37*111</f>
        <v>35187</v>
      </c>
      <c r="E37" s="9"/>
      <c r="F37" s="15">
        <v>100</v>
      </c>
      <c r="G37" s="43">
        <v>52</v>
      </c>
      <c r="H37" s="264">
        <f t="shared" si="2"/>
        <v>5200</v>
      </c>
      <c r="I37" s="265"/>
      <c r="J37" s="266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89"/>
      <c r="B38" s="32" t="s">
        <v>68</v>
      </c>
      <c r="C38" s="59">
        <v>8</v>
      </c>
      <c r="D38" s="15">
        <f>C38*84</f>
        <v>672</v>
      </c>
      <c r="E38" s="9"/>
      <c r="F38" s="33">
        <v>50</v>
      </c>
      <c r="G38" s="43">
        <v>9</v>
      </c>
      <c r="H38" s="264">
        <f t="shared" si="2"/>
        <v>450</v>
      </c>
      <c r="I38" s="265"/>
      <c r="J38" s="266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90"/>
      <c r="B39" s="32" t="s">
        <v>70</v>
      </c>
      <c r="C39" s="57">
        <v>3</v>
      </c>
      <c r="D39" s="34">
        <f>C39*4.5</f>
        <v>13.5</v>
      </c>
      <c r="E39" s="9"/>
      <c r="F39" s="15">
        <v>20</v>
      </c>
      <c r="G39" s="41">
        <v>2</v>
      </c>
      <c r="H39" s="264">
        <f t="shared" si="2"/>
        <v>40</v>
      </c>
      <c r="I39" s="265"/>
      <c r="J39" s="266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88" t="s">
        <v>76</v>
      </c>
      <c r="B40" s="30" t="s">
        <v>66</v>
      </c>
      <c r="C40" s="70"/>
      <c r="D40" s="15">
        <f>C40*111</f>
        <v>0</v>
      </c>
      <c r="E40" s="9"/>
      <c r="F40" s="15">
        <v>10</v>
      </c>
      <c r="G40" s="46"/>
      <c r="H40" s="264"/>
      <c r="I40" s="265"/>
      <c r="J40" s="266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89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264"/>
      <c r="I41" s="265"/>
      <c r="J41" s="266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90"/>
      <c r="B42" s="30" t="s">
        <v>70</v>
      </c>
      <c r="C42" s="71">
        <v>2</v>
      </c>
      <c r="D42" s="15">
        <f>C42*2.25</f>
        <v>4.5</v>
      </c>
      <c r="E42" s="9"/>
      <c r="F42" s="43" t="s">
        <v>79</v>
      </c>
      <c r="G42" s="264">
        <v>182</v>
      </c>
      <c r="H42" s="265"/>
      <c r="I42" s="265"/>
      <c r="J42" s="266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67" t="s">
        <v>81</v>
      </c>
      <c r="C43" s="71"/>
      <c r="D43" s="15"/>
      <c r="E43" s="9"/>
      <c r="F43" s="65" t="s">
        <v>82</v>
      </c>
      <c r="G43" s="153" t="s">
        <v>83</v>
      </c>
      <c r="H43" s="270" t="s">
        <v>13</v>
      </c>
      <c r="I43" s="271"/>
      <c r="J43" s="272"/>
      <c r="K43" s="24"/>
      <c r="P43" s="4"/>
      <c r="Q43" s="4"/>
      <c r="R43" s="5"/>
    </row>
    <row r="44" spans="1:18" ht="15.75" x14ac:dyDescent="0.25">
      <c r="A44" s="268"/>
      <c r="B44" s="30" t="s">
        <v>66</v>
      </c>
      <c r="C44" s="53"/>
      <c r="D44" s="15">
        <f>C44*120</f>
        <v>0</v>
      </c>
      <c r="E44" s="9"/>
      <c r="F44" s="41" t="s">
        <v>148</v>
      </c>
      <c r="G44" s="69" t="s">
        <v>204</v>
      </c>
      <c r="H44" s="255">
        <v>134970</v>
      </c>
      <c r="I44" s="255"/>
      <c r="J44" s="255"/>
      <c r="K44" s="24"/>
      <c r="P44" s="4"/>
      <c r="Q44" s="4"/>
      <c r="R44" s="5"/>
    </row>
    <row r="45" spans="1:18" ht="15.75" x14ac:dyDescent="0.25">
      <c r="A45" s="268"/>
      <c r="B45" s="30" t="s">
        <v>68</v>
      </c>
      <c r="C45" s="90"/>
      <c r="D45" s="15">
        <f>C45*84</f>
        <v>0</v>
      </c>
      <c r="E45" s="9"/>
      <c r="F45" s="41"/>
      <c r="G45" s="69"/>
      <c r="H45" s="255"/>
      <c r="I45" s="255"/>
      <c r="J45" s="255"/>
      <c r="K45" s="24"/>
      <c r="P45" s="4"/>
      <c r="Q45" s="4"/>
      <c r="R45" s="5"/>
    </row>
    <row r="46" spans="1:18" ht="15.75" x14ac:dyDescent="0.25">
      <c r="A46" s="268"/>
      <c r="B46" s="54" t="s">
        <v>70</v>
      </c>
      <c r="C46" s="91"/>
      <c r="D46" s="15">
        <f>C46*1.5</f>
        <v>0</v>
      </c>
      <c r="E46" s="9"/>
      <c r="F46" s="41"/>
      <c r="G46" s="154"/>
      <c r="H46" s="306"/>
      <c r="I46" s="306"/>
      <c r="J46" s="306"/>
      <c r="K46" s="24"/>
      <c r="P46" s="4"/>
      <c r="Q46" s="4"/>
      <c r="R46" s="5"/>
    </row>
    <row r="47" spans="1:18" ht="15.75" x14ac:dyDescent="0.25">
      <c r="A47" s="269"/>
      <c r="B47" s="30"/>
      <c r="C47" s="71"/>
      <c r="D47" s="15"/>
      <c r="E47" s="9"/>
      <c r="F47" s="65"/>
      <c r="G47" s="65"/>
      <c r="H47" s="273"/>
      <c r="I47" s="274"/>
      <c r="J47" s="275"/>
      <c r="K47" s="24"/>
      <c r="P47" s="4"/>
      <c r="Q47" s="4"/>
      <c r="R47" s="5"/>
    </row>
    <row r="48" spans="1:18" ht="15" customHeight="1" x14ac:dyDescent="0.25">
      <c r="A48" s="267" t="s">
        <v>32</v>
      </c>
      <c r="B48" s="30" t="s">
        <v>66</v>
      </c>
      <c r="C48" s="53">
        <v>9</v>
      </c>
      <c r="D48" s="15">
        <f>C48*78</f>
        <v>702</v>
      </c>
      <c r="E48" s="9"/>
      <c r="F48" s="65"/>
      <c r="G48" s="65"/>
      <c r="H48" s="273"/>
      <c r="I48" s="274"/>
      <c r="J48" s="275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68"/>
      <c r="B49" s="32" t="s">
        <v>68</v>
      </c>
      <c r="C49" s="90">
        <v>16</v>
      </c>
      <c r="D49" s="15">
        <f>C49*42</f>
        <v>672</v>
      </c>
      <c r="E49" s="9"/>
      <c r="F49" s="288" t="s">
        <v>86</v>
      </c>
      <c r="G49" s="240">
        <f>H34+H35+H36+H37+H38+H39+H40+H41+G42+H44+H45+H46</f>
        <v>202242</v>
      </c>
      <c r="H49" s="241"/>
      <c r="I49" s="241"/>
      <c r="J49" s="242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68"/>
      <c r="B50" s="35" t="s">
        <v>70</v>
      </c>
      <c r="C50" s="71">
        <v>2</v>
      </c>
      <c r="D50" s="15">
        <f>C50*1.5</f>
        <v>3</v>
      </c>
      <c r="E50" s="9"/>
      <c r="F50" s="289"/>
      <c r="G50" s="243"/>
      <c r="H50" s="244"/>
      <c r="I50" s="244"/>
      <c r="J50" s="245"/>
      <c r="K50" s="9"/>
      <c r="P50" s="4"/>
      <c r="Q50" s="4"/>
      <c r="R50" s="5"/>
    </row>
    <row r="51" spans="1:18" ht="15" customHeight="1" x14ac:dyDescent="0.25">
      <c r="A51" s="268"/>
      <c r="B51" s="30"/>
      <c r="C51" s="13"/>
      <c r="D51" s="34"/>
      <c r="E51" s="9"/>
      <c r="F51" s="290" t="s">
        <v>157</v>
      </c>
      <c r="G51" s="314">
        <f>G49-H29</f>
        <v>-777</v>
      </c>
      <c r="H51" s="315"/>
      <c r="I51" s="315"/>
      <c r="J51" s="316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68"/>
      <c r="B52" s="32"/>
      <c r="C52" s="36"/>
      <c r="D52" s="49"/>
      <c r="E52" s="9"/>
      <c r="F52" s="291"/>
      <c r="G52" s="317"/>
      <c r="H52" s="318"/>
      <c r="I52" s="318"/>
      <c r="J52" s="319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69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236" t="s">
        <v>90</v>
      </c>
      <c r="B54" s="276"/>
      <c r="C54" s="277"/>
      <c r="D54" s="280">
        <f>SUM(D34:D53)</f>
        <v>37374</v>
      </c>
      <c r="E54" s="9"/>
      <c r="F54" s="24"/>
      <c r="G54" s="9"/>
      <c r="H54" s="9"/>
      <c r="I54" s="9"/>
      <c r="J54" s="37"/>
    </row>
    <row r="55" spans="1:18" x14ac:dyDescent="0.25">
      <c r="A55" s="238"/>
      <c r="B55" s="278"/>
      <c r="C55" s="279"/>
      <c r="D55" s="281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136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282" t="s">
        <v>91</v>
      </c>
      <c r="B58" s="283"/>
      <c r="C58" s="283"/>
      <c r="D58" s="284"/>
      <c r="E58" s="9"/>
      <c r="F58" s="282" t="s">
        <v>92</v>
      </c>
      <c r="G58" s="283"/>
      <c r="H58" s="283"/>
      <c r="I58" s="283"/>
      <c r="J58" s="284"/>
    </row>
    <row r="59" spans="1:18" x14ac:dyDescent="0.25">
      <c r="A59" s="285"/>
      <c r="B59" s="286"/>
      <c r="C59" s="286"/>
      <c r="D59" s="287"/>
      <c r="E59" s="9"/>
      <c r="F59" s="285"/>
      <c r="G59" s="286"/>
      <c r="H59" s="286"/>
      <c r="I59" s="286"/>
      <c r="J59" s="287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0F61A-FA3C-4CF4-85E8-9E0093E5698A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s="8" t="s">
        <v>0</v>
      </c>
      <c r="B1" s="8"/>
      <c r="C1" s="8"/>
      <c r="D1" s="8"/>
      <c r="N1" s="174" t="s">
        <v>1</v>
      </c>
      <c r="O1" s="174"/>
      <c r="P1" s="155" t="s">
        <v>2</v>
      </c>
      <c r="Q1" s="155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75" t="s">
        <v>7</v>
      </c>
      <c r="B4" s="176"/>
      <c r="C4" s="176"/>
      <c r="D4" s="177"/>
      <c r="E4" s="9"/>
      <c r="F4" s="178" t="s">
        <v>8</v>
      </c>
      <c r="G4" s="180">
        <v>3</v>
      </c>
      <c r="H4" s="182" t="s">
        <v>9</v>
      </c>
      <c r="I4" s="184">
        <v>45798</v>
      </c>
      <c r="J4" s="185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88" t="s">
        <v>7</v>
      </c>
      <c r="B5" s="18" t="s">
        <v>11</v>
      </c>
      <c r="C5" s="12" t="s">
        <v>12</v>
      </c>
      <c r="D5" s="28" t="s">
        <v>13</v>
      </c>
      <c r="E5" s="9"/>
      <c r="F5" s="179"/>
      <c r="G5" s="181"/>
      <c r="H5" s="183"/>
      <c r="I5" s="186"/>
      <c r="J5" s="187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89"/>
      <c r="B6" s="19" t="s">
        <v>15</v>
      </c>
      <c r="C6" s="53">
        <v>174</v>
      </c>
      <c r="D6" s="16">
        <f t="shared" ref="D6:D28" si="1">C6*L6</f>
        <v>128238</v>
      </c>
      <c r="E6" s="9"/>
      <c r="F6" s="191" t="s">
        <v>16</v>
      </c>
      <c r="G6" s="193" t="s">
        <v>111</v>
      </c>
      <c r="H6" s="194"/>
      <c r="I6" s="194"/>
      <c r="J6" s="195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89"/>
      <c r="B7" s="19" t="s">
        <v>18</v>
      </c>
      <c r="C7" s="53">
        <v>8</v>
      </c>
      <c r="D7" s="16">
        <f t="shared" si="1"/>
        <v>5800</v>
      </c>
      <c r="E7" s="9"/>
      <c r="F7" s="192"/>
      <c r="G7" s="196"/>
      <c r="H7" s="197"/>
      <c r="I7" s="197"/>
      <c r="J7" s="198"/>
      <c r="K7" s="10"/>
      <c r="L7" s="6">
        <f>R41</f>
        <v>725</v>
      </c>
      <c r="P7" s="4"/>
      <c r="Q7" s="4"/>
      <c r="R7" s="5"/>
    </row>
    <row r="8" spans="1:19" ht="14.45" customHeight="1" x14ac:dyDescent="0.25">
      <c r="A8" s="189"/>
      <c r="B8" s="19" t="s">
        <v>20</v>
      </c>
      <c r="C8" s="53"/>
      <c r="D8" s="16">
        <f t="shared" si="1"/>
        <v>0</v>
      </c>
      <c r="E8" s="9"/>
      <c r="F8" s="199" t="s">
        <v>21</v>
      </c>
      <c r="G8" s="201" t="s">
        <v>122</v>
      </c>
      <c r="H8" s="202"/>
      <c r="I8" s="202"/>
      <c r="J8" s="203"/>
      <c r="K8" s="10"/>
      <c r="L8" s="6">
        <f>R40</f>
        <v>1033</v>
      </c>
      <c r="P8" s="4"/>
      <c r="Q8" s="4"/>
      <c r="R8" s="5"/>
    </row>
    <row r="9" spans="1:19" ht="14.45" customHeight="1" x14ac:dyDescent="0.25">
      <c r="A9" s="189"/>
      <c r="B9" s="19" t="s">
        <v>23</v>
      </c>
      <c r="C9" s="53">
        <v>55</v>
      </c>
      <c r="D9" s="16">
        <f t="shared" si="1"/>
        <v>38885</v>
      </c>
      <c r="E9" s="9"/>
      <c r="F9" s="192"/>
      <c r="G9" s="204"/>
      <c r="H9" s="205"/>
      <c r="I9" s="205"/>
      <c r="J9" s="206"/>
      <c r="K9" s="10"/>
      <c r="L9" s="6">
        <f>R38</f>
        <v>707</v>
      </c>
      <c r="P9" s="4"/>
      <c r="Q9" s="4"/>
      <c r="R9" s="5"/>
    </row>
    <row r="10" spans="1:19" ht="14.45" customHeight="1" x14ac:dyDescent="0.25">
      <c r="A10" s="189"/>
      <c r="B10" s="11" t="s">
        <v>25</v>
      </c>
      <c r="C10" s="53">
        <v>2</v>
      </c>
      <c r="D10" s="16">
        <f t="shared" si="1"/>
        <v>1944</v>
      </c>
      <c r="E10" s="9"/>
      <c r="F10" s="191" t="s">
        <v>26</v>
      </c>
      <c r="G10" s="207" t="s">
        <v>123</v>
      </c>
      <c r="H10" s="208"/>
      <c r="I10" s="208"/>
      <c r="J10" s="209"/>
      <c r="K10" s="10"/>
      <c r="L10" s="6">
        <f>R36</f>
        <v>972</v>
      </c>
      <c r="P10" s="4"/>
      <c r="Q10" s="4"/>
      <c r="R10" s="5"/>
    </row>
    <row r="11" spans="1:19" ht="15.75" x14ac:dyDescent="0.25">
      <c r="A11" s="189"/>
      <c r="B11" s="20" t="s">
        <v>28</v>
      </c>
      <c r="C11" s="53"/>
      <c r="D11" s="16">
        <f t="shared" si="1"/>
        <v>0</v>
      </c>
      <c r="E11" s="9"/>
      <c r="F11" s="192"/>
      <c r="G11" s="204"/>
      <c r="H11" s="205"/>
      <c r="I11" s="205"/>
      <c r="J11" s="206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89"/>
      <c r="B12" s="20" t="s">
        <v>30</v>
      </c>
      <c r="C12" s="53">
        <v>2</v>
      </c>
      <c r="D12" s="52">
        <f t="shared" si="1"/>
        <v>1904</v>
      </c>
      <c r="E12" s="9"/>
      <c r="F12" s="210" t="s">
        <v>33</v>
      </c>
      <c r="G12" s="211"/>
      <c r="H12" s="211"/>
      <c r="I12" s="211"/>
      <c r="J12" s="212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89"/>
      <c r="B13" s="20" t="s">
        <v>32</v>
      </c>
      <c r="C13" s="53">
        <v>15</v>
      </c>
      <c r="D13" s="52">
        <f t="shared" si="1"/>
        <v>4605</v>
      </c>
      <c r="E13" s="9"/>
      <c r="F13" s="213" t="s">
        <v>36</v>
      </c>
      <c r="G13" s="214"/>
      <c r="H13" s="215">
        <f>D29</f>
        <v>187458</v>
      </c>
      <c r="I13" s="216"/>
      <c r="J13" s="217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89"/>
      <c r="B14" s="17" t="s">
        <v>35</v>
      </c>
      <c r="C14" s="53">
        <v>12</v>
      </c>
      <c r="D14" s="34">
        <f t="shared" si="1"/>
        <v>132</v>
      </c>
      <c r="E14" s="9"/>
      <c r="F14" s="218" t="s">
        <v>39</v>
      </c>
      <c r="G14" s="219"/>
      <c r="H14" s="220">
        <f>D54</f>
        <v>29291.25</v>
      </c>
      <c r="I14" s="221"/>
      <c r="J14" s="222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89"/>
      <c r="B15" s="17" t="s">
        <v>38</v>
      </c>
      <c r="C15" s="53"/>
      <c r="D15" s="34">
        <f t="shared" si="1"/>
        <v>0</v>
      </c>
      <c r="E15" s="9"/>
      <c r="F15" s="223" t="s">
        <v>40</v>
      </c>
      <c r="G15" s="214"/>
      <c r="H15" s="224">
        <f>H13-H14</f>
        <v>158166.75</v>
      </c>
      <c r="I15" s="225"/>
      <c r="J15" s="226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89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227">
        <f>624</f>
        <v>624</v>
      </c>
      <c r="I16" s="227"/>
      <c r="J16" s="22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89"/>
      <c r="B17" s="11" t="s">
        <v>114</v>
      </c>
      <c r="C17" s="53"/>
      <c r="D17" s="52">
        <f t="shared" si="1"/>
        <v>0</v>
      </c>
      <c r="E17" s="9"/>
      <c r="F17" s="62"/>
      <c r="G17" s="74" t="s">
        <v>45</v>
      </c>
      <c r="H17" s="200"/>
      <c r="I17" s="200"/>
      <c r="J17" s="200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89"/>
      <c r="B18" s="22" t="s">
        <v>95</v>
      </c>
      <c r="C18" s="53">
        <v>2</v>
      </c>
      <c r="D18" s="52">
        <f t="shared" si="1"/>
        <v>1240</v>
      </c>
      <c r="E18" s="9"/>
      <c r="F18" s="62"/>
      <c r="G18" s="74" t="s">
        <v>47</v>
      </c>
      <c r="H18" s="200"/>
      <c r="I18" s="200"/>
      <c r="J18" s="200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89"/>
      <c r="B19" s="17" t="s">
        <v>118</v>
      </c>
      <c r="C19" s="53"/>
      <c r="D19" s="52">
        <f t="shared" si="1"/>
        <v>0</v>
      </c>
      <c r="E19" s="9"/>
      <c r="F19" s="62"/>
      <c r="G19" s="76" t="s">
        <v>50</v>
      </c>
      <c r="H19" s="313"/>
      <c r="I19" s="313"/>
      <c r="J19" s="313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89"/>
      <c r="B20" s="50" t="s">
        <v>108</v>
      </c>
      <c r="C20" s="53"/>
      <c r="D20" s="16">
        <f t="shared" si="1"/>
        <v>0</v>
      </c>
      <c r="E20" s="9"/>
      <c r="F20" s="63"/>
      <c r="G20" s="78" t="s">
        <v>124</v>
      </c>
      <c r="H20" s="227"/>
      <c r="I20" s="227"/>
      <c r="J20" s="227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89"/>
      <c r="B21" s="17" t="s">
        <v>130</v>
      </c>
      <c r="C21" s="53"/>
      <c r="D21" s="52">
        <f t="shared" si="1"/>
        <v>0</v>
      </c>
      <c r="E21" s="9"/>
      <c r="F21" s="77" t="s">
        <v>99</v>
      </c>
      <c r="G21" s="92" t="s">
        <v>98</v>
      </c>
      <c r="H21" s="246" t="s">
        <v>13</v>
      </c>
      <c r="I21" s="247"/>
      <c r="J21" s="248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89"/>
      <c r="B22" s="50" t="s">
        <v>104</v>
      </c>
      <c r="C22" s="53"/>
      <c r="D22" s="52">
        <f t="shared" si="1"/>
        <v>0</v>
      </c>
      <c r="E22" s="9"/>
      <c r="F22" s="119" t="s">
        <v>163</v>
      </c>
      <c r="G22" s="81"/>
      <c r="H22" s="249">
        <v>8715</v>
      </c>
      <c r="I22" s="249"/>
      <c r="J22" s="249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89"/>
      <c r="B23" s="17" t="s">
        <v>107</v>
      </c>
      <c r="C23" s="53"/>
      <c r="D23" s="52">
        <f t="shared" si="1"/>
        <v>0</v>
      </c>
      <c r="E23" s="9"/>
      <c r="F23" s="86"/>
      <c r="G23" s="87"/>
      <c r="H23" s="299"/>
      <c r="I23" s="255"/>
      <c r="J23" s="255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89"/>
      <c r="B24" s="17" t="s">
        <v>101</v>
      </c>
      <c r="C24" s="53"/>
      <c r="D24" s="52">
        <f t="shared" si="1"/>
        <v>0</v>
      </c>
      <c r="E24" s="9"/>
      <c r="F24" s="42"/>
      <c r="G24" s="41"/>
      <c r="H24" s="299"/>
      <c r="I24" s="255"/>
      <c r="J24" s="255"/>
      <c r="L24" s="51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89"/>
      <c r="B25" s="17" t="s">
        <v>117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52" t="s">
        <v>13</v>
      </c>
      <c r="I25" s="253"/>
      <c r="J25" s="254"/>
      <c r="L25" s="51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89"/>
      <c r="B26" s="17" t="s">
        <v>105</v>
      </c>
      <c r="C26" s="53"/>
      <c r="D26" s="52">
        <f t="shared" si="1"/>
        <v>0</v>
      </c>
      <c r="E26" s="9"/>
      <c r="F26" s="72"/>
      <c r="G26" s="65"/>
      <c r="H26" s="300"/>
      <c r="I26" s="301"/>
      <c r="J26" s="302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89"/>
      <c r="B27" s="17" t="s">
        <v>109</v>
      </c>
      <c r="C27" s="53"/>
      <c r="D27" s="48">
        <f t="shared" si="1"/>
        <v>0</v>
      </c>
      <c r="E27" s="9"/>
      <c r="F27" s="88"/>
      <c r="G27" s="89"/>
      <c r="H27" s="303"/>
      <c r="I27" s="304"/>
      <c r="J27" s="305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90"/>
      <c r="B28" s="50" t="s">
        <v>97</v>
      </c>
      <c r="C28" s="53">
        <v>6</v>
      </c>
      <c r="D28" s="52">
        <f t="shared" si="1"/>
        <v>4710</v>
      </c>
      <c r="E28" s="9"/>
      <c r="F28" s="60"/>
      <c r="G28" s="68"/>
      <c r="H28" s="258"/>
      <c r="I28" s="259"/>
      <c r="J28" s="260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28" t="s">
        <v>36</v>
      </c>
      <c r="B29" s="229"/>
      <c r="C29" s="230"/>
      <c r="D29" s="234">
        <f>SUM(D6:D28)</f>
        <v>187458</v>
      </c>
      <c r="E29" s="9"/>
      <c r="F29" s="236" t="s">
        <v>55</v>
      </c>
      <c r="G29" s="237"/>
      <c r="H29" s="240">
        <f>H15-H16-H17-H18-H19-H20-H22-H23-H24+H26+H27</f>
        <v>148827.75</v>
      </c>
      <c r="I29" s="241"/>
      <c r="J29" s="242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231"/>
      <c r="B30" s="232"/>
      <c r="C30" s="233"/>
      <c r="D30" s="235"/>
      <c r="E30" s="9"/>
      <c r="F30" s="238"/>
      <c r="G30" s="239"/>
      <c r="H30" s="243"/>
      <c r="I30" s="244"/>
      <c r="J30" s="245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5" t="s">
        <v>58</v>
      </c>
      <c r="B32" s="176"/>
      <c r="C32" s="176"/>
      <c r="D32" s="177"/>
      <c r="E32" s="11"/>
      <c r="F32" s="261" t="s">
        <v>59</v>
      </c>
      <c r="G32" s="262"/>
      <c r="H32" s="262"/>
      <c r="I32" s="262"/>
      <c r="J32" s="263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56" t="s">
        <v>63</v>
      </c>
      <c r="H33" s="261" t="s">
        <v>13</v>
      </c>
      <c r="I33" s="262"/>
      <c r="J33" s="263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88" t="s">
        <v>65</v>
      </c>
      <c r="B34" s="29" t="s">
        <v>66</v>
      </c>
      <c r="C34" s="56">
        <v>2</v>
      </c>
      <c r="D34" s="33">
        <f>C34*120</f>
        <v>240</v>
      </c>
      <c r="E34" s="9"/>
      <c r="F34" s="15">
        <v>1000</v>
      </c>
      <c r="G34" s="82">
        <v>86</v>
      </c>
      <c r="H34" s="264">
        <f>F34*G34</f>
        <v>86000</v>
      </c>
      <c r="I34" s="265"/>
      <c r="J34" s="266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89"/>
      <c r="B35" s="30" t="s">
        <v>68</v>
      </c>
      <c r="C35" s="57"/>
      <c r="D35" s="33">
        <f>C35*84</f>
        <v>0</v>
      </c>
      <c r="E35" s="9"/>
      <c r="F35" s="64">
        <v>500</v>
      </c>
      <c r="G35" s="45">
        <v>70</v>
      </c>
      <c r="H35" s="264">
        <f>F35*G35</f>
        <v>35000</v>
      </c>
      <c r="I35" s="265"/>
      <c r="J35" s="266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90"/>
      <c r="B36" s="29" t="s">
        <v>70</v>
      </c>
      <c r="C36" s="53"/>
      <c r="D36" s="15">
        <f>C36*1.5</f>
        <v>0</v>
      </c>
      <c r="E36" s="9"/>
      <c r="F36" s="15">
        <v>200</v>
      </c>
      <c r="G36" s="41">
        <v>8</v>
      </c>
      <c r="H36" s="264">
        <f t="shared" ref="H36:H39" si="2">F36*G36</f>
        <v>1600</v>
      </c>
      <c r="I36" s="265"/>
      <c r="J36" s="266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88" t="s">
        <v>72</v>
      </c>
      <c r="B37" s="31" t="s">
        <v>66</v>
      </c>
      <c r="C37" s="58">
        <v>236</v>
      </c>
      <c r="D37" s="15">
        <f>C37*111</f>
        <v>26196</v>
      </c>
      <c r="E37" s="9"/>
      <c r="F37" s="15">
        <v>100</v>
      </c>
      <c r="G37" s="43">
        <v>258</v>
      </c>
      <c r="H37" s="264">
        <f t="shared" si="2"/>
        <v>25800</v>
      </c>
      <c r="I37" s="265"/>
      <c r="J37" s="266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89"/>
      <c r="B38" s="32" t="s">
        <v>68</v>
      </c>
      <c r="C38" s="59">
        <v>6</v>
      </c>
      <c r="D38" s="15">
        <f>C38*84</f>
        <v>504</v>
      </c>
      <c r="E38" s="9"/>
      <c r="F38" s="33">
        <v>50</v>
      </c>
      <c r="G38" s="43">
        <v>36</v>
      </c>
      <c r="H38" s="264">
        <f t="shared" si="2"/>
        <v>1800</v>
      </c>
      <c r="I38" s="265"/>
      <c r="J38" s="266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90"/>
      <c r="B39" s="32" t="s">
        <v>70</v>
      </c>
      <c r="C39" s="57">
        <v>1</v>
      </c>
      <c r="D39" s="34">
        <f>C39*4.5</f>
        <v>4.5</v>
      </c>
      <c r="E39" s="9"/>
      <c r="F39" s="15">
        <v>20</v>
      </c>
      <c r="G39" s="41">
        <v>2</v>
      </c>
      <c r="H39" s="264">
        <f t="shared" si="2"/>
        <v>40</v>
      </c>
      <c r="I39" s="265"/>
      <c r="J39" s="266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88" t="s">
        <v>76</v>
      </c>
      <c r="B40" s="30" t="s">
        <v>66</v>
      </c>
      <c r="C40" s="70">
        <v>2</v>
      </c>
      <c r="D40" s="15">
        <f>C40*111</f>
        <v>222</v>
      </c>
      <c r="E40" s="9"/>
      <c r="F40" s="15">
        <v>10</v>
      </c>
      <c r="G40" s="46"/>
      <c r="H40" s="264"/>
      <c r="I40" s="265"/>
      <c r="J40" s="266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89"/>
      <c r="B41" s="30" t="s">
        <v>68</v>
      </c>
      <c r="C41" s="53">
        <v>1</v>
      </c>
      <c r="D41" s="15">
        <f>C41*84</f>
        <v>84</v>
      </c>
      <c r="E41" s="9"/>
      <c r="F41" s="15">
        <v>5</v>
      </c>
      <c r="G41" s="46"/>
      <c r="H41" s="264"/>
      <c r="I41" s="265"/>
      <c r="J41" s="266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90"/>
      <c r="B42" s="30" t="s">
        <v>70</v>
      </c>
      <c r="C42" s="71">
        <v>9</v>
      </c>
      <c r="D42" s="15">
        <f>C42*2.25</f>
        <v>20.25</v>
      </c>
      <c r="E42" s="9"/>
      <c r="F42" s="43" t="s">
        <v>79</v>
      </c>
      <c r="G42" s="264">
        <v>119</v>
      </c>
      <c r="H42" s="265"/>
      <c r="I42" s="265"/>
      <c r="J42" s="266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67" t="s">
        <v>81</v>
      </c>
      <c r="C43" s="71"/>
      <c r="D43" s="15"/>
      <c r="E43" s="9"/>
      <c r="F43" s="65" t="s">
        <v>82</v>
      </c>
      <c r="G43" s="153" t="s">
        <v>83</v>
      </c>
      <c r="H43" s="270" t="s">
        <v>13</v>
      </c>
      <c r="I43" s="271"/>
      <c r="J43" s="272"/>
      <c r="K43" s="24"/>
      <c r="P43" s="4"/>
      <c r="Q43" s="4"/>
      <c r="R43" s="5"/>
    </row>
    <row r="44" spans="1:18" ht="15.75" x14ac:dyDescent="0.25">
      <c r="A44" s="268"/>
      <c r="B44" s="30" t="s">
        <v>66</v>
      </c>
      <c r="C44" s="53">
        <v>2</v>
      </c>
      <c r="D44" s="15">
        <f>C44*120</f>
        <v>240</v>
      </c>
      <c r="E44" s="9"/>
      <c r="F44" s="41"/>
      <c r="G44" s="84"/>
      <c r="H44" s="255"/>
      <c r="I44" s="255"/>
      <c r="J44" s="255"/>
      <c r="K44" s="24"/>
      <c r="P44" s="4"/>
      <c r="Q44" s="4"/>
      <c r="R44" s="5"/>
    </row>
    <row r="45" spans="1:18" ht="15.75" x14ac:dyDescent="0.25">
      <c r="A45" s="268"/>
      <c r="B45" s="30" t="s">
        <v>68</v>
      </c>
      <c r="C45" s="90">
        <v>4</v>
      </c>
      <c r="D45" s="15">
        <f>C45*84</f>
        <v>336</v>
      </c>
      <c r="E45" s="9"/>
      <c r="F45" s="41"/>
      <c r="G45" s="84"/>
      <c r="H45" s="255"/>
      <c r="I45" s="255"/>
      <c r="J45" s="255"/>
      <c r="K45" s="24"/>
      <c r="P45" s="4"/>
      <c r="Q45" s="4"/>
      <c r="R45" s="5"/>
    </row>
    <row r="46" spans="1:18" ht="15.75" x14ac:dyDescent="0.25">
      <c r="A46" s="268"/>
      <c r="B46" s="54" t="s">
        <v>70</v>
      </c>
      <c r="C46" s="91">
        <v>10</v>
      </c>
      <c r="D46" s="15">
        <f>C46*1.5</f>
        <v>15</v>
      </c>
      <c r="E46" s="9"/>
      <c r="F46" s="41"/>
      <c r="G46" s="69"/>
      <c r="H46" s="306"/>
      <c r="I46" s="306"/>
      <c r="J46" s="306"/>
      <c r="K46" s="24"/>
      <c r="P46" s="4"/>
      <c r="Q46" s="4"/>
      <c r="R46" s="5"/>
    </row>
    <row r="47" spans="1:18" ht="15.75" x14ac:dyDescent="0.25">
      <c r="A47" s="269"/>
      <c r="B47" s="30"/>
      <c r="C47" s="71"/>
      <c r="D47" s="15"/>
      <c r="E47" s="9"/>
      <c r="F47" s="65"/>
      <c r="G47" s="65"/>
      <c r="H47" s="273"/>
      <c r="I47" s="274"/>
      <c r="J47" s="275"/>
      <c r="K47" s="24"/>
      <c r="P47" s="4"/>
      <c r="Q47" s="4"/>
      <c r="R47" s="5"/>
    </row>
    <row r="48" spans="1:18" ht="15" customHeight="1" x14ac:dyDescent="0.25">
      <c r="A48" s="267" t="s">
        <v>32</v>
      </c>
      <c r="B48" s="30" t="s">
        <v>66</v>
      </c>
      <c r="C48" s="53">
        <v>16</v>
      </c>
      <c r="D48" s="15">
        <f>C48*78</f>
        <v>1248</v>
      </c>
      <c r="E48" s="9"/>
      <c r="F48" s="65"/>
      <c r="G48" s="65"/>
      <c r="H48" s="273"/>
      <c r="I48" s="274"/>
      <c r="J48" s="275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68"/>
      <c r="B49" s="32" t="s">
        <v>68</v>
      </c>
      <c r="C49" s="90">
        <v>4</v>
      </c>
      <c r="D49" s="15">
        <f>C49*42</f>
        <v>168</v>
      </c>
      <c r="E49" s="9"/>
      <c r="F49" s="288" t="s">
        <v>86</v>
      </c>
      <c r="G49" s="240">
        <f>H34+H35+H36+H37+H38+H39+H40+H41+G42+H44+H45+H46</f>
        <v>150359</v>
      </c>
      <c r="H49" s="241"/>
      <c r="I49" s="241"/>
      <c r="J49" s="242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68"/>
      <c r="B50" s="35" t="s">
        <v>70</v>
      </c>
      <c r="C50" s="71">
        <v>9</v>
      </c>
      <c r="D50" s="15">
        <f>C50*1.5</f>
        <v>13.5</v>
      </c>
      <c r="E50" s="9"/>
      <c r="F50" s="289"/>
      <c r="G50" s="243"/>
      <c r="H50" s="244"/>
      <c r="I50" s="244"/>
      <c r="J50" s="245"/>
      <c r="K50" s="9"/>
      <c r="P50" s="4"/>
      <c r="Q50" s="4"/>
      <c r="R50" s="5"/>
    </row>
    <row r="51" spans="1:18" ht="15" customHeight="1" x14ac:dyDescent="0.25">
      <c r="A51" s="268"/>
      <c r="B51" s="30"/>
      <c r="C51" s="53"/>
      <c r="D51" s="34"/>
      <c r="E51" s="9"/>
      <c r="F51" s="290" t="s">
        <v>147</v>
      </c>
      <c r="G51" s="307">
        <f>G49-H29</f>
        <v>1531.25</v>
      </c>
      <c r="H51" s="308"/>
      <c r="I51" s="308"/>
      <c r="J51" s="309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68"/>
      <c r="B52" s="32"/>
      <c r="C52" s="36"/>
      <c r="D52" s="49"/>
      <c r="E52" s="9"/>
      <c r="F52" s="291"/>
      <c r="G52" s="310"/>
      <c r="H52" s="311"/>
      <c r="I52" s="311"/>
      <c r="J52" s="312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69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236" t="s">
        <v>90</v>
      </c>
      <c r="B54" s="276"/>
      <c r="C54" s="277"/>
      <c r="D54" s="280">
        <f>SUM(D34:D53)</f>
        <v>29291.25</v>
      </c>
      <c r="E54" s="9"/>
      <c r="F54" s="24"/>
      <c r="G54" s="9"/>
      <c r="H54" s="9"/>
      <c r="I54" s="9"/>
      <c r="J54" s="37"/>
    </row>
    <row r="55" spans="1:18" x14ac:dyDescent="0.25">
      <c r="A55" s="238"/>
      <c r="B55" s="278"/>
      <c r="C55" s="279"/>
      <c r="D55" s="281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119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282" t="s">
        <v>91</v>
      </c>
      <c r="B58" s="283"/>
      <c r="C58" s="283"/>
      <c r="D58" s="284"/>
      <c r="E58" s="9"/>
      <c r="F58" s="282" t="s">
        <v>92</v>
      </c>
      <c r="G58" s="283"/>
      <c r="H58" s="283"/>
      <c r="I58" s="283"/>
      <c r="J58" s="284"/>
    </row>
    <row r="59" spans="1:18" x14ac:dyDescent="0.25">
      <c r="A59" s="285"/>
      <c r="B59" s="286"/>
      <c r="C59" s="286"/>
      <c r="D59" s="287"/>
      <c r="E59" s="9"/>
      <c r="F59" s="285"/>
      <c r="G59" s="286"/>
      <c r="H59" s="286"/>
      <c r="I59" s="286"/>
      <c r="J59" s="287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112E1-4B03-4C80-962D-EB85DF912817}">
  <dimension ref="A1"/>
  <sheetViews>
    <sheetView workbookViewId="0">
      <selection activeCell="I4" sqref="I4:J5"/>
    </sheetView>
  </sheetViews>
  <sheetFormatPr defaultRowHeight="15" x14ac:dyDescent="0.25"/>
  <sheetData/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5DC77-E852-4DCA-8504-D1E0E4FBB5C2}">
  <dimension ref="A1:R59"/>
  <sheetViews>
    <sheetView topLeftCell="A31" zoomScaleNormal="100" zoomScaleSheetLayoutView="85" workbookViewId="0">
      <selection activeCell="G51" sqref="G51:J52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174" t="s">
        <v>1</v>
      </c>
      <c r="O1" s="174"/>
      <c r="P1" s="157" t="s">
        <v>2</v>
      </c>
      <c r="Q1" s="157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75" t="s">
        <v>7</v>
      </c>
      <c r="B4" s="176"/>
      <c r="C4" s="176"/>
      <c r="D4" s="177"/>
      <c r="E4" s="9"/>
      <c r="F4" s="178" t="s">
        <v>8</v>
      </c>
      <c r="G4" s="180">
        <v>1</v>
      </c>
      <c r="H4" s="182" t="s">
        <v>9</v>
      </c>
      <c r="I4" s="184">
        <v>45799</v>
      </c>
      <c r="J4" s="185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88" t="s">
        <v>7</v>
      </c>
      <c r="B5" s="18" t="s">
        <v>11</v>
      </c>
      <c r="C5" s="12" t="s">
        <v>12</v>
      </c>
      <c r="D5" s="28" t="s">
        <v>13</v>
      </c>
      <c r="E5" s="9"/>
      <c r="F5" s="179"/>
      <c r="G5" s="181"/>
      <c r="H5" s="183"/>
      <c r="I5" s="186"/>
      <c r="J5" s="187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89"/>
      <c r="B6" s="19" t="s">
        <v>15</v>
      </c>
      <c r="C6" s="53">
        <v>403</v>
      </c>
      <c r="D6" s="16">
        <f t="shared" ref="D6:D28" si="1">C6*L6</f>
        <v>297011</v>
      </c>
      <c r="E6" s="9"/>
      <c r="F6" s="191" t="s">
        <v>16</v>
      </c>
      <c r="G6" s="193" t="s">
        <v>128</v>
      </c>
      <c r="H6" s="194"/>
      <c r="I6" s="194"/>
      <c r="J6" s="195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89"/>
      <c r="B7" s="19" t="s">
        <v>18</v>
      </c>
      <c r="C7" s="53">
        <v>10</v>
      </c>
      <c r="D7" s="16">
        <f t="shared" si="1"/>
        <v>7250</v>
      </c>
      <c r="E7" s="9"/>
      <c r="F7" s="192"/>
      <c r="G7" s="196"/>
      <c r="H7" s="197"/>
      <c r="I7" s="197"/>
      <c r="J7" s="198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189"/>
      <c r="B8" s="19" t="s">
        <v>20</v>
      </c>
      <c r="C8" s="53">
        <v>1</v>
      </c>
      <c r="D8" s="16">
        <f t="shared" si="1"/>
        <v>1033</v>
      </c>
      <c r="E8" s="9"/>
      <c r="F8" s="199" t="s">
        <v>21</v>
      </c>
      <c r="G8" s="201" t="s">
        <v>113</v>
      </c>
      <c r="H8" s="202"/>
      <c r="I8" s="202"/>
      <c r="J8" s="203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189"/>
      <c r="B9" s="19" t="s">
        <v>23</v>
      </c>
      <c r="C9" s="53">
        <v>20</v>
      </c>
      <c r="D9" s="16">
        <f t="shared" si="1"/>
        <v>14140</v>
      </c>
      <c r="E9" s="9"/>
      <c r="F9" s="192"/>
      <c r="G9" s="204"/>
      <c r="H9" s="205"/>
      <c r="I9" s="205"/>
      <c r="J9" s="206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189"/>
      <c r="B10" s="11" t="s">
        <v>25</v>
      </c>
      <c r="C10" s="53">
        <v>1</v>
      </c>
      <c r="D10" s="16">
        <f t="shared" si="1"/>
        <v>972</v>
      </c>
      <c r="E10" s="9"/>
      <c r="F10" s="191" t="s">
        <v>26</v>
      </c>
      <c r="G10" s="207" t="s">
        <v>132</v>
      </c>
      <c r="H10" s="208"/>
      <c r="I10" s="208"/>
      <c r="J10" s="209"/>
      <c r="K10" s="10"/>
      <c r="L10" s="6">
        <f>R36</f>
        <v>972</v>
      </c>
      <c r="P10" s="4"/>
      <c r="Q10" s="4"/>
      <c r="R10" s="5"/>
    </row>
    <row r="11" spans="1:18" ht="15.75" x14ac:dyDescent="0.25">
      <c r="A11" s="189"/>
      <c r="B11" s="20" t="s">
        <v>28</v>
      </c>
      <c r="C11" s="53"/>
      <c r="D11" s="16">
        <f t="shared" si="1"/>
        <v>0</v>
      </c>
      <c r="E11" s="9"/>
      <c r="F11" s="192"/>
      <c r="G11" s="204"/>
      <c r="H11" s="205"/>
      <c r="I11" s="205"/>
      <c r="J11" s="206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89"/>
      <c r="B12" s="20" t="s">
        <v>30</v>
      </c>
      <c r="C12" s="53">
        <f>1+1+1</f>
        <v>3</v>
      </c>
      <c r="D12" s="52">
        <f t="shared" si="1"/>
        <v>2856</v>
      </c>
      <c r="E12" s="9"/>
      <c r="F12" s="210" t="s">
        <v>33</v>
      </c>
      <c r="G12" s="211"/>
      <c r="H12" s="211"/>
      <c r="I12" s="211"/>
      <c r="J12" s="212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89"/>
      <c r="B13" s="20" t="s">
        <v>32</v>
      </c>
      <c r="C13" s="53">
        <v>14</v>
      </c>
      <c r="D13" s="52">
        <f t="shared" si="1"/>
        <v>4298</v>
      </c>
      <c r="E13" s="9"/>
      <c r="F13" s="213" t="s">
        <v>36</v>
      </c>
      <c r="G13" s="214"/>
      <c r="H13" s="215">
        <f>D29</f>
        <v>331738</v>
      </c>
      <c r="I13" s="216"/>
      <c r="J13" s="217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89"/>
      <c r="B14" s="17" t="s">
        <v>35</v>
      </c>
      <c r="C14" s="53">
        <v>23</v>
      </c>
      <c r="D14" s="34">
        <f t="shared" si="1"/>
        <v>253</v>
      </c>
      <c r="E14" s="9"/>
      <c r="F14" s="218" t="s">
        <v>39</v>
      </c>
      <c r="G14" s="219"/>
      <c r="H14" s="220">
        <f>D54</f>
        <v>50059.5</v>
      </c>
      <c r="I14" s="221"/>
      <c r="J14" s="222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89"/>
      <c r="B15" s="17" t="s">
        <v>38</v>
      </c>
      <c r="C15" s="53"/>
      <c r="D15" s="34">
        <f t="shared" si="1"/>
        <v>0</v>
      </c>
      <c r="E15" s="9"/>
      <c r="F15" s="223" t="s">
        <v>40</v>
      </c>
      <c r="G15" s="214"/>
      <c r="H15" s="224">
        <f>H13-H14</f>
        <v>281678.5</v>
      </c>
      <c r="I15" s="225"/>
      <c r="J15" s="226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89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227">
        <f>2025</f>
        <v>2025</v>
      </c>
      <c r="I16" s="227"/>
      <c r="J16" s="22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89"/>
      <c r="B17" s="11" t="s">
        <v>137</v>
      </c>
      <c r="C17" s="53"/>
      <c r="D17" s="52">
        <f t="shared" si="1"/>
        <v>0</v>
      </c>
      <c r="E17" s="9"/>
      <c r="F17" s="62"/>
      <c r="G17" s="74" t="s">
        <v>45</v>
      </c>
      <c r="H17" s="200"/>
      <c r="I17" s="200"/>
      <c r="J17" s="200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89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200"/>
      <c r="I18" s="200"/>
      <c r="J18" s="200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89"/>
      <c r="B19" s="17" t="s">
        <v>140</v>
      </c>
      <c r="C19" s="53"/>
      <c r="D19" s="52">
        <f t="shared" si="1"/>
        <v>0</v>
      </c>
      <c r="E19" s="9"/>
      <c r="F19" s="62"/>
      <c r="G19" s="76" t="s">
        <v>50</v>
      </c>
      <c r="H19" s="200"/>
      <c r="I19" s="200"/>
      <c r="J19" s="200"/>
      <c r="L19" s="6">
        <v>1102</v>
      </c>
      <c r="Q19" s="4"/>
      <c r="R19" s="5">
        <f t="shared" si="0"/>
        <v>0</v>
      </c>
    </row>
    <row r="20" spans="1:18" ht="15.75" x14ac:dyDescent="0.25">
      <c r="A20" s="189"/>
      <c r="B20" s="97" t="s">
        <v>139</v>
      </c>
      <c r="C20" s="53"/>
      <c r="D20" s="16">
        <f t="shared" si="1"/>
        <v>0</v>
      </c>
      <c r="E20" s="9"/>
      <c r="F20" s="63"/>
      <c r="G20" s="78" t="s">
        <v>124</v>
      </c>
      <c r="H20" s="227">
        <f>626*2</f>
        <v>1252</v>
      </c>
      <c r="I20" s="227"/>
      <c r="J20" s="227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89"/>
      <c r="B21" s="17" t="s">
        <v>138</v>
      </c>
      <c r="C21" s="53"/>
      <c r="D21" s="52">
        <f t="shared" si="1"/>
        <v>0</v>
      </c>
      <c r="E21" s="9"/>
      <c r="F21" s="77" t="s">
        <v>99</v>
      </c>
      <c r="G21" s="92" t="s">
        <v>98</v>
      </c>
      <c r="H21" s="246" t="s">
        <v>13</v>
      </c>
      <c r="I21" s="247"/>
      <c r="J21" s="248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89"/>
      <c r="B22" s="50" t="s">
        <v>110</v>
      </c>
      <c r="C22" s="53"/>
      <c r="D22" s="52">
        <f t="shared" si="1"/>
        <v>0</v>
      </c>
      <c r="E22" s="9"/>
      <c r="F22" s="85"/>
      <c r="G22" s="81"/>
      <c r="H22" s="249"/>
      <c r="I22" s="249"/>
      <c r="J22" s="249"/>
      <c r="L22" s="7">
        <v>1142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89"/>
      <c r="B23" s="17" t="s">
        <v>125</v>
      </c>
      <c r="C23" s="53"/>
      <c r="D23" s="52">
        <f t="shared" si="1"/>
        <v>0</v>
      </c>
      <c r="E23" s="9"/>
      <c r="F23" s="85"/>
      <c r="G23" s="87"/>
      <c r="H23" s="250"/>
      <c r="I23" s="251"/>
      <c r="J23" s="251"/>
      <c r="L23" s="51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89"/>
      <c r="B24" s="17" t="s">
        <v>126</v>
      </c>
      <c r="C24" s="53"/>
      <c r="D24" s="52">
        <f t="shared" si="1"/>
        <v>0</v>
      </c>
      <c r="E24" s="9"/>
      <c r="F24" s="85"/>
      <c r="G24" s="87"/>
      <c r="H24" s="250"/>
      <c r="I24" s="251"/>
      <c r="J24" s="251"/>
      <c r="L24" s="51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89"/>
      <c r="B25" s="17" t="s">
        <v>121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52" t="s">
        <v>13</v>
      </c>
      <c r="I25" s="253"/>
      <c r="J25" s="254"/>
      <c r="L25" s="51">
        <f>852/24+1.5</f>
        <v>37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89"/>
      <c r="B26" s="17" t="s">
        <v>112</v>
      </c>
      <c r="C26" s="53"/>
      <c r="D26" s="52">
        <f t="shared" si="1"/>
        <v>0</v>
      </c>
      <c r="E26" s="9"/>
      <c r="F26" s="83" t="s">
        <v>152</v>
      </c>
      <c r="G26" s="73">
        <v>1840</v>
      </c>
      <c r="H26" s="255">
        <v>76820</v>
      </c>
      <c r="I26" s="255"/>
      <c r="J26" s="255"/>
      <c r="L26" s="7">
        <f>500/24+1.5</f>
        <v>22.333333333333332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89"/>
      <c r="B27" s="17" t="s">
        <v>120</v>
      </c>
      <c r="C27" s="53"/>
      <c r="D27" s="48">
        <f t="shared" si="1"/>
        <v>0</v>
      </c>
      <c r="E27" s="9"/>
      <c r="F27" s="79"/>
      <c r="G27" s="160"/>
      <c r="H27" s="256"/>
      <c r="I27" s="257"/>
      <c r="J27" s="257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90"/>
      <c r="B28" s="50" t="s">
        <v>97</v>
      </c>
      <c r="C28" s="53">
        <v>5</v>
      </c>
      <c r="D28" s="52">
        <f t="shared" si="1"/>
        <v>3925</v>
      </c>
      <c r="E28" s="9"/>
      <c r="F28" s="60"/>
      <c r="G28" s="68"/>
      <c r="H28" s="258"/>
      <c r="I28" s="259"/>
      <c r="J28" s="260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28" t="s">
        <v>36</v>
      </c>
      <c r="B29" s="229"/>
      <c r="C29" s="230"/>
      <c r="D29" s="234">
        <f>SUM(D6:D28)</f>
        <v>331738</v>
      </c>
      <c r="E29" s="9"/>
      <c r="F29" s="236" t="s">
        <v>55</v>
      </c>
      <c r="G29" s="237"/>
      <c r="H29" s="240">
        <f>H15-H16-H17-H18-H19-H20-H22-H23-H24+H26+H27+H28</f>
        <v>355221.5</v>
      </c>
      <c r="I29" s="241"/>
      <c r="J29" s="242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231"/>
      <c r="B30" s="232"/>
      <c r="C30" s="233"/>
      <c r="D30" s="235"/>
      <c r="E30" s="9"/>
      <c r="F30" s="238"/>
      <c r="G30" s="239"/>
      <c r="H30" s="243"/>
      <c r="I30" s="244"/>
      <c r="J30" s="245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5" t="s">
        <v>58</v>
      </c>
      <c r="B32" s="176"/>
      <c r="C32" s="176"/>
      <c r="D32" s="177"/>
      <c r="E32" s="11"/>
      <c r="F32" s="261" t="s">
        <v>59</v>
      </c>
      <c r="G32" s="262"/>
      <c r="H32" s="262"/>
      <c r="I32" s="262"/>
      <c r="J32" s="263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58" t="s">
        <v>63</v>
      </c>
      <c r="H33" s="261" t="s">
        <v>13</v>
      </c>
      <c r="I33" s="262"/>
      <c r="J33" s="263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88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44">
        <v>300</v>
      </c>
      <c r="H34" s="264">
        <f t="shared" ref="H34:H39" si="2">F34*G34</f>
        <v>300000</v>
      </c>
      <c r="I34" s="265"/>
      <c r="J34" s="266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89"/>
      <c r="B35" s="30" t="s">
        <v>68</v>
      </c>
      <c r="C35" s="57">
        <v>2</v>
      </c>
      <c r="D35" s="33">
        <f>C35*84</f>
        <v>168</v>
      </c>
      <c r="E35" s="9"/>
      <c r="F35" s="64">
        <v>500</v>
      </c>
      <c r="G35" s="45">
        <v>46</v>
      </c>
      <c r="H35" s="264">
        <f t="shared" si="2"/>
        <v>23000</v>
      </c>
      <c r="I35" s="265"/>
      <c r="J35" s="266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90"/>
      <c r="B36" s="29" t="s">
        <v>70</v>
      </c>
      <c r="C36" s="53">
        <v>21</v>
      </c>
      <c r="D36" s="15">
        <f>C36*1.5</f>
        <v>31.5</v>
      </c>
      <c r="E36" s="9"/>
      <c r="F36" s="15">
        <v>200</v>
      </c>
      <c r="G36" s="41">
        <v>2</v>
      </c>
      <c r="H36" s="264">
        <f t="shared" si="2"/>
        <v>400</v>
      </c>
      <c r="I36" s="265"/>
      <c r="J36" s="266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88" t="s">
        <v>72</v>
      </c>
      <c r="B37" s="31" t="s">
        <v>66</v>
      </c>
      <c r="C37" s="58">
        <v>431</v>
      </c>
      <c r="D37" s="15">
        <f>C37*111</f>
        <v>47841</v>
      </c>
      <c r="E37" s="9"/>
      <c r="F37" s="15">
        <v>100</v>
      </c>
      <c r="G37" s="43">
        <v>252</v>
      </c>
      <c r="H37" s="264">
        <f t="shared" si="2"/>
        <v>25200</v>
      </c>
      <c r="I37" s="265"/>
      <c r="J37" s="266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89"/>
      <c r="B38" s="32" t="s">
        <v>68</v>
      </c>
      <c r="C38" s="59">
        <v>1</v>
      </c>
      <c r="D38" s="15">
        <f>C38*84</f>
        <v>84</v>
      </c>
      <c r="E38" s="9"/>
      <c r="F38" s="33">
        <v>50</v>
      </c>
      <c r="G38" s="43">
        <v>89</v>
      </c>
      <c r="H38" s="264">
        <f t="shared" si="2"/>
        <v>4450</v>
      </c>
      <c r="I38" s="265"/>
      <c r="J38" s="266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90"/>
      <c r="B39" s="32" t="s">
        <v>70</v>
      </c>
      <c r="C39" s="57">
        <v>5</v>
      </c>
      <c r="D39" s="34">
        <f>C39*4.5</f>
        <v>22.5</v>
      </c>
      <c r="E39" s="9"/>
      <c r="F39" s="15">
        <v>20</v>
      </c>
      <c r="G39" s="41">
        <v>13</v>
      </c>
      <c r="H39" s="264">
        <f t="shared" si="2"/>
        <v>260</v>
      </c>
      <c r="I39" s="265"/>
      <c r="J39" s="266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88" t="s">
        <v>76</v>
      </c>
      <c r="B40" s="30" t="s">
        <v>66</v>
      </c>
      <c r="C40" s="70">
        <v>6</v>
      </c>
      <c r="D40" s="15">
        <f>C40*111</f>
        <v>666</v>
      </c>
      <c r="E40" s="9"/>
      <c r="F40" s="15">
        <v>10</v>
      </c>
      <c r="G40" s="46"/>
      <c r="H40" s="264"/>
      <c r="I40" s="265"/>
      <c r="J40" s="266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89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264"/>
      <c r="I41" s="265"/>
      <c r="J41" s="266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90"/>
      <c r="B42" s="30" t="s">
        <v>70</v>
      </c>
      <c r="C42" s="71">
        <v>4</v>
      </c>
      <c r="D42" s="15">
        <f>C42*2.25</f>
        <v>9</v>
      </c>
      <c r="E42" s="9"/>
      <c r="F42" s="43" t="s">
        <v>79</v>
      </c>
      <c r="G42" s="264">
        <v>435</v>
      </c>
      <c r="H42" s="265"/>
      <c r="I42" s="265"/>
      <c r="J42" s="266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67" t="s">
        <v>81</v>
      </c>
      <c r="C43" s="71"/>
      <c r="D43" s="15"/>
      <c r="E43" s="9"/>
      <c r="F43" s="65" t="s">
        <v>82</v>
      </c>
      <c r="G43" s="160" t="s">
        <v>83</v>
      </c>
      <c r="H43" s="270" t="s">
        <v>13</v>
      </c>
      <c r="I43" s="271"/>
      <c r="J43" s="272"/>
      <c r="K43" s="24"/>
      <c r="O43" t="s">
        <v>103</v>
      </c>
      <c r="P43" s="4">
        <v>1667</v>
      </c>
      <c r="Q43" s="4"/>
      <c r="R43" s="5"/>
    </row>
    <row r="44" spans="1:18" ht="15.75" x14ac:dyDescent="0.25">
      <c r="A44" s="268"/>
      <c r="B44" s="30" t="s">
        <v>66</v>
      </c>
      <c r="C44" s="53">
        <v>1</v>
      </c>
      <c r="D44" s="15">
        <f>C44*120</f>
        <v>120</v>
      </c>
      <c r="E44" s="9"/>
      <c r="F44" s="41"/>
      <c r="G44" s="69"/>
      <c r="H44" s="255"/>
      <c r="I44" s="255"/>
      <c r="J44" s="255"/>
      <c r="K44" s="24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268"/>
      <c r="B45" s="30" t="s">
        <v>68</v>
      </c>
      <c r="C45" s="90"/>
      <c r="D45" s="15">
        <f>C45*84</f>
        <v>0</v>
      </c>
      <c r="E45" s="9"/>
      <c r="F45" s="41"/>
      <c r="G45" s="69"/>
      <c r="H45" s="255"/>
      <c r="I45" s="255"/>
      <c r="J45" s="255"/>
      <c r="K45" s="24"/>
      <c r="P45" s="4"/>
      <c r="Q45" s="4"/>
      <c r="R45" s="5"/>
    </row>
    <row r="46" spans="1:18" ht="15.75" x14ac:dyDescent="0.25">
      <c r="A46" s="268"/>
      <c r="B46" s="54" t="s">
        <v>70</v>
      </c>
      <c r="C46" s="91">
        <v>25</v>
      </c>
      <c r="D46" s="15">
        <f>C46*1.5</f>
        <v>37.5</v>
      </c>
      <c r="E46" s="9"/>
      <c r="F46" s="41"/>
      <c r="G46" s="69"/>
      <c r="H46" s="255"/>
      <c r="I46" s="255"/>
      <c r="J46" s="255"/>
      <c r="K46" s="24"/>
      <c r="P46" s="4"/>
      <c r="Q46" s="4"/>
      <c r="R46" s="5"/>
    </row>
    <row r="47" spans="1:18" ht="15.75" x14ac:dyDescent="0.25">
      <c r="A47" s="269"/>
      <c r="B47" s="30"/>
      <c r="C47" s="71"/>
      <c r="D47" s="15"/>
      <c r="E47" s="9"/>
      <c r="F47" s="65"/>
      <c r="G47" s="65"/>
      <c r="H47" s="273"/>
      <c r="I47" s="274"/>
      <c r="J47" s="275"/>
      <c r="K47" s="24"/>
      <c r="P47" s="4"/>
      <c r="Q47" s="4"/>
      <c r="R47" s="5"/>
    </row>
    <row r="48" spans="1:18" ht="15" customHeight="1" x14ac:dyDescent="0.25">
      <c r="A48" s="267" t="s">
        <v>32</v>
      </c>
      <c r="B48" s="30" t="s">
        <v>66</v>
      </c>
      <c r="C48" s="53">
        <v>9</v>
      </c>
      <c r="D48" s="15">
        <f>C48*78</f>
        <v>702</v>
      </c>
      <c r="E48" s="9"/>
      <c r="F48" s="65"/>
      <c r="G48" s="65"/>
      <c r="H48" s="273"/>
      <c r="I48" s="274"/>
      <c r="J48" s="275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68"/>
      <c r="B49" s="32" t="s">
        <v>68</v>
      </c>
      <c r="C49" s="90">
        <v>9</v>
      </c>
      <c r="D49" s="15">
        <f>C49*42</f>
        <v>378</v>
      </c>
      <c r="E49" s="9"/>
      <c r="F49" s="288" t="s">
        <v>86</v>
      </c>
      <c r="G49" s="240">
        <f>H34+H35+H36+H37+H38+H39+H40+H41+G42+H44+H45+H46</f>
        <v>353745</v>
      </c>
      <c r="H49" s="241"/>
      <c r="I49" s="241"/>
      <c r="J49" s="242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68"/>
      <c r="B50" s="35" t="s">
        <v>70</v>
      </c>
      <c r="C50" s="71"/>
      <c r="D50" s="15">
        <f>C50*1.5</f>
        <v>0</v>
      </c>
      <c r="E50" s="9"/>
      <c r="F50" s="289"/>
      <c r="G50" s="243"/>
      <c r="H50" s="244"/>
      <c r="I50" s="244"/>
      <c r="J50" s="245"/>
      <c r="K50" s="9"/>
      <c r="P50" s="4"/>
      <c r="Q50" s="4"/>
      <c r="R50" s="5"/>
    </row>
    <row r="51" spans="1:18" ht="15" customHeight="1" x14ac:dyDescent="0.25">
      <c r="A51" s="268"/>
      <c r="B51" s="30"/>
      <c r="C51" s="13"/>
      <c r="D51" s="34"/>
      <c r="E51" s="9"/>
      <c r="F51" s="290" t="s">
        <v>135</v>
      </c>
      <c r="G51" s="292">
        <f>G49-H29</f>
        <v>-1476.5</v>
      </c>
      <c r="H51" s="293"/>
      <c r="I51" s="293"/>
      <c r="J51" s="294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68"/>
      <c r="B52" s="32"/>
      <c r="C52" s="36"/>
      <c r="D52" s="49"/>
      <c r="E52" s="9"/>
      <c r="F52" s="291"/>
      <c r="G52" s="295"/>
      <c r="H52" s="296"/>
      <c r="I52" s="296"/>
      <c r="J52" s="297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69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236" t="s">
        <v>90</v>
      </c>
      <c r="B54" s="276"/>
      <c r="C54" s="277"/>
      <c r="D54" s="280">
        <f>SUM(D34:D53)</f>
        <v>50059.5</v>
      </c>
      <c r="E54" s="9"/>
      <c r="F54" s="24"/>
      <c r="G54" s="9"/>
      <c r="H54" s="9"/>
      <c r="I54" s="9"/>
      <c r="J54" s="37"/>
      <c r="O54" t="s">
        <v>102</v>
      </c>
      <c r="P54" s="4">
        <v>1582</v>
      </c>
      <c r="R54" s="3">
        <v>1582</v>
      </c>
    </row>
    <row r="55" spans="1:18" x14ac:dyDescent="0.25">
      <c r="A55" s="238"/>
      <c r="B55" s="278"/>
      <c r="C55" s="279"/>
      <c r="D55" s="281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129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282" t="s">
        <v>91</v>
      </c>
      <c r="B58" s="283"/>
      <c r="C58" s="283"/>
      <c r="D58" s="284"/>
      <c r="E58" s="9"/>
      <c r="F58" s="282" t="s">
        <v>92</v>
      </c>
      <c r="G58" s="283"/>
      <c r="H58" s="283"/>
      <c r="I58" s="283"/>
      <c r="J58" s="284"/>
    </row>
    <row r="59" spans="1:18" x14ac:dyDescent="0.25">
      <c r="A59" s="285"/>
      <c r="B59" s="286"/>
      <c r="C59" s="286"/>
      <c r="D59" s="287"/>
      <c r="E59" s="9"/>
      <c r="F59" s="285"/>
      <c r="G59" s="286"/>
      <c r="H59" s="286"/>
      <c r="I59" s="286"/>
      <c r="J59" s="287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D7A1A-9772-41CD-9BAF-9027FB64FADA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174" t="s">
        <v>1</v>
      </c>
      <c r="O1" s="174"/>
      <c r="P1" s="157" t="s">
        <v>2</v>
      </c>
      <c r="Q1" s="157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75" t="s">
        <v>7</v>
      </c>
      <c r="B4" s="176"/>
      <c r="C4" s="176"/>
      <c r="D4" s="177"/>
      <c r="E4" s="9"/>
      <c r="F4" s="178" t="s">
        <v>8</v>
      </c>
      <c r="G4" s="180">
        <v>2</v>
      </c>
      <c r="H4" s="182" t="s">
        <v>9</v>
      </c>
      <c r="I4" s="184">
        <v>45799</v>
      </c>
      <c r="J4" s="185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88" t="s">
        <v>7</v>
      </c>
      <c r="B5" s="18" t="s">
        <v>11</v>
      </c>
      <c r="C5" s="12" t="s">
        <v>12</v>
      </c>
      <c r="D5" s="28" t="s">
        <v>13</v>
      </c>
      <c r="E5" s="9"/>
      <c r="F5" s="179"/>
      <c r="G5" s="181"/>
      <c r="H5" s="183"/>
      <c r="I5" s="186"/>
      <c r="J5" s="187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89"/>
      <c r="B6" s="19" t="s">
        <v>15</v>
      </c>
      <c r="C6" s="53">
        <v>142</v>
      </c>
      <c r="D6" s="16">
        <f t="shared" ref="D6:D28" si="1">C6*L6</f>
        <v>104654</v>
      </c>
      <c r="E6" s="9"/>
      <c r="F6" s="191" t="s">
        <v>16</v>
      </c>
      <c r="G6" s="193" t="s">
        <v>127</v>
      </c>
      <c r="H6" s="194"/>
      <c r="I6" s="194"/>
      <c r="J6" s="195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89"/>
      <c r="B7" s="19" t="s">
        <v>18</v>
      </c>
      <c r="C7" s="53">
        <v>2</v>
      </c>
      <c r="D7" s="16">
        <f t="shared" si="1"/>
        <v>1450</v>
      </c>
      <c r="E7" s="9"/>
      <c r="F7" s="192"/>
      <c r="G7" s="196"/>
      <c r="H7" s="197"/>
      <c r="I7" s="197"/>
      <c r="J7" s="198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189"/>
      <c r="B8" s="19" t="s">
        <v>20</v>
      </c>
      <c r="C8" s="53"/>
      <c r="D8" s="16">
        <f t="shared" si="1"/>
        <v>0</v>
      </c>
      <c r="E8" s="9"/>
      <c r="F8" s="199" t="s">
        <v>21</v>
      </c>
      <c r="G8" s="201" t="s">
        <v>115</v>
      </c>
      <c r="H8" s="202"/>
      <c r="I8" s="202"/>
      <c r="J8" s="203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189"/>
      <c r="B9" s="19" t="s">
        <v>23</v>
      </c>
      <c r="C9" s="53">
        <v>34</v>
      </c>
      <c r="D9" s="16">
        <f t="shared" si="1"/>
        <v>24038</v>
      </c>
      <c r="E9" s="9"/>
      <c r="F9" s="192"/>
      <c r="G9" s="204"/>
      <c r="H9" s="205"/>
      <c r="I9" s="205"/>
      <c r="J9" s="206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189"/>
      <c r="B10" s="11" t="s">
        <v>25</v>
      </c>
      <c r="C10" s="53"/>
      <c r="D10" s="16">
        <f t="shared" si="1"/>
        <v>0</v>
      </c>
      <c r="E10" s="9"/>
      <c r="F10" s="191" t="s">
        <v>26</v>
      </c>
      <c r="G10" s="207" t="s">
        <v>116</v>
      </c>
      <c r="H10" s="208"/>
      <c r="I10" s="208"/>
      <c r="J10" s="209"/>
      <c r="K10" s="10"/>
      <c r="L10" s="6">
        <f>R36</f>
        <v>972</v>
      </c>
      <c r="P10" s="4"/>
      <c r="Q10" s="4"/>
      <c r="R10" s="5"/>
    </row>
    <row r="11" spans="1:18" ht="15.75" x14ac:dyDescent="0.25">
      <c r="A11" s="189"/>
      <c r="B11" s="20" t="s">
        <v>28</v>
      </c>
      <c r="C11" s="53"/>
      <c r="D11" s="16">
        <f t="shared" si="1"/>
        <v>0</v>
      </c>
      <c r="E11" s="9"/>
      <c r="F11" s="192"/>
      <c r="G11" s="204"/>
      <c r="H11" s="205"/>
      <c r="I11" s="205"/>
      <c r="J11" s="206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89"/>
      <c r="B12" s="20" t="s">
        <v>30</v>
      </c>
      <c r="C12" s="53">
        <v>5</v>
      </c>
      <c r="D12" s="52">
        <f t="shared" si="1"/>
        <v>4760</v>
      </c>
      <c r="E12" s="9"/>
      <c r="F12" s="210" t="s">
        <v>33</v>
      </c>
      <c r="G12" s="211"/>
      <c r="H12" s="211"/>
      <c r="I12" s="211"/>
      <c r="J12" s="212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89"/>
      <c r="B13" s="20" t="s">
        <v>32</v>
      </c>
      <c r="C13" s="53">
        <v>6</v>
      </c>
      <c r="D13" s="52">
        <f t="shared" si="1"/>
        <v>1842</v>
      </c>
      <c r="E13" s="9"/>
      <c r="F13" s="213" t="s">
        <v>36</v>
      </c>
      <c r="G13" s="214"/>
      <c r="H13" s="215">
        <f>D29</f>
        <v>139903</v>
      </c>
      <c r="I13" s="216"/>
      <c r="J13" s="217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89"/>
      <c r="B14" s="17" t="s">
        <v>35</v>
      </c>
      <c r="C14" s="53">
        <v>14</v>
      </c>
      <c r="D14" s="34">
        <f t="shared" si="1"/>
        <v>154</v>
      </c>
      <c r="E14" s="9"/>
      <c r="F14" s="218" t="s">
        <v>39</v>
      </c>
      <c r="G14" s="219"/>
      <c r="H14" s="220">
        <f>D54</f>
        <v>21828.75</v>
      </c>
      <c r="I14" s="221"/>
      <c r="J14" s="222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89"/>
      <c r="B15" s="17" t="s">
        <v>38</v>
      </c>
      <c r="C15" s="53"/>
      <c r="D15" s="34">
        <f t="shared" si="1"/>
        <v>0</v>
      </c>
      <c r="E15" s="9"/>
      <c r="F15" s="223" t="s">
        <v>40</v>
      </c>
      <c r="G15" s="214"/>
      <c r="H15" s="224">
        <f>H13-H14</f>
        <v>118074.25</v>
      </c>
      <c r="I15" s="225"/>
      <c r="J15" s="226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89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227"/>
      <c r="I16" s="227"/>
      <c r="J16" s="22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89"/>
      <c r="B17" s="11" t="s">
        <v>93</v>
      </c>
      <c r="C17" s="53"/>
      <c r="D17" s="52">
        <f t="shared" si="1"/>
        <v>0</v>
      </c>
      <c r="E17" s="9"/>
      <c r="F17" s="62"/>
      <c r="G17" s="74" t="s">
        <v>45</v>
      </c>
      <c r="H17" s="200"/>
      <c r="I17" s="200"/>
      <c r="J17" s="200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89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200"/>
      <c r="I18" s="200"/>
      <c r="J18" s="200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89"/>
      <c r="B19" s="17" t="s">
        <v>96</v>
      </c>
      <c r="C19" s="53"/>
      <c r="D19" s="52">
        <f t="shared" si="1"/>
        <v>0</v>
      </c>
      <c r="E19" s="9"/>
      <c r="F19" s="62"/>
      <c r="G19" s="76" t="s">
        <v>50</v>
      </c>
      <c r="H19" s="298"/>
      <c r="I19" s="298"/>
      <c r="J19" s="298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89"/>
      <c r="B20" s="50" t="s">
        <v>131</v>
      </c>
      <c r="C20" s="53"/>
      <c r="D20" s="16">
        <f t="shared" si="1"/>
        <v>0</v>
      </c>
      <c r="E20" s="9"/>
      <c r="F20" s="63"/>
      <c r="G20" s="78" t="s">
        <v>124</v>
      </c>
      <c r="H20" s="227">
        <f>22*626</f>
        <v>13772</v>
      </c>
      <c r="I20" s="227"/>
      <c r="J20" s="227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89"/>
      <c r="B21" s="17" t="s">
        <v>158</v>
      </c>
      <c r="C21" s="53">
        <v>1</v>
      </c>
      <c r="D21" s="52">
        <f t="shared" si="1"/>
        <v>650</v>
      </c>
      <c r="E21" s="9"/>
      <c r="F21" s="77" t="s">
        <v>99</v>
      </c>
      <c r="G21" s="92" t="s">
        <v>98</v>
      </c>
      <c r="H21" s="246" t="s">
        <v>13</v>
      </c>
      <c r="I21" s="247"/>
      <c r="J21" s="248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89"/>
      <c r="B22" s="50" t="s">
        <v>104</v>
      </c>
      <c r="C22" s="53"/>
      <c r="D22" s="52">
        <f t="shared" si="1"/>
        <v>0</v>
      </c>
      <c r="E22" s="9"/>
      <c r="F22" s="80"/>
      <c r="G22" s="81"/>
      <c r="H22" s="249"/>
      <c r="I22" s="249"/>
      <c r="J22" s="249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89"/>
      <c r="B23" s="17" t="s">
        <v>107</v>
      </c>
      <c r="C23" s="53"/>
      <c r="D23" s="52">
        <f t="shared" si="1"/>
        <v>0</v>
      </c>
      <c r="E23" s="9"/>
      <c r="F23" s="28"/>
      <c r="G23" s="41"/>
      <c r="H23" s="299"/>
      <c r="I23" s="255"/>
      <c r="J23" s="255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89"/>
      <c r="B24" s="17" t="s">
        <v>133</v>
      </c>
      <c r="C24" s="53"/>
      <c r="D24" s="52">
        <f t="shared" si="1"/>
        <v>0</v>
      </c>
      <c r="E24" s="9"/>
      <c r="F24" s="42"/>
      <c r="G24" s="41"/>
      <c r="H24" s="299"/>
      <c r="I24" s="255"/>
      <c r="J24" s="255"/>
      <c r="L24" s="51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89"/>
      <c r="B25" s="17" t="s">
        <v>134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52" t="s">
        <v>13</v>
      </c>
      <c r="I25" s="253"/>
      <c r="J25" s="254"/>
      <c r="L25" s="51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89"/>
      <c r="B26" s="17" t="s">
        <v>105</v>
      </c>
      <c r="C26" s="53"/>
      <c r="D26" s="52">
        <f t="shared" si="1"/>
        <v>0</v>
      </c>
      <c r="E26" s="9"/>
      <c r="F26" s="72"/>
      <c r="G26" s="13"/>
      <c r="H26" s="300"/>
      <c r="I26" s="301"/>
      <c r="J26" s="302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89"/>
      <c r="B27" s="17" t="s">
        <v>109</v>
      </c>
      <c r="C27" s="53"/>
      <c r="D27" s="48">
        <f t="shared" si="1"/>
        <v>0</v>
      </c>
      <c r="E27" s="9"/>
      <c r="F27" s="67"/>
      <c r="G27" s="67"/>
      <c r="H27" s="303"/>
      <c r="I27" s="304"/>
      <c r="J27" s="305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90"/>
      <c r="B28" s="50" t="s">
        <v>97</v>
      </c>
      <c r="C28" s="53">
        <v>3</v>
      </c>
      <c r="D28" s="52">
        <f t="shared" si="1"/>
        <v>2355</v>
      </c>
      <c r="E28" s="9"/>
      <c r="F28" s="60"/>
      <c r="G28" s="68"/>
      <c r="H28" s="258"/>
      <c r="I28" s="259"/>
      <c r="J28" s="260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28" t="s">
        <v>36</v>
      </c>
      <c r="B29" s="229"/>
      <c r="C29" s="230"/>
      <c r="D29" s="234">
        <f>SUM(D6:D28)</f>
        <v>139903</v>
      </c>
      <c r="E29" s="9"/>
      <c r="F29" s="236" t="s">
        <v>55</v>
      </c>
      <c r="G29" s="237"/>
      <c r="H29" s="240">
        <f>H15-H16-H17-H18-H19-H20-H22-H23-H24+H26+H27</f>
        <v>104302.25</v>
      </c>
      <c r="I29" s="241"/>
      <c r="J29" s="242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231"/>
      <c r="B30" s="232"/>
      <c r="C30" s="233"/>
      <c r="D30" s="235"/>
      <c r="E30" s="9"/>
      <c r="F30" s="238"/>
      <c r="G30" s="239"/>
      <c r="H30" s="243"/>
      <c r="I30" s="244"/>
      <c r="J30" s="245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5" t="s">
        <v>58</v>
      </c>
      <c r="B32" s="176"/>
      <c r="C32" s="176"/>
      <c r="D32" s="177"/>
      <c r="E32" s="11"/>
      <c r="F32" s="261" t="s">
        <v>59</v>
      </c>
      <c r="G32" s="262"/>
      <c r="H32" s="262"/>
      <c r="I32" s="262"/>
      <c r="J32" s="263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58" t="s">
        <v>63</v>
      </c>
      <c r="H33" s="261" t="s">
        <v>13</v>
      </c>
      <c r="I33" s="262"/>
      <c r="J33" s="263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88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82">
        <v>76</v>
      </c>
      <c r="H34" s="264">
        <f>F34*G34</f>
        <v>76000</v>
      </c>
      <c r="I34" s="265"/>
      <c r="J34" s="266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89"/>
      <c r="B35" s="30" t="s">
        <v>68</v>
      </c>
      <c r="C35" s="57"/>
      <c r="D35" s="33">
        <f>C35*84</f>
        <v>0</v>
      </c>
      <c r="E35" s="9"/>
      <c r="F35" s="64">
        <v>500</v>
      </c>
      <c r="G35" s="45">
        <v>62</v>
      </c>
      <c r="H35" s="264">
        <f t="shared" ref="H35:H39" si="2">F35*G35</f>
        <v>31000</v>
      </c>
      <c r="I35" s="265"/>
      <c r="J35" s="266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90"/>
      <c r="B36" s="29" t="s">
        <v>70</v>
      </c>
      <c r="C36" s="53">
        <v>9</v>
      </c>
      <c r="D36" s="15">
        <f>C36*1.5</f>
        <v>13.5</v>
      </c>
      <c r="E36" s="9"/>
      <c r="F36" s="15">
        <v>200</v>
      </c>
      <c r="G36" s="41">
        <v>4</v>
      </c>
      <c r="H36" s="264">
        <f t="shared" si="2"/>
        <v>800</v>
      </c>
      <c r="I36" s="265"/>
      <c r="J36" s="266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88" t="s">
        <v>72</v>
      </c>
      <c r="B37" s="31" t="s">
        <v>66</v>
      </c>
      <c r="C37" s="58">
        <v>181</v>
      </c>
      <c r="D37" s="15">
        <f>C37*111</f>
        <v>20091</v>
      </c>
      <c r="E37" s="9"/>
      <c r="F37" s="15">
        <v>100</v>
      </c>
      <c r="G37" s="43">
        <v>16</v>
      </c>
      <c r="H37" s="264">
        <f t="shared" si="2"/>
        <v>1600</v>
      </c>
      <c r="I37" s="265"/>
      <c r="J37" s="266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89"/>
      <c r="B38" s="32" t="s">
        <v>68</v>
      </c>
      <c r="C38" s="59">
        <v>6</v>
      </c>
      <c r="D38" s="15">
        <f>C38*84</f>
        <v>504</v>
      </c>
      <c r="E38" s="9"/>
      <c r="F38" s="33">
        <v>50</v>
      </c>
      <c r="G38" s="43">
        <v>4</v>
      </c>
      <c r="H38" s="264">
        <f t="shared" si="2"/>
        <v>200</v>
      </c>
      <c r="I38" s="265"/>
      <c r="J38" s="266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90"/>
      <c r="B39" s="32" t="s">
        <v>70</v>
      </c>
      <c r="C39" s="57">
        <v>3</v>
      </c>
      <c r="D39" s="34">
        <f>C39*4.5</f>
        <v>13.5</v>
      </c>
      <c r="E39" s="9"/>
      <c r="F39" s="15">
        <v>20</v>
      </c>
      <c r="G39" s="41">
        <v>10</v>
      </c>
      <c r="H39" s="264">
        <f t="shared" si="2"/>
        <v>200</v>
      </c>
      <c r="I39" s="265"/>
      <c r="J39" s="266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88" t="s">
        <v>76</v>
      </c>
      <c r="B40" s="30" t="s">
        <v>66</v>
      </c>
      <c r="C40" s="70">
        <v>2</v>
      </c>
      <c r="D40" s="15">
        <f>C40*111</f>
        <v>222</v>
      </c>
      <c r="E40" s="9"/>
      <c r="F40" s="15">
        <v>10</v>
      </c>
      <c r="G40" s="46"/>
      <c r="H40" s="264"/>
      <c r="I40" s="265"/>
      <c r="J40" s="266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89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264"/>
      <c r="I41" s="265"/>
      <c r="J41" s="266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90"/>
      <c r="B42" s="30" t="s">
        <v>70</v>
      </c>
      <c r="C42" s="71">
        <v>3</v>
      </c>
      <c r="D42" s="15">
        <f>C42*2.25</f>
        <v>6.75</v>
      </c>
      <c r="E42" s="9"/>
      <c r="F42" s="43" t="s">
        <v>79</v>
      </c>
      <c r="G42" s="264">
        <v>418</v>
      </c>
      <c r="H42" s="265"/>
      <c r="I42" s="265"/>
      <c r="J42" s="266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67" t="s">
        <v>81</v>
      </c>
      <c r="C43" s="71"/>
      <c r="D43" s="15"/>
      <c r="E43" s="9"/>
      <c r="F43" s="65" t="s">
        <v>82</v>
      </c>
      <c r="G43" s="160" t="s">
        <v>83</v>
      </c>
      <c r="H43" s="270" t="s">
        <v>13</v>
      </c>
      <c r="I43" s="271"/>
      <c r="J43" s="272"/>
      <c r="K43" s="24"/>
      <c r="P43" s="4"/>
      <c r="Q43" s="4"/>
      <c r="R43" s="5"/>
    </row>
    <row r="44" spans="1:18" ht="15.75" x14ac:dyDescent="0.25">
      <c r="A44" s="268"/>
      <c r="B44" s="30" t="s">
        <v>66</v>
      </c>
      <c r="C44" s="53">
        <v>3</v>
      </c>
      <c r="D44" s="15">
        <f>C44*120</f>
        <v>360</v>
      </c>
      <c r="E44" s="9"/>
      <c r="F44" s="41"/>
      <c r="G44" s="69"/>
      <c r="H44" s="255"/>
      <c r="I44" s="255"/>
      <c r="J44" s="255"/>
      <c r="K44" s="24"/>
      <c r="P44" s="4"/>
      <c r="Q44" s="4"/>
      <c r="R44" s="5"/>
    </row>
    <row r="45" spans="1:18" ht="15.75" x14ac:dyDescent="0.25">
      <c r="A45" s="268"/>
      <c r="B45" s="30" t="s">
        <v>68</v>
      </c>
      <c r="C45" s="90">
        <v>1</v>
      </c>
      <c r="D45" s="15">
        <f>C45*84</f>
        <v>84</v>
      </c>
      <c r="E45" s="9"/>
      <c r="F45" s="41"/>
      <c r="G45" s="69"/>
      <c r="H45" s="255"/>
      <c r="I45" s="255"/>
      <c r="J45" s="255"/>
      <c r="K45" s="24"/>
      <c r="P45" s="4"/>
      <c r="Q45" s="4"/>
      <c r="R45" s="5"/>
    </row>
    <row r="46" spans="1:18" ht="15.75" x14ac:dyDescent="0.25">
      <c r="A46" s="268"/>
      <c r="B46" s="54" t="s">
        <v>70</v>
      </c>
      <c r="C46" s="91">
        <v>2</v>
      </c>
      <c r="D46" s="15">
        <f>C46*1.5</f>
        <v>3</v>
      </c>
      <c r="E46" s="9"/>
      <c r="F46" s="41"/>
      <c r="G46" s="159"/>
      <c r="H46" s="306"/>
      <c r="I46" s="306"/>
      <c r="J46" s="306"/>
      <c r="K46" s="24"/>
      <c r="P46" s="4"/>
      <c r="Q46" s="4"/>
      <c r="R46" s="5"/>
    </row>
    <row r="47" spans="1:18" ht="15.75" x14ac:dyDescent="0.25">
      <c r="A47" s="269"/>
      <c r="B47" s="30"/>
      <c r="C47" s="71"/>
      <c r="D47" s="15"/>
      <c r="E47" s="9"/>
      <c r="F47" s="65"/>
      <c r="G47" s="65"/>
      <c r="H47" s="273"/>
      <c r="I47" s="274"/>
      <c r="J47" s="275"/>
      <c r="K47" s="24"/>
      <c r="P47" s="4"/>
      <c r="Q47" s="4"/>
      <c r="R47" s="5"/>
    </row>
    <row r="48" spans="1:18" ht="15" customHeight="1" x14ac:dyDescent="0.25">
      <c r="A48" s="267" t="s">
        <v>32</v>
      </c>
      <c r="B48" s="30" t="s">
        <v>66</v>
      </c>
      <c r="C48" s="53">
        <v>6</v>
      </c>
      <c r="D48" s="15">
        <f>C48*78</f>
        <v>468</v>
      </c>
      <c r="E48" s="9"/>
      <c r="F48" s="65"/>
      <c r="G48" s="65"/>
      <c r="H48" s="273"/>
      <c r="I48" s="274"/>
      <c r="J48" s="275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68"/>
      <c r="B49" s="32" t="s">
        <v>68</v>
      </c>
      <c r="C49" s="90">
        <v>1</v>
      </c>
      <c r="D49" s="15">
        <f>C49*42</f>
        <v>42</v>
      </c>
      <c r="E49" s="9"/>
      <c r="F49" s="288" t="s">
        <v>86</v>
      </c>
      <c r="G49" s="240">
        <f>H34+H35+H36+H37+H38+H39+H40+H41+G42+H44+H45+H46</f>
        <v>110218</v>
      </c>
      <c r="H49" s="241"/>
      <c r="I49" s="241"/>
      <c r="J49" s="242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68"/>
      <c r="B50" s="35" t="s">
        <v>70</v>
      </c>
      <c r="C50" s="71">
        <v>14</v>
      </c>
      <c r="D50" s="15">
        <f>C50*1.5</f>
        <v>21</v>
      </c>
      <c r="E50" s="9"/>
      <c r="F50" s="289"/>
      <c r="G50" s="243"/>
      <c r="H50" s="244"/>
      <c r="I50" s="244"/>
      <c r="J50" s="245"/>
      <c r="K50" s="9"/>
      <c r="P50" s="4"/>
      <c r="Q50" s="4"/>
      <c r="R50" s="5"/>
    </row>
    <row r="51" spans="1:18" ht="15" customHeight="1" x14ac:dyDescent="0.25">
      <c r="A51" s="268"/>
      <c r="B51" s="30"/>
      <c r="C51" s="13"/>
      <c r="D51" s="34"/>
      <c r="E51" s="9"/>
      <c r="F51" s="290" t="s">
        <v>144</v>
      </c>
      <c r="G51" s="307">
        <f>G49-H29</f>
        <v>5915.75</v>
      </c>
      <c r="H51" s="308"/>
      <c r="I51" s="308"/>
      <c r="J51" s="309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68"/>
      <c r="B52" s="32"/>
      <c r="C52" s="36"/>
      <c r="D52" s="49"/>
      <c r="E52" s="9"/>
      <c r="F52" s="291"/>
      <c r="G52" s="310"/>
      <c r="H52" s="311"/>
      <c r="I52" s="311"/>
      <c r="J52" s="312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69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236" t="s">
        <v>90</v>
      </c>
      <c r="B54" s="276"/>
      <c r="C54" s="277"/>
      <c r="D54" s="280">
        <f>SUM(D34:D53)</f>
        <v>21828.75</v>
      </c>
      <c r="E54" s="9"/>
      <c r="F54" s="24"/>
      <c r="G54" s="9"/>
      <c r="H54" s="9"/>
      <c r="I54" s="9"/>
      <c r="J54" s="37"/>
    </row>
    <row r="55" spans="1:18" x14ac:dyDescent="0.25">
      <c r="A55" s="238"/>
      <c r="B55" s="278"/>
      <c r="C55" s="279"/>
      <c r="D55" s="281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136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282" t="s">
        <v>91</v>
      </c>
      <c r="B58" s="283"/>
      <c r="C58" s="283"/>
      <c r="D58" s="284"/>
      <c r="E58" s="9"/>
      <c r="F58" s="282" t="s">
        <v>92</v>
      </c>
      <c r="G58" s="283"/>
      <c r="H58" s="283"/>
      <c r="I58" s="283"/>
      <c r="J58" s="284"/>
    </row>
    <row r="59" spans="1:18" x14ac:dyDescent="0.25">
      <c r="A59" s="285"/>
      <c r="B59" s="286"/>
      <c r="C59" s="286"/>
      <c r="D59" s="287"/>
      <c r="E59" s="9"/>
      <c r="F59" s="285"/>
      <c r="G59" s="286"/>
      <c r="H59" s="286"/>
      <c r="I59" s="286"/>
      <c r="J59" s="287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01B70-5999-453A-AD76-F2A60C53C4EE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s="8" t="s">
        <v>0</v>
      </c>
      <c r="B1" s="8"/>
      <c r="C1" s="8"/>
      <c r="D1" s="8"/>
      <c r="N1" s="174" t="s">
        <v>1</v>
      </c>
      <c r="O1" s="174"/>
      <c r="P1" s="157" t="s">
        <v>2</v>
      </c>
      <c r="Q1" s="157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75" t="s">
        <v>7</v>
      </c>
      <c r="B4" s="176"/>
      <c r="C4" s="176"/>
      <c r="D4" s="177"/>
      <c r="E4" s="9"/>
      <c r="F4" s="178" t="s">
        <v>8</v>
      </c>
      <c r="G4" s="180">
        <v>3</v>
      </c>
      <c r="H4" s="182" t="s">
        <v>9</v>
      </c>
      <c r="I4" s="184">
        <v>45799</v>
      </c>
      <c r="J4" s="185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88" t="s">
        <v>7</v>
      </c>
      <c r="B5" s="18" t="s">
        <v>11</v>
      </c>
      <c r="C5" s="12" t="s">
        <v>12</v>
      </c>
      <c r="D5" s="28" t="s">
        <v>13</v>
      </c>
      <c r="E5" s="9"/>
      <c r="F5" s="179"/>
      <c r="G5" s="181"/>
      <c r="H5" s="183"/>
      <c r="I5" s="186"/>
      <c r="J5" s="187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89"/>
      <c r="B6" s="19" t="s">
        <v>15</v>
      </c>
      <c r="C6" s="53">
        <v>537</v>
      </c>
      <c r="D6" s="16">
        <f t="shared" ref="D6:D28" si="1">C6*L6</f>
        <v>395769</v>
      </c>
      <c r="E6" s="9"/>
      <c r="F6" s="191" t="s">
        <v>16</v>
      </c>
      <c r="G6" s="193" t="s">
        <v>111</v>
      </c>
      <c r="H6" s="194"/>
      <c r="I6" s="194"/>
      <c r="J6" s="195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89"/>
      <c r="B7" s="19" t="s">
        <v>18</v>
      </c>
      <c r="C7" s="53">
        <v>50</v>
      </c>
      <c r="D7" s="16">
        <f t="shared" si="1"/>
        <v>36250</v>
      </c>
      <c r="E7" s="9"/>
      <c r="F7" s="192"/>
      <c r="G7" s="196"/>
      <c r="H7" s="197"/>
      <c r="I7" s="197"/>
      <c r="J7" s="198"/>
      <c r="K7" s="10"/>
      <c r="L7" s="6">
        <f>R41</f>
        <v>725</v>
      </c>
      <c r="P7" s="4"/>
      <c r="Q7" s="4"/>
      <c r="R7" s="5"/>
    </row>
    <row r="8" spans="1:19" ht="14.45" customHeight="1" x14ac:dyDescent="0.25">
      <c r="A8" s="189"/>
      <c r="B8" s="19" t="s">
        <v>20</v>
      </c>
      <c r="C8" s="53">
        <v>5</v>
      </c>
      <c r="D8" s="16">
        <f t="shared" si="1"/>
        <v>5165</v>
      </c>
      <c r="E8" s="9"/>
      <c r="F8" s="199" t="s">
        <v>21</v>
      </c>
      <c r="G8" s="201" t="s">
        <v>122</v>
      </c>
      <c r="H8" s="202"/>
      <c r="I8" s="202"/>
      <c r="J8" s="203"/>
      <c r="K8" s="10"/>
      <c r="L8" s="6">
        <f>R40</f>
        <v>1033</v>
      </c>
      <c r="P8" s="4"/>
      <c r="Q8" s="4"/>
      <c r="R8" s="5"/>
    </row>
    <row r="9" spans="1:19" ht="14.45" customHeight="1" x14ac:dyDescent="0.25">
      <c r="A9" s="189"/>
      <c r="B9" s="19" t="s">
        <v>23</v>
      </c>
      <c r="C9" s="53">
        <v>137</v>
      </c>
      <c r="D9" s="16">
        <f t="shared" si="1"/>
        <v>96859</v>
      </c>
      <c r="E9" s="9"/>
      <c r="F9" s="192"/>
      <c r="G9" s="204"/>
      <c r="H9" s="205"/>
      <c r="I9" s="205"/>
      <c r="J9" s="206"/>
      <c r="K9" s="10"/>
      <c r="L9" s="6">
        <f>R38</f>
        <v>707</v>
      </c>
      <c r="P9" s="4"/>
      <c r="Q9" s="4"/>
      <c r="R9" s="5"/>
    </row>
    <row r="10" spans="1:19" ht="14.45" customHeight="1" x14ac:dyDescent="0.25">
      <c r="A10" s="189"/>
      <c r="B10" s="11" t="s">
        <v>25</v>
      </c>
      <c r="C10" s="53">
        <v>10</v>
      </c>
      <c r="D10" s="16">
        <f t="shared" si="1"/>
        <v>9720</v>
      </c>
      <c r="E10" s="9"/>
      <c r="F10" s="191" t="s">
        <v>26</v>
      </c>
      <c r="G10" s="207" t="s">
        <v>123</v>
      </c>
      <c r="H10" s="208"/>
      <c r="I10" s="208"/>
      <c r="J10" s="209"/>
      <c r="K10" s="10"/>
      <c r="L10" s="6">
        <f>R36</f>
        <v>972</v>
      </c>
      <c r="P10" s="4"/>
      <c r="Q10" s="4"/>
      <c r="R10" s="5"/>
    </row>
    <row r="11" spans="1:19" ht="15.75" x14ac:dyDescent="0.25">
      <c r="A11" s="189"/>
      <c r="B11" s="20" t="s">
        <v>28</v>
      </c>
      <c r="C11" s="53"/>
      <c r="D11" s="16">
        <f t="shared" si="1"/>
        <v>0</v>
      </c>
      <c r="E11" s="9"/>
      <c r="F11" s="192"/>
      <c r="G11" s="204"/>
      <c r="H11" s="205"/>
      <c r="I11" s="205"/>
      <c r="J11" s="206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89"/>
      <c r="B12" s="20" t="s">
        <v>30</v>
      </c>
      <c r="C12" s="53">
        <f>36+2+10</f>
        <v>48</v>
      </c>
      <c r="D12" s="52">
        <f t="shared" si="1"/>
        <v>45696</v>
      </c>
      <c r="E12" s="9"/>
      <c r="F12" s="210" t="s">
        <v>33</v>
      </c>
      <c r="G12" s="211"/>
      <c r="H12" s="211"/>
      <c r="I12" s="211"/>
      <c r="J12" s="212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89"/>
      <c r="B13" s="20" t="s">
        <v>32</v>
      </c>
      <c r="C13" s="53">
        <v>11</v>
      </c>
      <c r="D13" s="52">
        <f t="shared" si="1"/>
        <v>3377</v>
      </c>
      <c r="E13" s="9"/>
      <c r="F13" s="213" t="s">
        <v>36</v>
      </c>
      <c r="G13" s="214"/>
      <c r="H13" s="215">
        <f>D29</f>
        <v>712956</v>
      </c>
      <c r="I13" s="216"/>
      <c r="J13" s="217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89"/>
      <c r="B14" s="17" t="s">
        <v>35</v>
      </c>
      <c r="C14" s="53">
        <v>12</v>
      </c>
      <c r="D14" s="34">
        <f t="shared" si="1"/>
        <v>132</v>
      </c>
      <c r="E14" s="9"/>
      <c r="F14" s="218" t="s">
        <v>39</v>
      </c>
      <c r="G14" s="219"/>
      <c r="H14" s="220">
        <f>D54</f>
        <v>76510.5</v>
      </c>
      <c r="I14" s="221"/>
      <c r="J14" s="222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89"/>
      <c r="B15" s="17" t="s">
        <v>38</v>
      </c>
      <c r="C15" s="53">
        <v>10</v>
      </c>
      <c r="D15" s="34">
        <f t="shared" si="1"/>
        <v>6200</v>
      </c>
      <c r="E15" s="9"/>
      <c r="F15" s="223" t="s">
        <v>40</v>
      </c>
      <c r="G15" s="214"/>
      <c r="H15" s="224">
        <f>H13-H14</f>
        <v>636445.5</v>
      </c>
      <c r="I15" s="225"/>
      <c r="J15" s="226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89"/>
      <c r="B16" s="21" t="s">
        <v>94</v>
      </c>
      <c r="C16" s="53">
        <v>1</v>
      </c>
      <c r="D16" s="52">
        <f t="shared" si="1"/>
        <v>1567</v>
      </c>
      <c r="E16" s="9"/>
      <c r="F16" s="75" t="s">
        <v>42</v>
      </c>
      <c r="G16" s="74" t="s">
        <v>43</v>
      </c>
      <c r="H16" s="227">
        <f>318+438+876</f>
        <v>1632</v>
      </c>
      <c r="I16" s="227"/>
      <c r="J16" s="22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89"/>
      <c r="B17" s="11" t="s">
        <v>114</v>
      </c>
      <c r="C17" s="53"/>
      <c r="D17" s="52">
        <f t="shared" si="1"/>
        <v>0</v>
      </c>
      <c r="E17" s="9"/>
      <c r="F17" s="62"/>
      <c r="G17" s="74" t="s">
        <v>45</v>
      </c>
      <c r="H17" s="200"/>
      <c r="I17" s="200"/>
      <c r="J17" s="200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89"/>
      <c r="B18" s="22" t="s">
        <v>95</v>
      </c>
      <c r="C18" s="53">
        <v>10</v>
      </c>
      <c r="D18" s="52">
        <f t="shared" si="1"/>
        <v>6200</v>
      </c>
      <c r="E18" s="9"/>
      <c r="F18" s="62"/>
      <c r="G18" s="74" t="s">
        <v>47</v>
      </c>
      <c r="H18" s="200"/>
      <c r="I18" s="200"/>
      <c r="J18" s="200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89"/>
      <c r="B19" s="17" t="s">
        <v>118</v>
      </c>
      <c r="C19" s="53">
        <f>5+2+10</f>
        <v>17</v>
      </c>
      <c r="D19" s="52">
        <f t="shared" si="1"/>
        <v>18734</v>
      </c>
      <c r="E19" s="9"/>
      <c r="F19" s="62"/>
      <c r="G19" s="76" t="s">
        <v>50</v>
      </c>
      <c r="H19" s="313">
        <v>250</v>
      </c>
      <c r="I19" s="313"/>
      <c r="J19" s="313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89"/>
      <c r="B20" s="50" t="s">
        <v>110</v>
      </c>
      <c r="C20" s="53">
        <v>1</v>
      </c>
      <c r="D20" s="16">
        <f t="shared" si="1"/>
        <v>1142</v>
      </c>
      <c r="E20" s="9"/>
      <c r="F20" s="63"/>
      <c r="G20" s="78" t="s">
        <v>124</v>
      </c>
      <c r="H20" s="227"/>
      <c r="I20" s="227"/>
      <c r="J20" s="227"/>
      <c r="L20" s="6">
        <v>1142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89"/>
      <c r="B21" s="17" t="s">
        <v>138</v>
      </c>
      <c r="C21" s="53">
        <f>10+10+10</f>
        <v>30</v>
      </c>
      <c r="D21" s="52">
        <f t="shared" si="1"/>
        <v>19500</v>
      </c>
      <c r="E21" s="9"/>
      <c r="F21" s="77" t="s">
        <v>99</v>
      </c>
      <c r="G21" s="92" t="s">
        <v>98</v>
      </c>
      <c r="H21" s="246" t="s">
        <v>13</v>
      </c>
      <c r="I21" s="247"/>
      <c r="J21" s="248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89"/>
      <c r="B22" s="50" t="s">
        <v>206</v>
      </c>
      <c r="C22" s="53">
        <v>1</v>
      </c>
      <c r="D22" s="52">
        <f t="shared" si="1"/>
        <v>1447</v>
      </c>
      <c r="E22" s="9"/>
      <c r="F22" s="85"/>
      <c r="G22" s="81"/>
      <c r="H22" s="249"/>
      <c r="I22" s="249"/>
      <c r="J22" s="249"/>
      <c r="L22" s="7">
        <v>1447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89"/>
      <c r="B23" s="165" t="s">
        <v>208</v>
      </c>
      <c r="C23" s="53">
        <f>5+5+5</f>
        <v>15</v>
      </c>
      <c r="D23" s="52">
        <f t="shared" si="1"/>
        <v>17625</v>
      </c>
      <c r="E23" s="9"/>
      <c r="F23" s="86"/>
      <c r="G23" s="87"/>
      <c r="H23" s="299"/>
      <c r="I23" s="255"/>
      <c r="J23" s="255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89"/>
      <c r="B24" s="17" t="s">
        <v>101</v>
      </c>
      <c r="C24" s="53">
        <v>2</v>
      </c>
      <c r="D24" s="52">
        <f t="shared" si="1"/>
        <v>3334</v>
      </c>
      <c r="E24" s="9"/>
      <c r="F24" s="42"/>
      <c r="G24" s="41"/>
      <c r="H24" s="299"/>
      <c r="I24" s="255"/>
      <c r="J24" s="255"/>
      <c r="L24" s="51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89"/>
      <c r="B25" s="17" t="s">
        <v>205</v>
      </c>
      <c r="C25" s="53">
        <f>1</f>
        <v>1</v>
      </c>
      <c r="D25" s="52">
        <f t="shared" si="1"/>
        <v>1582</v>
      </c>
      <c r="E25" s="9"/>
      <c r="F25" s="66" t="s">
        <v>100</v>
      </c>
      <c r="G25" s="61" t="s">
        <v>98</v>
      </c>
      <c r="H25" s="252" t="s">
        <v>13</v>
      </c>
      <c r="I25" s="253"/>
      <c r="J25" s="254"/>
      <c r="L25" s="51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89"/>
      <c r="B26" s="17" t="s">
        <v>105</v>
      </c>
      <c r="C26" s="53"/>
      <c r="D26" s="52">
        <f t="shared" si="1"/>
        <v>0</v>
      </c>
      <c r="E26" s="9"/>
      <c r="F26" s="72"/>
      <c r="G26" s="65"/>
      <c r="H26" s="300"/>
      <c r="I26" s="301"/>
      <c r="J26" s="302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89"/>
      <c r="B27" s="17" t="s">
        <v>207</v>
      </c>
      <c r="C27" s="53">
        <v>1</v>
      </c>
      <c r="D27" s="48">
        <f t="shared" si="1"/>
        <v>1052</v>
      </c>
      <c r="E27" s="9"/>
      <c r="F27" s="88"/>
      <c r="G27" s="89"/>
      <c r="H27" s="303"/>
      <c r="I27" s="304"/>
      <c r="J27" s="305"/>
      <c r="L27" s="7">
        <v>1052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90"/>
      <c r="B28" s="50" t="s">
        <v>97</v>
      </c>
      <c r="C28" s="53">
        <v>53</v>
      </c>
      <c r="D28" s="52">
        <f t="shared" si="1"/>
        <v>41605</v>
      </c>
      <c r="E28" s="9"/>
      <c r="F28" s="60"/>
      <c r="G28" s="68"/>
      <c r="H28" s="258"/>
      <c r="I28" s="259"/>
      <c r="J28" s="260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28" t="s">
        <v>36</v>
      </c>
      <c r="B29" s="229"/>
      <c r="C29" s="230"/>
      <c r="D29" s="234">
        <f>SUM(D6:D28)</f>
        <v>712956</v>
      </c>
      <c r="E29" s="9"/>
      <c r="F29" s="236" t="s">
        <v>55</v>
      </c>
      <c r="G29" s="237"/>
      <c r="H29" s="240">
        <f>H15-H16-H17-H18-H19-H20-H22-H23-H24+H26+H27</f>
        <v>634563.5</v>
      </c>
      <c r="I29" s="241"/>
      <c r="J29" s="242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231"/>
      <c r="B30" s="232"/>
      <c r="C30" s="233"/>
      <c r="D30" s="235"/>
      <c r="E30" s="9"/>
      <c r="F30" s="238"/>
      <c r="G30" s="239"/>
      <c r="H30" s="243"/>
      <c r="I30" s="244"/>
      <c r="J30" s="245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5" t="s">
        <v>58</v>
      </c>
      <c r="B32" s="176"/>
      <c r="C32" s="176"/>
      <c r="D32" s="177"/>
      <c r="E32" s="11"/>
      <c r="F32" s="261" t="s">
        <v>59</v>
      </c>
      <c r="G32" s="262"/>
      <c r="H32" s="262"/>
      <c r="I32" s="262"/>
      <c r="J32" s="263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58" t="s">
        <v>63</v>
      </c>
      <c r="H33" s="261" t="s">
        <v>13</v>
      </c>
      <c r="I33" s="262"/>
      <c r="J33" s="263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88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82">
        <v>47</v>
      </c>
      <c r="H34" s="264">
        <f>F34*G34</f>
        <v>47000</v>
      </c>
      <c r="I34" s="265"/>
      <c r="J34" s="266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89"/>
      <c r="B35" s="30" t="s">
        <v>68</v>
      </c>
      <c r="C35" s="57">
        <v>5</v>
      </c>
      <c r="D35" s="33">
        <f>C35*84</f>
        <v>420</v>
      </c>
      <c r="E35" s="9"/>
      <c r="F35" s="64">
        <v>500</v>
      </c>
      <c r="G35" s="45">
        <v>17</v>
      </c>
      <c r="H35" s="264">
        <f>F35*G35</f>
        <v>8500</v>
      </c>
      <c r="I35" s="265"/>
      <c r="J35" s="266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90"/>
      <c r="B36" s="29" t="s">
        <v>70</v>
      </c>
      <c r="C36" s="53"/>
      <c r="D36" s="15">
        <f>C36*1.5</f>
        <v>0</v>
      </c>
      <c r="E36" s="9"/>
      <c r="F36" s="15">
        <v>200</v>
      </c>
      <c r="G36" s="41">
        <v>3</v>
      </c>
      <c r="H36" s="264">
        <f t="shared" ref="H36:H39" si="2">F36*G36</f>
        <v>600</v>
      </c>
      <c r="I36" s="265"/>
      <c r="J36" s="266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88" t="s">
        <v>72</v>
      </c>
      <c r="B37" s="31" t="s">
        <v>66</v>
      </c>
      <c r="C37" s="58">
        <v>323</v>
      </c>
      <c r="D37" s="15">
        <f>C37*111</f>
        <v>35853</v>
      </c>
      <c r="E37" s="9"/>
      <c r="F37" s="15">
        <v>100</v>
      </c>
      <c r="G37" s="43">
        <v>111</v>
      </c>
      <c r="H37" s="264">
        <f t="shared" si="2"/>
        <v>11100</v>
      </c>
      <c r="I37" s="265"/>
      <c r="J37" s="266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89"/>
      <c r="B38" s="32" t="s">
        <v>68</v>
      </c>
      <c r="C38" s="59">
        <v>363</v>
      </c>
      <c r="D38" s="15">
        <f>C38*84</f>
        <v>30492</v>
      </c>
      <c r="E38" s="9"/>
      <c r="F38" s="33">
        <v>50</v>
      </c>
      <c r="G38" s="43">
        <v>150</v>
      </c>
      <c r="H38" s="264">
        <f t="shared" si="2"/>
        <v>7500</v>
      </c>
      <c r="I38" s="265"/>
      <c r="J38" s="266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90"/>
      <c r="B39" s="32" t="s">
        <v>70</v>
      </c>
      <c r="C39" s="57">
        <v>4</v>
      </c>
      <c r="D39" s="34">
        <f>C39*4.5</f>
        <v>18</v>
      </c>
      <c r="E39" s="9"/>
      <c r="F39" s="15">
        <v>20</v>
      </c>
      <c r="G39" s="41">
        <v>1</v>
      </c>
      <c r="H39" s="264">
        <f t="shared" si="2"/>
        <v>20</v>
      </c>
      <c r="I39" s="265"/>
      <c r="J39" s="266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88" t="s">
        <v>76</v>
      </c>
      <c r="B40" s="30" t="s">
        <v>66</v>
      </c>
      <c r="C40" s="70">
        <v>3</v>
      </c>
      <c r="D40" s="15">
        <f>C40*111</f>
        <v>333</v>
      </c>
      <c r="E40" s="9"/>
      <c r="F40" s="15">
        <v>10</v>
      </c>
      <c r="G40" s="46"/>
      <c r="H40" s="264"/>
      <c r="I40" s="265"/>
      <c r="J40" s="266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89"/>
      <c r="B41" s="30" t="s">
        <v>68</v>
      </c>
      <c r="C41" s="53">
        <v>37</v>
      </c>
      <c r="D41" s="15">
        <f>C41*84</f>
        <v>3108</v>
      </c>
      <c r="E41" s="9"/>
      <c r="F41" s="15">
        <v>5</v>
      </c>
      <c r="G41" s="46"/>
      <c r="H41" s="264"/>
      <c r="I41" s="265"/>
      <c r="J41" s="266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90"/>
      <c r="B42" s="30" t="s">
        <v>70</v>
      </c>
      <c r="C42" s="71">
        <v>6</v>
      </c>
      <c r="D42" s="15">
        <f>C42*2.25</f>
        <v>13.5</v>
      </c>
      <c r="E42" s="9"/>
      <c r="F42" s="43" t="s">
        <v>79</v>
      </c>
      <c r="G42" s="264">
        <v>103</v>
      </c>
      <c r="H42" s="265"/>
      <c r="I42" s="265"/>
      <c r="J42" s="266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67" t="s">
        <v>81</v>
      </c>
      <c r="C43" s="71"/>
      <c r="D43" s="15"/>
      <c r="E43" s="9"/>
      <c r="F43" s="65" t="s">
        <v>82</v>
      </c>
      <c r="G43" s="160" t="s">
        <v>83</v>
      </c>
      <c r="H43" s="270" t="s">
        <v>13</v>
      </c>
      <c r="I43" s="271"/>
      <c r="J43" s="272"/>
      <c r="K43" s="24"/>
      <c r="P43" s="4"/>
      <c r="Q43" s="4"/>
      <c r="R43" s="5"/>
    </row>
    <row r="44" spans="1:18" ht="15.75" x14ac:dyDescent="0.25">
      <c r="A44" s="268"/>
      <c r="B44" s="30" t="s">
        <v>66</v>
      </c>
      <c r="C44" s="53"/>
      <c r="D44" s="15">
        <f>C44*120</f>
        <v>0</v>
      </c>
      <c r="E44" s="9"/>
      <c r="F44" s="41" t="s">
        <v>176</v>
      </c>
      <c r="G44" s="84" t="s">
        <v>209</v>
      </c>
      <c r="H44" s="255">
        <v>87538</v>
      </c>
      <c r="I44" s="255"/>
      <c r="J44" s="255"/>
      <c r="K44" s="24"/>
      <c r="P44" s="4"/>
      <c r="Q44" s="4"/>
      <c r="R44" s="5"/>
    </row>
    <row r="45" spans="1:18" ht="15.75" x14ac:dyDescent="0.25">
      <c r="A45" s="268"/>
      <c r="B45" s="30" t="s">
        <v>68</v>
      </c>
      <c r="C45" s="90">
        <v>64</v>
      </c>
      <c r="D45" s="15">
        <f>C45*84</f>
        <v>5376</v>
      </c>
      <c r="E45" s="9"/>
      <c r="F45" s="41" t="s">
        <v>148</v>
      </c>
      <c r="G45" s="84" t="s">
        <v>210</v>
      </c>
      <c r="H45" s="255">
        <v>472129</v>
      </c>
      <c r="I45" s="255"/>
      <c r="J45" s="255"/>
      <c r="K45" s="24"/>
      <c r="P45" s="4"/>
      <c r="Q45" s="4"/>
      <c r="R45" s="5"/>
    </row>
    <row r="46" spans="1:18" ht="15.75" x14ac:dyDescent="0.25">
      <c r="A46" s="268"/>
      <c r="B46" s="54" t="s">
        <v>70</v>
      </c>
      <c r="C46" s="91">
        <v>2</v>
      </c>
      <c r="D46" s="15">
        <f>C46*1.5</f>
        <v>3</v>
      </c>
      <c r="E46" s="9"/>
      <c r="F46" s="41"/>
      <c r="G46" s="69"/>
      <c r="H46" s="306"/>
      <c r="I46" s="306"/>
      <c r="J46" s="306"/>
      <c r="K46" s="24"/>
      <c r="P46" s="4"/>
      <c r="Q46" s="4"/>
      <c r="R46" s="5"/>
    </row>
    <row r="47" spans="1:18" ht="15.75" x14ac:dyDescent="0.25">
      <c r="A47" s="269"/>
      <c r="B47" s="30"/>
      <c r="C47" s="71"/>
      <c r="D47" s="15"/>
      <c r="E47" s="9"/>
      <c r="F47" s="65"/>
      <c r="G47" s="65"/>
      <c r="H47" s="273"/>
      <c r="I47" s="274"/>
      <c r="J47" s="275"/>
      <c r="K47" s="24"/>
      <c r="P47" s="4"/>
      <c r="Q47" s="4"/>
      <c r="R47" s="5"/>
    </row>
    <row r="48" spans="1:18" ht="15" customHeight="1" x14ac:dyDescent="0.25">
      <c r="A48" s="267" t="s">
        <v>32</v>
      </c>
      <c r="B48" s="30" t="s">
        <v>66</v>
      </c>
      <c r="C48" s="53">
        <v>10</v>
      </c>
      <c r="D48" s="15">
        <f>C48*78</f>
        <v>780</v>
      </c>
      <c r="E48" s="9"/>
      <c r="F48" s="65"/>
      <c r="G48" s="65"/>
      <c r="H48" s="273"/>
      <c r="I48" s="274"/>
      <c r="J48" s="275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68"/>
      <c r="B49" s="32" t="s">
        <v>68</v>
      </c>
      <c r="C49" s="90">
        <v>2</v>
      </c>
      <c r="D49" s="15">
        <f>C49*42</f>
        <v>84</v>
      </c>
      <c r="E49" s="9"/>
      <c r="F49" s="288" t="s">
        <v>86</v>
      </c>
      <c r="G49" s="240">
        <f>H34+H35+H36+H37+H38+H39+H40+H41+G42+H44+H45+H46</f>
        <v>634490</v>
      </c>
      <c r="H49" s="241"/>
      <c r="I49" s="241"/>
      <c r="J49" s="242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68"/>
      <c r="B50" s="35" t="s">
        <v>70</v>
      </c>
      <c r="C50" s="71">
        <v>20</v>
      </c>
      <c r="D50" s="15">
        <f>C50*1.5</f>
        <v>30</v>
      </c>
      <c r="E50" s="9"/>
      <c r="F50" s="289"/>
      <c r="G50" s="243"/>
      <c r="H50" s="244"/>
      <c r="I50" s="244"/>
      <c r="J50" s="245"/>
      <c r="K50" s="9"/>
      <c r="P50" s="4"/>
      <c r="Q50" s="4"/>
      <c r="R50" s="5"/>
    </row>
    <row r="51" spans="1:18" ht="15" customHeight="1" x14ac:dyDescent="0.25">
      <c r="A51" s="268"/>
      <c r="B51" s="30"/>
      <c r="C51" s="53"/>
      <c r="D51" s="34"/>
      <c r="E51" s="9"/>
      <c r="F51" s="290" t="s">
        <v>135</v>
      </c>
      <c r="G51" s="314">
        <f>G49-H29</f>
        <v>-73.5</v>
      </c>
      <c r="H51" s="315"/>
      <c r="I51" s="315"/>
      <c r="J51" s="316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68"/>
      <c r="B52" s="32"/>
      <c r="C52" s="36"/>
      <c r="D52" s="49"/>
      <c r="E52" s="9"/>
      <c r="F52" s="291"/>
      <c r="G52" s="317"/>
      <c r="H52" s="318"/>
      <c r="I52" s="318"/>
      <c r="J52" s="319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69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236" t="s">
        <v>90</v>
      </c>
      <c r="B54" s="276"/>
      <c r="C54" s="277"/>
      <c r="D54" s="280">
        <f>SUM(D34:D53)</f>
        <v>76510.5</v>
      </c>
      <c r="E54" s="9"/>
      <c r="F54" s="24"/>
      <c r="G54" s="9"/>
      <c r="H54" s="9"/>
      <c r="I54" s="9"/>
      <c r="J54" s="37"/>
    </row>
    <row r="55" spans="1:18" x14ac:dyDescent="0.25">
      <c r="A55" s="238"/>
      <c r="B55" s="278"/>
      <c r="C55" s="279"/>
      <c r="D55" s="281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119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282" t="s">
        <v>91</v>
      </c>
      <c r="B58" s="283"/>
      <c r="C58" s="283"/>
      <c r="D58" s="284"/>
      <c r="E58" s="9"/>
      <c r="F58" s="282" t="s">
        <v>92</v>
      </c>
      <c r="G58" s="283"/>
      <c r="H58" s="283"/>
      <c r="I58" s="283"/>
      <c r="J58" s="284"/>
    </row>
    <row r="59" spans="1:18" x14ac:dyDescent="0.25">
      <c r="A59" s="285"/>
      <c r="B59" s="286"/>
      <c r="C59" s="286"/>
      <c r="D59" s="287"/>
      <c r="E59" s="9"/>
      <c r="F59" s="285"/>
      <c r="G59" s="286"/>
      <c r="H59" s="286"/>
      <c r="I59" s="286"/>
      <c r="J59" s="287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A34671-582B-4CAD-B933-CE49606A5F83}">
  <dimension ref="A1"/>
  <sheetViews>
    <sheetView workbookViewId="0">
      <selection activeCell="I4" sqref="I4:J5"/>
    </sheetView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9F5A4-2D09-4D6D-BE88-868589498142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174" t="s">
        <v>1</v>
      </c>
      <c r="O1" s="174"/>
      <c r="P1" s="100" t="s">
        <v>2</v>
      </c>
      <c r="Q1" s="100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75" t="s">
        <v>7</v>
      </c>
      <c r="B4" s="176"/>
      <c r="C4" s="176"/>
      <c r="D4" s="177"/>
      <c r="E4" s="9"/>
      <c r="F4" s="178" t="s">
        <v>8</v>
      </c>
      <c r="G4" s="180">
        <v>2</v>
      </c>
      <c r="H4" s="182" t="s">
        <v>9</v>
      </c>
      <c r="I4" s="184">
        <v>45779</v>
      </c>
      <c r="J4" s="185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88" t="s">
        <v>7</v>
      </c>
      <c r="B5" s="18" t="s">
        <v>11</v>
      </c>
      <c r="C5" s="12" t="s">
        <v>12</v>
      </c>
      <c r="D5" s="28" t="s">
        <v>13</v>
      </c>
      <c r="E5" s="9"/>
      <c r="F5" s="179"/>
      <c r="G5" s="181"/>
      <c r="H5" s="183"/>
      <c r="I5" s="186"/>
      <c r="J5" s="187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89"/>
      <c r="B6" s="19" t="s">
        <v>15</v>
      </c>
      <c r="C6" s="53">
        <v>469</v>
      </c>
      <c r="D6" s="16">
        <f t="shared" ref="D6:D28" si="1">C6*L6</f>
        <v>345653</v>
      </c>
      <c r="E6" s="9"/>
      <c r="F6" s="191" t="s">
        <v>16</v>
      </c>
      <c r="G6" s="193" t="s">
        <v>127</v>
      </c>
      <c r="H6" s="194"/>
      <c r="I6" s="194"/>
      <c r="J6" s="195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89"/>
      <c r="B7" s="19" t="s">
        <v>18</v>
      </c>
      <c r="C7" s="53">
        <v>13</v>
      </c>
      <c r="D7" s="16">
        <f t="shared" si="1"/>
        <v>9425</v>
      </c>
      <c r="E7" s="9"/>
      <c r="F7" s="192"/>
      <c r="G7" s="196"/>
      <c r="H7" s="197"/>
      <c r="I7" s="197"/>
      <c r="J7" s="198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189"/>
      <c r="B8" s="19" t="s">
        <v>20</v>
      </c>
      <c r="C8" s="53"/>
      <c r="D8" s="16">
        <f t="shared" si="1"/>
        <v>0</v>
      </c>
      <c r="E8" s="9"/>
      <c r="F8" s="199" t="s">
        <v>21</v>
      </c>
      <c r="G8" s="201" t="s">
        <v>115</v>
      </c>
      <c r="H8" s="202"/>
      <c r="I8" s="202"/>
      <c r="J8" s="203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189"/>
      <c r="B9" s="19" t="s">
        <v>23</v>
      </c>
      <c r="C9" s="53">
        <v>39</v>
      </c>
      <c r="D9" s="16">
        <f t="shared" si="1"/>
        <v>27573</v>
      </c>
      <c r="E9" s="9"/>
      <c r="F9" s="192"/>
      <c r="G9" s="204"/>
      <c r="H9" s="205"/>
      <c r="I9" s="205"/>
      <c r="J9" s="206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189"/>
      <c r="B10" s="11" t="s">
        <v>25</v>
      </c>
      <c r="C10" s="53">
        <v>1</v>
      </c>
      <c r="D10" s="16">
        <f t="shared" si="1"/>
        <v>972</v>
      </c>
      <c r="E10" s="9"/>
      <c r="F10" s="191" t="s">
        <v>26</v>
      </c>
      <c r="G10" s="207" t="s">
        <v>116</v>
      </c>
      <c r="H10" s="208"/>
      <c r="I10" s="208"/>
      <c r="J10" s="209"/>
      <c r="K10" s="10"/>
      <c r="L10" s="6">
        <f>R36</f>
        <v>972</v>
      </c>
      <c r="P10" s="4"/>
      <c r="Q10" s="4"/>
      <c r="R10" s="5"/>
    </row>
    <row r="11" spans="1:18" ht="15.75" x14ac:dyDescent="0.25">
      <c r="A11" s="189"/>
      <c r="B11" s="20" t="s">
        <v>28</v>
      </c>
      <c r="C11" s="53"/>
      <c r="D11" s="16">
        <f t="shared" si="1"/>
        <v>0</v>
      </c>
      <c r="E11" s="9"/>
      <c r="F11" s="192"/>
      <c r="G11" s="204"/>
      <c r="H11" s="205"/>
      <c r="I11" s="205"/>
      <c r="J11" s="206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89"/>
      <c r="B12" s="20" t="s">
        <v>30</v>
      </c>
      <c r="C12" s="53"/>
      <c r="D12" s="52">
        <f t="shared" si="1"/>
        <v>0</v>
      </c>
      <c r="E12" s="9"/>
      <c r="F12" s="210" t="s">
        <v>33</v>
      </c>
      <c r="G12" s="211"/>
      <c r="H12" s="211"/>
      <c r="I12" s="211"/>
      <c r="J12" s="212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89"/>
      <c r="B13" s="20" t="s">
        <v>32</v>
      </c>
      <c r="C13" s="53">
        <v>21</v>
      </c>
      <c r="D13" s="52">
        <f t="shared" si="1"/>
        <v>6447</v>
      </c>
      <c r="E13" s="9"/>
      <c r="F13" s="213" t="s">
        <v>36</v>
      </c>
      <c r="G13" s="214"/>
      <c r="H13" s="215">
        <f>D29</f>
        <v>393665</v>
      </c>
      <c r="I13" s="216"/>
      <c r="J13" s="217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89"/>
      <c r="B14" s="17" t="s">
        <v>35</v>
      </c>
      <c r="C14" s="53"/>
      <c r="D14" s="34">
        <f t="shared" si="1"/>
        <v>0</v>
      </c>
      <c r="E14" s="9"/>
      <c r="F14" s="218" t="s">
        <v>39</v>
      </c>
      <c r="G14" s="219"/>
      <c r="H14" s="220">
        <f>D54</f>
        <v>45481.5</v>
      </c>
      <c r="I14" s="221"/>
      <c r="J14" s="222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89"/>
      <c r="B15" s="17" t="s">
        <v>38</v>
      </c>
      <c r="C15" s="53">
        <v>2</v>
      </c>
      <c r="D15" s="34">
        <f t="shared" si="1"/>
        <v>1240</v>
      </c>
      <c r="E15" s="9"/>
      <c r="F15" s="223" t="s">
        <v>40</v>
      </c>
      <c r="G15" s="214"/>
      <c r="H15" s="224">
        <f>H13-H14</f>
        <v>348183.5</v>
      </c>
      <c r="I15" s="225"/>
      <c r="J15" s="226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89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227">
        <v>3834</v>
      </c>
      <c r="I16" s="227"/>
      <c r="J16" s="22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89"/>
      <c r="B17" s="11" t="s">
        <v>93</v>
      </c>
      <c r="C17" s="53"/>
      <c r="D17" s="52">
        <f t="shared" si="1"/>
        <v>0</v>
      </c>
      <c r="E17" s="9"/>
      <c r="F17" s="62"/>
      <c r="G17" s="74" t="s">
        <v>45</v>
      </c>
      <c r="H17" s="200"/>
      <c r="I17" s="200"/>
      <c r="J17" s="200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89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200"/>
      <c r="I18" s="200"/>
      <c r="J18" s="200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89"/>
      <c r="B19" s="17" t="s">
        <v>96</v>
      </c>
      <c r="C19" s="53"/>
      <c r="D19" s="52">
        <f t="shared" si="1"/>
        <v>0</v>
      </c>
      <c r="E19" s="9"/>
      <c r="F19" s="62"/>
      <c r="G19" s="76" t="s">
        <v>50</v>
      </c>
      <c r="H19" s="298"/>
      <c r="I19" s="298"/>
      <c r="J19" s="298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89"/>
      <c r="B20" s="50" t="s">
        <v>131</v>
      </c>
      <c r="C20" s="53"/>
      <c r="D20" s="16">
        <f t="shared" si="1"/>
        <v>0</v>
      </c>
      <c r="E20" s="9"/>
      <c r="F20" s="63"/>
      <c r="G20" s="78" t="s">
        <v>124</v>
      </c>
      <c r="H20" s="200"/>
      <c r="I20" s="200"/>
      <c r="J20" s="200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89"/>
      <c r="B21" s="17" t="s">
        <v>130</v>
      </c>
      <c r="C21" s="53"/>
      <c r="D21" s="52">
        <f t="shared" si="1"/>
        <v>0</v>
      </c>
      <c r="E21" s="9"/>
      <c r="F21" s="77" t="s">
        <v>99</v>
      </c>
      <c r="G21" s="92" t="s">
        <v>98</v>
      </c>
      <c r="H21" s="246" t="s">
        <v>13</v>
      </c>
      <c r="I21" s="247"/>
      <c r="J21" s="248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89"/>
      <c r="B22" s="50" t="s">
        <v>104</v>
      </c>
      <c r="C22" s="53"/>
      <c r="D22" s="52">
        <f t="shared" si="1"/>
        <v>0</v>
      </c>
      <c r="E22" s="9"/>
      <c r="F22" s="80"/>
      <c r="G22" s="81"/>
      <c r="H22" s="249"/>
      <c r="I22" s="249"/>
      <c r="J22" s="249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89"/>
      <c r="B23" s="17" t="s">
        <v>107</v>
      </c>
      <c r="C23" s="53"/>
      <c r="D23" s="52">
        <f t="shared" si="1"/>
        <v>0</v>
      </c>
      <c r="E23" s="9"/>
      <c r="F23" s="28"/>
      <c r="G23" s="41"/>
      <c r="H23" s="299"/>
      <c r="I23" s="255"/>
      <c r="J23" s="255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89"/>
      <c r="B24" s="17" t="s">
        <v>133</v>
      </c>
      <c r="C24" s="53"/>
      <c r="D24" s="52">
        <f t="shared" si="1"/>
        <v>0</v>
      </c>
      <c r="E24" s="9"/>
      <c r="F24" s="42"/>
      <c r="G24" s="41"/>
      <c r="H24" s="299"/>
      <c r="I24" s="255"/>
      <c r="J24" s="255"/>
      <c r="L24" s="51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89"/>
      <c r="B25" s="17" t="s">
        <v>134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52" t="s">
        <v>13</v>
      </c>
      <c r="I25" s="253"/>
      <c r="J25" s="254"/>
      <c r="L25" s="51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89"/>
      <c r="B26" s="17" t="s">
        <v>105</v>
      </c>
      <c r="C26" s="53"/>
      <c r="D26" s="52">
        <f t="shared" si="1"/>
        <v>0</v>
      </c>
      <c r="E26" s="9"/>
      <c r="F26" s="72"/>
      <c r="G26" s="13"/>
      <c r="H26" s="300"/>
      <c r="I26" s="301"/>
      <c r="J26" s="302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89"/>
      <c r="B27" s="17" t="s">
        <v>109</v>
      </c>
      <c r="C27" s="53"/>
      <c r="D27" s="48">
        <f t="shared" si="1"/>
        <v>0</v>
      </c>
      <c r="E27" s="9"/>
      <c r="F27" s="67"/>
      <c r="G27" s="67"/>
      <c r="H27" s="303"/>
      <c r="I27" s="304"/>
      <c r="J27" s="305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90"/>
      <c r="B28" s="50" t="s">
        <v>97</v>
      </c>
      <c r="C28" s="53">
        <v>3</v>
      </c>
      <c r="D28" s="52">
        <f t="shared" si="1"/>
        <v>2355</v>
      </c>
      <c r="E28" s="9"/>
      <c r="F28" s="60"/>
      <c r="G28" s="68"/>
      <c r="H28" s="258"/>
      <c r="I28" s="259"/>
      <c r="J28" s="260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28" t="s">
        <v>36</v>
      </c>
      <c r="B29" s="229"/>
      <c r="C29" s="230"/>
      <c r="D29" s="234">
        <f>SUM(D6:D28)</f>
        <v>393665</v>
      </c>
      <c r="E29" s="9"/>
      <c r="F29" s="236" t="s">
        <v>55</v>
      </c>
      <c r="G29" s="237"/>
      <c r="H29" s="240">
        <f>H15-H16-H17-H18-H19-H20-H22-H23-H24+H26+H27</f>
        <v>344349.5</v>
      </c>
      <c r="I29" s="241"/>
      <c r="J29" s="242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231"/>
      <c r="B30" s="232"/>
      <c r="C30" s="233"/>
      <c r="D30" s="235"/>
      <c r="E30" s="9"/>
      <c r="F30" s="238"/>
      <c r="G30" s="239"/>
      <c r="H30" s="243"/>
      <c r="I30" s="244"/>
      <c r="J30" s="245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5" t="s">
        <v>58</v>
      </c>
      <c r="B32" s="176"/>
      <c r="C32" s="176"/>
      <c r="D32" s="177"/>
      <c r="E32" s="11"/>
      <c r="F32" s="261" t="s">
        <v>59</v>
      </c>
      <c r="G32" s="262"/>
      <c r="H32" s="262"/>
      <c r="I32" s="262"/>
      <c r="J32" s="263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01" t="s">
        <v>63</v>
      </c>
      <c r="H33" s="261" t="s">
        <v>13</v>
      </c>
      <c r="I33" s="262"/>
      <c r="J33" s="263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88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82">
        <v>158</v>
      </c>
      <c r="H34" s="264">
        <f>F34*G34</f>
        <v>158000</v>
      </c>
      <c r="I34" s="265"/>
      <c r="J34" s="266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89"/>
      <c r="B35" s="30" t="s">
        <v>68</v>
      </c>
      <c r="C35" s="57"/>
      <c r="D35" s="33">
        <f>C35*84</f>
        <v>0</v>
      </c>
      <c r="E35" s="9"/>
      <c r="F35" s="64">
        <v>500</v>
      </c>
      <c r="G35" s="45">
        <v>370</v>
      </c>
      <c r="H35" s="264">
        <f t="shared" ref="H35:H39" si="2">F35*G35</f>
        <v>185000</v>
      </c>
      <c r="I35" s="265"/>
      <c r="J35" s="266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90"/>
      <c r="B36" s="29" t="s">
        <v>70</v>
      </c>
      <c r="C36" s="53"/>
      <c r="D36" s="15">
        <f>C36*1.5</f>
        <v>0</v>
      </c>
      <c r="E36" s="9"/>
      <c r="F36" s="15">
        <v>200</v>
      </c>
      <c r="G36" s="41">
        <v>1</v>
      </c>
      <c r="H36" s="264">
        <f t="shared" si="2"/>
        <v>200</v>
      </c>
      <c r="I36" s="265"/>
      <c r="J36" s="266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88" t="s">
        <v>72</v>
      </c>
      <c r="B37" s="31" t="s">
        <v>66</v>
      </c>
      <c r="C37" s="58">
        <v>374</v>
      </c>
      <c r="D37" s="15">
        <f>C37*111</f>
        <v>41514</v>
      </c>
      <c r="E37" s="9"/>
      <c r="F37" s="15">
        <v>100</v>
      </c>
      <c r="G37" s="43">
        <v>17</v>
      </c>
      <c r="H37" s="264">
        <f t="shared" si="2"/>
        <v>1700</v>
      </c>
      <c r="I37" s="265"/>
      <c r="J37" s="266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89"/>
      <c r="B38" s="32" t="s">
        <v>68</v>
      </c>
      <c r="C38" s="59">
        <v>11</v>
      </c>
      <c r="D38" s="15">
        <f>C38*84</f>
        <v>924</v>
      </c>
      <c r="E38" s="9"/>
      <c r="F38" s="33">
        <v>50</v>
      </c>
      <c r="G38" s="43">
        <v>5</v>
      </c>
      <c r="H38" s="264">
        <f t="shared" si="2"/>
        <v>250</v>
      </c>
      <c r="I38" s="265"/>
      <c r="J38" s="266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90"/>
      <c r="B39" s="32" t="s">
        <v>70</v>
      </c>
      <c r="C39" s="57">
        <v>8</v>
      </c>
      <c r="D39" s="34">
        <f>C39*4.5</f>
        <v>36</v>
      </c>
      <c r="E39" s="9"/>
      <c r="F39" s="15">
        <v>20</v>
      </c>
      <c r="G39" s="41">
        <v>2</v>
      </c>
      <c r="H39" s="264">
        <f t="shared" si="2"/>
        <v>40</v>
      </c>
      <c r="I39" s="265"/>
      <c r="J39" s="266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88" t="s">
        <v>76</v>
      </c>
      <c r="B40" s="30" t="s">
        <v>66</v>
      </c>
      <c r="C40" s="70">
        <v>9</v>
      </c>
      <c r="D40" s="15">
        <f>C40*111</f>
        <v>999</v>
      </c>
      <c r="E40" s="9"/>
      <c r="F40" s="15">
        <v>10</v>
      </c>
      <c r="G40" s="46"/>
      <c r="H40" s="264"/>
      <c r="I40" s="265"/>
      <c r="J40" s="266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89"/>
      <c r="B41" s="30" t="s">
        <v>68</v>
      </c>
      <c r="C41" s="53">
        <v>8</v>
      </c>
      <c r="D41" s="15">
        <f>C41*84</f>
        <v>672</v>
      </c>
      <c r="E41" s="9"/>
      <c r="F41" s="15">
        <v>5</v>
      </c>
      <c r="G41" s="46"/>
      <c r="H41" s="264"/>
      <c r="I41" s="265"/>
      <c r="J41" s="266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90"/>
      <c r="B42" s="30" t="s">
        <v>70</v>
      </c>
      <c r="C42" s="71">
        <v>4</v>
      </c>
      <c r="D42" s="15">
        <f>C42*2.25</f>
        <v>9</v>
      </c>
      <c r="E42" s="9"/>
      <c r="F42" s="43" t="s">
        <v>79</v>
      </c>
      <c r="G42" s="264">
        <v>145</v>
      </c>
      <c r="H42" s="265"/>
      <c r="I42" s="265"/>
      <c r="J42" s="266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67" t="s">
        <v>81</v>
      </c>
      <c r="C43" s="71"/>
      <c r="D43" s="15"/>
      <c r="E43" s="9"/>
      <c r="F43" s="65" t="s">
        <v>82</v>
      </c>
      <c r="G43" s="98" t="s">
        <v>83</v>
      </c>
      <c r="H43" s="270" t="s">
        <v>13</v>
      </c>
      <c r="I43" s="271"/>
      <c r="J43" s="272"/>
      <c r="K43" s="24"/>
      <c r="P43" s="4"/>
      <c r="Q43" s="4"/>
      <c r="R43" s="5"/>
    </row>
    <row r="44" spans="1:18" ht="15.75" x14ac:dyDescent="0.25">
      <c r="A44" s="268"/>
      <c r="B44" s="30" t="s">
        <v>66</v>
      </c>
      <c r="C44" s="53">
        <v>1</v>
      </c>
      <c r="D44" s="15">
        <f>C44*120</f>
        <v>120</v>
      </c>
      <c r="E44" s="9"/>
      <c r="F44" s="41"/>
      <c r="G44" s="69"/>
      <c r="H44" s="255"/>
      <c r="I44" s="255"/>
      <c r="J44" s="255"/>
      <c r="K44" s="24"/>
      <c r="P44" s="4"/>
      <c r="Q44" s="4"/>
      <c r="R44" s="5"/>
    </row>
    <row r="45" spans="1:18" ht="15.75" x14ac:dyDescent="0.25">
      <c r="A45" s="268"/>
      <c r="B45" s="30" t="s">
        <v>68</v>
      </c>
      <c r="C45" s="90">
        <v>1</v>
      </c>
      <c r="D45" s="15">
        <f>C45*84</f>
        <v>84</v>
      </c>
      <c r="E45" s="9"/>
      <c r="F45" s="41"/>
      <c r="G45" s="69"/>
      <c r="H45" s="255"/>
      <c r="I45" s="255"/>
      <c r="J45" s="255"/>
      <c r="K45" s="24"/>
      <c r="P45" s="4"/>
      <c r="Q45" s="4"/>
      <c r="R45" s="5"/>
    </row>
    <row r="46" spans="1:18" ht="15.75" x14ac:dyDescent="0.25">
      <c r="A46" s="268"/>
      <c r="B46" s="54" t="s">
        <v>70</v>
      </c>
      <c r="C46" s="91">
        <v>6</v>
      </c>
      <c r="D46" s="15">
        <f>C46*1.5</f>
        <v>9</v>
      </c>
      <c r="E46" s="9"/>
      <c r="F46" s="41"/>
      <c r="G46" s="99"/>
      <c r="H46" s="306"/>
      <c r="I46" s="306"/>
      <c r="J46" s="306"/>
      <c r="K46" s="24"/>
      <c r="P46" s="4"/>
      <c r="Q46" s="4"/>
      <c r="R46" s="5"/>
    </row>
    <row r="47" spans="1:18" ht="15.75" x14ac:dyDescent="0.25">
      <c r="A47" s="269"/>
      <c r="B47" s="30"/>
      <c r="C47" s="71"/>
      <c r="D47" s="15"/>
      <c r="E47" s="9"/>
      <c r="F47" s="65"/>
      <c r="G47" s="65"/>
      <c r="H47" s="273"/>
      <c r="I47" s="274"/>
      <c r="J47" s="275"/>
      <c r="K47" s="24"/>
      <c r="P47" s="4"/>
      <c r="Q47" s="4"/>
      <c r="R47" s="5"/>
    </row>
    <row r="48" spans="1:18" ht="15" customHeight="1" x14ac:dyDescent="0.25">
      <c r="A48" s="267" t="s">
        <v>32</v>
      </c>
      <c r="B48" s="30" t="s">
        <v>66</v>
      </c>
      <c r="C48" s="53">
        <v>6</v>
      </c>
      <c r="D48" s="15">
        <f>C48*78</f>
        <v>468</v>
      </c>
      <c r="E48" s="9"/>
      <c r="F48" s="65"/>
      <c r="G48" s="65"/>
      <c r="H48" s="273"/>
      <c r="I48" s="274"/>
      <c r="J48" s="275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68"/>
      <c r="B49" s="32" t="s">
        <v>68</v>
      </c>
      <c r="C49" s="90">
        <v>15</v>
      </c>
      <c r="D49" s="15">
        <f>C49*42</f>
        <v>630</v>
      </c>
      <c r="E49" s="9"/>
      <c r="F49" s="288" t="s">
        <v>86</v>
      </c>
      <c r="G49" s="240">
        <f>H34+H35+H36+H37+H38+H39+H40+H41+G42+H44+H45+H46</f>
        <v>345335</v>
      </c>
      <c r="H49" s="241"/>
      <c r="I49" s="241"/>
      <c r="J49" s="242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68"/>
      <c r="B50" s="35" t="s">
        <v>70</v>
      </c>
      <c r="C50" s="71">
        <v>11</v>
      </c>
      <c r="D50" s="15">
        <f>C50*1.5</f>
        <v>16.5</v>
      </c>
      <c r="E50" s="9"/>
      <c r="F50" s="289"/>
      <c r="G50" s="243"/>
      <c r="H50" s="244"/>
      <c r="I50" s="244"/>
      <c r="J50" s="245"/>
      <c r="K50" s="9"/>
      <c r="P50" s="4"/>
      <c r="Q50" s="4"/>
      <c r="R50" s="5"/>
    </row>
    <row r="51" spans="1:18" ht="15" customHeight="1" x14ac:dyDescent="0.25">
      <c r="A51" s="268"/>
      <c r="B51" s="30"/>
      <c r="C51" s="13"/>
      <c r="D51" s="34"/>
      <c r="E51" s="9"/>
      <c r="F51" s="290" t="s">
        <v>144</v>
      </c>
      <c r="G51" s="307">
        <f>G49-H29</f>
        <v>985.5</v>
      </c>
      <c r="H51" s="308"/>
      <c r="I51" s="308"/>
      <c r="J51" s="309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68"/>
      <c r="B52" s="32"/>
      <c r="C52" s="36"/>
      <c r="D52" s="49"/>
      <c r="E52" s="9"/>
      <c r="F52" s="291"/>
      <c r="G52" s="310"/>
      <c r="H52" s="311"/>
      <c r="I52" s="311"/>
      <c r="J52" s="312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69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236" t="s">
        <v>90</v>
      </c>
      <c r="B54" s="276"/>
      <c r="C54" s="277"/>
      <c r="D54" s="280">
        <f>SUM(D34:D53)</f>
        <v>45481.5</v>
      </c>
      <c r="E54" s="9"/>
      <c r="F54" s="24"/>
      <c r="G54" s="9"/>
      <c r="H54" s="9"/>
      <c r="I54" s="9"/>
      <c r="J54" s="37"/>
    </row>
    <row r="55" spans="1:18" x14ac:dyDescent="0.25">
      <c r="A55" s="238"/>
      <c r="B55" s="278"/>
      <c r="C55" s="279"/>
      <c r="D55" s="281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136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282" t="s">
        <v>91</v>
      </c>
      <c r="B58" s="283"/>
      <c r="C58" s="283"/>
      <c r="D58" s="284"/>
      <c r="E58" s="9"/>
      <c r="F58" s="282" t="s">
        <v>92</v>
      </c>
      <c r="G58" s="283"/>
      <c r="H58" s="283"/>
      <c r="I58" s="283"/>
      <c r="J58" s="284"/>
    </row>
    <row r="59" spans="1:18" x14ac:dyDescent="0.25">
      <c r="A59" s="285"/>
      <c r="B59" s="286"/>
      <c r="C59" s="286"/>
      <c r="D59" s="287"/>
      <c r="E59" s="9"/>
      <c r="F59" s="285"/>
      <c r="G59" s="286"/>
      <c r="H59" s="286"/>
      <c r="I59" s="286"/>
      <c r="J59" s="287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5196E-D22E-4577-B53F-78CA90176ACA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174" t="s">
        <v>1</v>
      </c>
      <c r="O1" s="174"/>
      <c r="P1" s="161" t="s">
        <v>2</v>
      </c>
      <c r="Q1" s="161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75" t="s">
        <v>7</v>
      </c>
      <c r="B4" s="176"/>
      <c r="C4" s="176"/>
      <c r="D4" s="177"/>
      <c r="E4" s="9"/>
      <c r="F4" s="178" t="s">
        <v>8</v>
      </c>
      <c r="G4" s="180">
        <v>1</v>
      </c>
      <c r="H4" s="182" t="s">
        <v>9</v>
      </c>
      <c r="I4" s="184">
        <v>45800</v>
      </c>
      <c r="J4" s="185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88" t="s">
        <v>7</v>
      </c>
      <c r="B5" s="18" t="s">
        <v>11</v>
      </c>
      <c r="C5" s="12" t="s">
        <v>12</v>
      </c>
      <c r="D5" s="28" t="s">
        <v>13</v>
      </c>
      <c r="E5" s="9"/>
      <c r="F5" s="179"/>
      <c r="G5" s="181"/>
      <c r="H5" s="183"/>
      <c r="I5" s="186"/>
      <c r="J5" s="187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89"/>
      <c r="B6" s="19" t="s">
        <v>15</v>
      </c>
      <c r="C6" s="53">
        <v>431</v>
      </c>
      <c r="D6" s="16">
        <f t="shared" ref="D6:D28" si="1">C6*L6</f>
        <v>317647</v>
      </c>
      <c r="E6" s="9"/>
      <c r="F6" s="191" t="s">
        <v>16</v>
      </c>
      <c r="G6" s="193" t="s">
        <v>128</v>
      </c>
      <c r="H6" s="194"/>
      <c r="I6" s="194"/>
      <c r="J6" s="195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89"/>
      <c r="B7" s="19" t="s">
        <v>18</v>
      </c>
      <c r="C7" s="53">
        <v>10</v>
      </c>
      <c r="D7" s="16">
        <f t="shared" si="1"/>
        <v>7250</v>
      </c>
      <c r="E7" s="9"/>
      <c r="F7" s="192"/>
      <c r="G7" s="196"/>
      <c r="H7" s="197"/>
      <c r="I7" s="197"/>
      <c r="J7" s="198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189"/>
      <c r="B8" s="19" t="s">
        <v>20</v>
      </c>
      <c r="C8" s="53">
        <v>3</v>
      </c>
      <c r="D8" s="16">
        <f t="shared" si="1"/>
        <v>3099</v>
      </c>
      <c r="E8" s="9"/>
      <c r="F8" s="199" t="s">
        <v>21</v>
      </c>
      <c r="G8" s="201" t="s">
        <v>113</v>
      </c>
      <c r="H8" s="202"/>
      <c r="I8" s="202"/>
      <c r="J8" s="203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189"/>
      <c r="B9" s="19" t="s">
        <v>23</v>
      </c>
      <c r="C9" s="53">
        <v>21</v>
      </c>
      <c r="D9" s="16">
        <f t="shared" si="1"/>
        <v>14847</v>
      </c>
      <c r="E9" s="9"/>
      <c r="F9" s="192"/>
      <c r="G9" s="204"/>
      <c r="H9" s="205"/>
      <c r="I9" s="205"/>
      <c r="J9" s="206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189"/>
      <c r="B10" s="11" t="s">
        <v>25</v>
      </c>
      <c r="C10" s="53">
        <v>3</v>
      </c>
      <c r="D10" s="16">
        <f t="shared" si="1"/>
        <v>2916</v>
      </c>
      <c r="E10" s="9"/>
      <c r="F10" s="191" t="s">
        <v>26</v>
      </c>
      <c r="G10" s="207" t="s">
        <v>132</v>
      </c>
      <c r="H10" s="208"/>
      <c r="I10" s="208"/>
      <c r="J10" s="209"/>
      <c r="K10" s="10"/>
      <c r="L10" s="6">
        <f>R36</f>
        <v>972</v>
      </c>
      <c r="P10" s="4"/>
      <c r="Q10" s="4"/>
      <c r="R10" s="5"/>
    </row>
    <row r="11" spans="1:18" ht="15.75" x14ac:dyDescent="0.25">
      <c r="A11" s="189"/>
      <c r="B11" s="20" t="s">
        <v>28</v>
      </c>
      <c r="C11" s="53">
        <v>3</v>
      </c>
      <c r="D11" s="16">
        <f t="shared" si="1"/>
        <v>3375</v>
      </c>
      <c r="E11" s="9"/>
      <c r="F11" s="192"/>
      <c r="G11" s="204"/>
      <c r="H11" s="205"/>
      <c r="I11" s="205"/>
      <c r="J11" s="206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89"/>
      <c r="B12" s="20" t="s">
        <v>30</v>
      </c>
      <c r="C12" s="53">
        <f>2+1</f>
        <v>3</v>
      </c>
      <c r="D12" s="52">
        <f t="shared" si="1"/>
        <v>2856</v>
      </c>
      <c r="E12" s="9"/>
      <c r="F12" s="210" t="s">
        <v>33</v>
      </c>
      <c r="G12" s="211"/>
      <c r="H12" s="211"/>
      <c r="I12" s="211"/>
      <c r="J12" s="212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89"/>
      <c r="B13" s="20" t="s">
        <v>32</v>
      </c>
      <c r="C13" s="53">
        <v>16</v>
      </c>
      <c r="D13" s="52">
        <f t="shared" si="1"/>
        <v>4912</v>
      </c>
      <c r="E13" s="9"/>
      <c r="F13" s="213" t="s">
        <v>36</v>
      </c>
      <c r="G13" s="214"/>
      <c r="H13" s="215">
        <f>D29</f>
        <v>370751</v>
      </c>
      <c r="I13" s="216"/>
      <c r="J13" s="217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89"/>
      <c r="B14" s="17" t="s">
        <v>35</v>
      </c>
      <c r="C14" s="53">
        <v>14</v>
      </c>
      <c r="D14" s="34">
        <f t="shared" si="1"/>
        <v>154</v>
      </c>
      <c r="E14" s="9"/>
      <c r="F14" s="218" t="s">
        <v>39</v>
      </c>
      <c r="G14" s="219"/>
      <c r="H14" s="220">
        <f>D54</f>
        <v>59532</v>
      </c>
      <c r="I14" s="221"/>
      <c r="J14" s="222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89"/>
      <c r="B15" s="17" t="s">
        <v>38</v>
      </c>
      <c r="C15" s="53"/>
      <c r="D15" s="34">
        <f t="shared" si="1"/>
        <v>0</v>
      </c>
      <c r="E15" s="9"/>
      <c r="F15" s="223" t="s">
        <v>40</v>
      </c>
      <c r="G15" s="214"/>
      <c r="H15" s="224">
        <f>H13-H14</f>
        <v>311219</v>
      </c>
      <c r="I15" s="225"/>
      <c r="J15" s="226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89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227">
        <f>2016</f>
        <v>2016</v>
      </c>
      <c r="I16" s="227"/>
      <c r="J16" s="22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89"/>
      <c r="B17" s="11" t="s">
        <v>137</v>
      </c>
      <c r="C17" s="53"/>
      <c r="D17" s="52">
        <f t="shared" si="1"/>
        <v>0</v>
      </c>
      <c r="E17" s="9"/>
      <c r="F17" s="62"/>
      <c r="G17" s="74" t="s">
        <v>45</v>
      </c>
      <c r="H17" s="200"/>
      <c r="I17" s="200"/>
      <c r="J17" s="200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89"/>
      <c r="B18" s="22" t="s">
        <v>95</v>
      </c>
      <c r="C18" s="53">
        <v>1</v>
      </c>
      <c r="D18" s="52">
        <f t="shared" si="1"/>
        <v>620</v>
      </c>
      <c r="E18" s="9"/>
      <c r="F18" s="62"/>
      <c r="G18" s="74" t="s">
        <v>47</v>
      </c>
      <c r="H18" s="200"/>
      <c r="I18" s="200"/>
      <c r="J18" s="200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89"/>
      <c r="B19" s="17" t="s">
        <v>140</v>
      </c>
      <c r="C19" s="53"/>
      <c r="D19" s="52">
        <f t="shared" si="1"/>
        <v>0</v>
      </c>
      <c r="E19" s="9"/>
      <c r="F19" s="62"/>
      <c r="G19" s="76" t="s">
        <v>50</v>
      </c>
      <c r="H19" s="200"/>
      <c r="I19" s="200"/>
      <c r="J19" s="200"/>
      <c r="L19" s="6">
        <v>1102</v>
      </c>
      <c r="Q19" s="4"/>
      <c r="R19" s="5">
        <f t="shared" si="0"/>
        <v>0</v>
      </c>
    </row>
    <row r="20" spans="1:18" ht="15.75" x14ac:dyDescent="0.25">
      <c r="A20" s="189"/>
      <c r="B20" s="97" t="s">
        <v>139</v>
      </c>
      <c r="C20" s="53"/>
      <c r="D20" s="16">
        <f t="shared" si="1"/>
        <v>0</v>
      </c>
      <c r="E20" s="9"/>
      <c r="F20" s="63"/>
      <c r="G20" s="78" t="s">
        <v>124</v>
      </c>
      <c r="H20" s="227">
        <v>674</v>
      </c>
      <c r="I20" s="227"/>
      <c r="J20" s="227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89"/>
      <c r="B21" s="17" t="s">
        <v>138</v>
      </c>
      <c r="C21" s="53">
        <f>1+1</f>
        <v>2</v>
      </c>
      <c r="D21" s="52">
        <f t="shared" si="1"/>
        <v>1300</v>
      </c>
      <c r="E21" s="9"/>
      <c r="F21" s="77" t="s">
        <v>99</v>
      </c>
      <c r="G21" s="92" t="s">
        <v>98</v>
      </c>
      <c r="H21" s="246" t="s">
        <v>13</v>
      </c>
      <c r="I21" s="247"/>
      <c r="J21" s="248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89"/>
      <c r="B22" s="50" t="s">
        <v>110</v>
      </c>
      <c r="C22" s="53"/>
      <c r="D22" s="52">
        <f t="shared" si="1"/>
        <v>0</v>
      </c>
      <c r="E22" s="9"/>
      <c r="F22" s="85" t="s">
        <v>152</v>
      </c>
      <c r="G22" s="81">
        <v>2339</v>
      </c>
      <c r="H22" s="249">
        <v>66073</v>
      </c>
      <c r="I22" s="249"/>
      <c r="J22" s="249"/>
      <c r="L22" s="7">
        <v>1142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89"/>
      <c r="B23" s="17" t="s">
        <v>125</v>
      </c>
      <c r="C23" s="53"/>
      <c r="D23" s="52">
        <f t="shared" si="1"/>
        <v>0</v>
      </c>
      <c r="E23" s="9"/>
      <c r="F23" s="85"/>
      <c r="G23" s="87"/>
      <c r="H23" s="250"/>
      <c r="I23" s="251"/>
      <c r="J23" s="251"/>
      <c r="L23" s="51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89"/>
      <c r="B24" s="17" t="s">
        <v>126</v>
      </c>
      <c r="C24" s="53"/>
      <c r="D24" s="52">
        <f t="shared" si="1"/>
        <v>0</v>
      </c>
      <c r="E24" s="9"/>
      <c r="F24" s="85"/>
      <c r="G24" s="87"/>
      <c r="H24" s="250"/>
      <c r="I24" s="251"/>
      <c r="J24" s="251"/>
      <c r="L24" s="51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89"/>
      <c r="B25" s="17" t="s">
        <v>121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52" t="s">
        <v>13</v>
      </c>
      <c r="I25" s="253"/>
      <c r="J25" s="254"/>
      <c r="L25" s="51">
        <f>852/24+1.5</f>
        <v>37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89"/>
      <c r="B26" s="17" t="s">
        <v>112</v>
      </c>
      <c r="C26" s="53"/>
      <c r="D26" s="52">
        <f t="shared" si="1"/>
        <v>0</v>
      </c>
      <c r="E26" s="9"/>
      <c r="F26" s="83"/>
      <c r="G26" s="73"/>
      <c r="H26" s="255"/>
      <c r="I26" s="255"/>
      <c r="J26" s="255"/>
      <c r="L26" s="7">
        <f>500/24+1.5</f>
        <v>22.333333333333332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89"/>
      <c r="B27" s="17" t="s">
        <v>120</v>
      </c>
      <c r="C27" s="53"/>
      <c r="D27" s="48">
        <f t="shared" si="1"/>
        <v>0</v>
      </c>
      <c r="E27" s="9"/>
      <c r="F27" s="79"/>
      <c r="G27" s="164"/>
      <c r="H27" s="256"/>
      <c r="I27" s="257"/>
      <c r="J27" s="257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90"/>
      <c r="B28" s="50" t="s">
        <v>97</v>
      </c>
      <c r="C28" s="53">
        <v>15</v>
      </c>
      <c r="D28" s="52">
        <f t="shared" si="1"/>
        <v>11775</v>
      </c>
      <c r="E28" s="9"/>
      <c r="F28" s="60"/>
      <c r="G28" s="68"/>
      <c r="H28" s="258"/>
      <c r="I28" s="259"/>
      <c r="J28" s="260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28" t="s">
        <v>36</v>
      </c>
      <c r="B29" s="229"/>
      <c r="C29" s="230"/>
      <c r="D29" s="234">
        <f>SUM(D6:D28)</f>
        <v>370751</v>
      </c>
      <c r="E29" s="9"/>
      <c r="F29" s="236" t="s">
        <v>55</v>
      </c>
      <c r="G29" s="237"/>
      <c r="H29" s="240">
        <f>H15-H16-H17-H18-H19-H20-H22-H23-H24+H26+H27+H28</f>
        <v>242456</v>
      </c>
      <c r="I29" s="241"/>
      <c r="J29" s="242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231"/>
      <c r="B30" s="232"/>
      <c r="C30" s="233"/>
      <c r="D30" s="235"/>
      <c r="E30" s="9"/>
      <c r="F30" s="238"/>
      <c r="G30" s="239"/>
      <c r="H30" s="243"/>
      <c r="I30" s="244"/>
      <c r="J30" s="245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5" t="s">
        <v>58</v>
      </c>
      <c r="B32" s="176"/>
      <c r="C32" s="176"/>
      <c r="D32" s="177"/>
      <c r="E32" s="11"/>
      <c r="F32" s="261" t="s">
        <v>59</v>
      </c>
      <c r="G32" s="262"/>
      <c r="H32" s="262"/>
      <c r="I32" s="262"/>
      <c r="J32" s="263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62" t="s">
        <v>63</v>
      </c>
      <c r="H33" s="261" t="s">
        <v>13</v>
      </c>
      <c r="I33" s="262"/>
      <c r="J33" s="263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88" t="s">
        <v>65</v>
      </c>
      <c r="B34" s="29" t="s">
        <v>66</v>
      </c>
      <c r="C34" s="56">
        <v>1</v>
      </c>
      <c r="D34" s="33">
        <f>C34*120</f>
        <v>120</v>
      </c>
      <c r="E34" s="9"/>
      <c r="F34" s="15">
        <v>1000</v>
      </c>
      <c r="G34" s="44">
        <v>72</v>
      </c>
      <c r="H34" s="264">
        <f t="shared" ref="H34:H39" si="2">F34*G34</f>
        <v>72000</v>
      </c>
      <c r="I34" s="265"/>
      <c r="J34" s="266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89"/>
      <c r="B35" s="30" t="s">
        <v>68</v>
      </c>
      <c r="C35" s="57">
        <v>1</v>
      </c>
      <c r="D35" s="33">
        <f>C35*84</f>
        <v>84</v>
      </c>
      <c r="E35" s="9"/>
      <c r="F35" s="64">
        <v>500</v>
      </c>
      <c r="G35" s="45">
        <v>31</v>
      </c>
      <c r="H35" s="264">
        <f t="shared" si="2"/>
        <v>15500</v>
      </c>
      <c r="I35" s="265"/>
      <c r="J35" s="266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90"/>
      <c r="B36" s="29" t="s">
        <v>70</v>
      </c>
      <c r="C36" s="53">
        <v>25</v>
      </c>
      <c r="D36" s="15">
        <f>C36*1.5</f>
        <v>37.5</v>
      </c>
      <c r="E36" s="9"/>
      <c r="F36" s="15">
        <v>200</v>
      </c>
      <c r="G36" s="41">
        <v>3</v>
      </c>
      <c r="H36" s="264">
        <f t="shared" si="2"/>
        <v>600</v>
      </c>
      <c r="I36" s="265"/>
      <c r="J36" s="266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88" t="s">
        <v>72</v>
      </c>
      <c r="B37" s="31" t="s">
        <v>66</v>
      </c>
      <c r="C37" s="58">
        <v>481</v>
      </c>
      <c r="D37" s="15">
        <f>C37*111</f>
        <v>53391</v>
      </c>
      <c r="E37" s="9"/>
      <c r="F37" s="15">
        <v>100</v>
      </c>
      <c r="G37" s="43">
        <v>98</v>
      </c>
      <c r="H37" s="264">
        <f t="shared" si="2"/>
        <v>9800</v>
      </c>
      <c r="I37" s="265"/>
      <c r="J37" s="266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89"/>
      <c r="B38" s="32" t="s">
        <v>68</v>
      </c>
      <c r="C38" s="59">
        <v>13</v>
      </c>
      <c r="D38" s="15">
        <f>C38*84</f>
        <v>1092</v>
      </c>
      <c r="E38" s="9"/>
      <c r="F38" s="33">
        <v>50</v>
      </c>
      <c r="G38" s="43">
        <v>229</v>
      </c>
      <c r="H38" s="264">
        <f t="shared" si="2"/>
        <v>11450</v>
      </c>
      <c r="I38" s="265"/>
      <c r="J38" s="266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90"/>
      <c r="B39" s="32" t="s">
        <v>70</v>
      </c>
      <c r="C39" s="57">
        <v>5</v>
      </c>
      <c r="D39" s="34">
        <f>C39*4.5</f>
        <v>22.5</v>
      </c>
      <c r="E39" s="9"/>
      <c r="F39" s="15">
        <v>20</v>
      </c>
      <c r="G39" s="41">
        <v>13</v>
      </c>
      <c r="H39" s="264">
        <f t="shared" si="2"/>
        <v>260</v>
      </c>
      <c r="I39" s="265"/>
      <c r="J39" s="266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88" t="s">
        <v>76</v>
      </c>
      <c r="B40" s="30" t="s">
        <v>66</v>
      </c>
      <c r="C40" s="70">
        <v>18</v>
      </c>
      <c r="D40" s="15">
        <f>C40*111</f>
        <v>1998</v>
      </c>
      <c r="E40" s="9"/>
      <c r="F40" s="15">
        <v>10</v>
      </c>
      <c r="G40" s="46"/>
      <c r="H40" s="264"/>
      <c r="I40" s="265"/>
      <c r="J40" s="266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89"/>
      <c r="B41" s="30" t="s">
        <v>68</v>
      </c>
      <c r="C41" s="53">
        <v>4</v>
      </c>
      <c r="D41" s="15">
        <f>C41*84</f>
        <v>336</v>
      </c>
      <c r="E41" s="9"/>
      <c r="F41" s="15">
        <v>5</v>
      </c>
      <c r="G41" s="46"/>
      <c r="H41" s="264"/>
      <c r="I41" s="265"/>
      <c r="J41" s="266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90"/>
      <c r="B42" s="30" t="s">
        <v>70</v>
      </c>
      <c r="C42" s="71">
        <v>20</v>
      </c>
      <c r="D42" s="15">
        <f>C42*2.25</f>
        <v>45</v>
      </c>
      <c r="E42" s="9"/>
      <c r="F42" s="43" t="s">
        <v>79</v>
      </c>
      <c r="G42" s="264">
        <v>2149</v>
      </c>
      <c r="H42" s="265"/>
      <c r="I42" s="265"/>
      <c r="J42" s="266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67" t="s">
        <v>81</v>
      </c>
      <c r="C43" s="71"/>
      <c r="D43" s="15"/>
      <c r="E43" s="9"/>
      <c r="F43" s="65" t="s">
        <v>82</v>
      </c>
      <c r="G43" s="164" t="s">
        <v>83</v>
      </c>
      <c r="H43" s="270" t="s">
        <v>13</v>
      </c>
      <c r="I43" s="271"/>
      <c r="J43" s="272"/>
      <c r="K43" s="24"/>
      <c r="O43" t="s">
        <v>103</v>
      </c>
      <c r="P43" s="4">
        <v>1667</v>
      </c>
      <c r="Q43" s="4"/>
      <c r="R43" s="5"/>
    </row>
    <row r="44" spans="1:18" ht="15.75" x14ac:dyDescent="0.25">
      <c r="A44" s="268"/>
      <c r="B44" s="30" t="s">
        <v>66</v>
      </c>
      <c r="C44" s="53">
        <v>12</v>
      </c>
      <c r="D44" s="15">
        <f>C44*120</f>
        <v>1440</v>
      </c>
      <c r="E44" s="9"/>
      <c r="F44" s="41" t="s">
        <v>148</v>
      </c>
      <c r="G44" s="69" t="s">
        <v>211</v>
      </c>
      <c r="H44" s="255">
        <v>130378.5</v>
      </c>
      <c r="I44" s="255"/>
      <c r="J44" s="255"/>
      <c r="K44" s="24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268"/>
      <c r="B45" s="30" t="s">
        <v>68</v>
      </c>
      <c r="C45" s="90">
        <v>2</v>
      </c>
      <c r="D45" s="15">
        <f>C45*84</f>
        <v>168</v>
      </c>
      <c r="E45" s="9"/>
      <c r="F45" s="41"/>
      <c r="G45" s="69"/>
      <c r="H45" s="255"/>
      <c r="I45" s="255"/>
      <c r="J45" s="255"/>
      <c r="K45" s="24"/>
      <c r="P45" s="4"/>
      <c r="Q45" s="4"/>
      <c r="R45" s="5"/>
    </row>
    <row r="46" spans="1:18" ht="15.75" x14ac:dyDescent="0.25">
      <c r="A46" s="268"/>
      <c r="B46" s="54" t="s">
        <v>70</v>
      </c>
      <c r="C46" s="91">
        <v>28</v>
      </c>
      <c r="D46" s="15">
        <f>C46*1.5</f>
        <v>42</v>
      </c>
      <c r="E46" s="9"/>
      <c r="F46" s="41"/>
      <c r="G46" s="69"/>
      <c r="H46" s="255"/>
      <c r="I46" s="255"/>
      <c r="J46" s="255"/>
      <c r="K46" s="24"/>
      <c r="P46" s="4"/>
      <c r="Q46" s="4"/>
      <c r="R46" s="5"/>
    </row>
    <row r="47" spans="1:18" ht="15.75" x14ac:dyDescent="0.25">
      <c r="A47" s="269"/>
      <c r="B47" s="30"/>
      <c r="C47" s="71"/>
      <c r="D47" s="15"/>
      <c r="E47" s="9"/>
      <c r="F47" s="65"/>
      <c r="G47" s="65"/>
      <c r="H47" s="273"/>
      <c r="I47" s="274"/>
      <c r="J47" s="275"/>
      <c r="K47" s="24"/>
      <c r="P47" s="4"/>
      <c r="Q47" s="4"/>
      <c r="R47" s="5"/>
    </row>
    <row r="48" spans="1:18" ht="15" customHeight="1" x14ac:dyDescent="0.25">
      <c r="A48" s="267" t="s">
        <v>32</v>
      </c>
      <c r="B48" s="30" t="s">
        <v>66</v>
      </c>
      <c r="C48" s="53">
        <v>6</v>
      </c>
      <c r="D48" s="15">
        <f>C48*78</f>
        <v>468</v>
      </c>
      <c r="E48" s="9"/>
      <c r="F48" s="65"/>
      <c r="G48" s="65"/>
      <c r="H48" s="273"/>
      <c r="I48" s="274"/>
      <c r="J48" s="275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68"/>
      <c r="B49" s="32" t="s">
        <v>68</v>
      </c>
      <c r="C49" s="90">
        <v>6</v>
      </c>
      <c r="D49" s="15">
        <f>C49*42</f>
        <v>252</v>
      </c>
      <c r="E49" s="9"/>
      <c r="F49" s="288" t="s">
        <v>86</v>
      </c>
      <c r="G49" s="240">
        <f>H34+H35+H36+H37+H38+H39+H40+H41+G42+H44+H45+H46</f>
        <v>242137.5</v>
      </c>
      <c r="H49" s="241"/>
      <c r="I49" s="241"/>
      <c r="J49" s="242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68"/>
      <c r="B50" s="35" t="s">
        <v>70</v>
      </c>
      <c r="C50" s="71">
        <v>24</v>
      </c>
      <c r="D50" s="15">
        <f>C50*1.5</f>
        <v>36</v>
      </c>
      <c r="E50" s="9"/>
      <c r="F50" s="289"/>
      <c r="G50" s="243"/>
      <c r="H50" s="244"/>
      <c r="I50" s="244"/>
      <c r="J50" s="245"/>
      <c r="K50" s="9"/>
      <c r="P50" s="4"/>
      <c r="Q50" s="4"/>
      <c r="R50" s="5"/>
    </row>
    <row r="51" spans="1:18" ht="15" customHeight="1" x14ac:dyDescent="0.25">
      <c r="A51" s="268"/>
      <c r="B51" s="30"/>
      <c r="C51" s="13"/>
      <c r="D51" s="34"/>
      <c r="E51" s="9"/>
      <c r="F51" s="290" t="s">
        <v>135</v>
      </c>
      <c r="G51" s="292">
        <f>G49-H29</f>
        <v>-318.5</v>
      </c>
      <c r="H51" s="293"/>
      <c r="I51" s="293"/>
      <c r="J51" s="294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68"/>
      <c r="B52" s="32"/>
      <c r="C52" s="36"/>
      <c r="D52" s="49"/>
      <c r="E52" s="9"/>
      <c r="F52" s="291"/>
      <c r="G52" s="295"/>
      <c r="H52" s="296"/>
      <c r="I52" s="296"/>
      <c r="J52" s="297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69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236" t="s">
        <v>90</v>
      </c>
      <c r="B54" s="276"/>
      <c r="C54" s="277"/>
      <c r="D54" s="280">
        <f>SUM(D34:D53)</f>
        <v>59532</v>
      </c>
      <c r="E54" s="9"/>
      <c r="F54" s="24"/>
      <c r="G54" s="9"/>
      <c r="H54" s="9"/>
      <c r="I54" s="9"/>
      <c r="J54" s="37"/>
      <c r="O54" t="s">
        <v>102</v>
      </c>
      <c r="P54" s="4">
        <v>1582</v>
      </c>
      <c r="R54" s="3">
        <v>1582</v>
      </c>
    </row>
    <row r="55" spans="1:18" x14ac:dyDescent="0.25">
      <c r="A55" s="238"/>
      <c r="B55" s="278"/>
      <c r="C55" s="279"/>
      <c r="D55" s="281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129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282" t="s">
        <v>91</v>
      </c>
      <c r="B58" s="283"/>
      <c r="C58" s="283"/>
      <c r="D58" s="284"/>
      <c r="E58" s="9"/>
      <c r="F58" s="282" t="s">
        <v>92</v>
      </c>
      <c r="G58" s="283"/>
      <c r="H58" s="283"/>
      <c r="I58" s="283"/>
      <c r="J58" s="284"/>
    </row>
    <row r="59" spans="1:18" x14ac:dyDescent="0.25">
      <c r="A59" s="285"/>
      <c r="B59" s="286"/>
      <c r="C59" s="286"/>
      <c r="D59" s="287"/>
      <c r="E59" s="9"/>
      <c r="F59" s="285"/>
      <c r="G59" s="286"/>
      <c r="H59" s="286"/>
      <c r="I59" s="286"/>
      <c r="J59" s="287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88533-1EAE-4169-B415-21771E1D7FA4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174" t="s">
        <v>1</v>
      </c>
      <c r="O1" s="174"/>
      <c r="P1" s="161" t="s">
        <v>2</v>
      </c>
      <c r="Q1" s="161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75" t="s">
        <v>7</v>
      </c>
      <c r="B4" s="176"/>
      <c r="C4" s="176"/>
      <c r="D4" s="177"/>
      <c r="E4" s="9"/>
      <c r="F4" s="178" t="s">
        <v>8</v>
      </c>
      <c r="G4" s="180">
        <v>2</v>
      </c>
      <c r="H4" s="182" t="s">
        <v>9</v>
      </c>
      <c r="I4" s="184">
        <v>45800</v>
      </c>
      <c r="J4" s="185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88" t="s">
        <v>7</v>
      </c>
      <c r="B5" s="18" t="s">
        <v>11</v>
      </c>
      <c r="C5" s="12" t="s">
        <v>12</v>
      </c>
      <c r="D5" s="28" t="s">
        <v>13</v>
      </c>
      <c r="E5" s="9"/>
      <c r="F5" s="179"/>
      <c r="G5" s="181"/>
      <c r="H5" s="183"/>
      <c r="I5" s="186"/>
      <c r="J5" s="187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89"/>
      <c r="B6" s="19" t="s">
        <v>15</v>
      </c>
      <c r="C6" s="53">
        <v>373</v>
      </c>
      <c r="D6" s="16">
        <f t="shared" ref="D6:D28" si="1">C6*L6</f>
        <v>274901</v>
      </c>
      <c r="E6" s="9"/>
      <c r="F6" s="191" t="s">
        <v>16</v>
      </c>
      <c r="G6" s="193" t="s">
        <v>127</v>
      </c>
      <c r="H6" s="194"/>
      <c r="I6" s="194"/>
      <c r="J6" s="195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89"/>
      <c r="B7" s="19" t="s">
        <v>18</v>
      </c>
      <c r="C7" s="53">
        <v>6</v>
      </c>
      <c r="D7" s="16">
        <f t="shared" si="1"/>
        <v>4350</v>
      </c>
      <c r="E7" s="9"/>
      <c r="F7" s="192"/>
      <c r="G7" s="196"/>
      <c r="H7" s="197"/>
      <c r="I7" s="197"/>
      <c r="J7" s="198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189"/>
      <c r="B8" s="19" t="s">
        <v>20</v>
      </c>
      <c r="C8" s="53"/>
      <c r="D8" s="16">
        <f t="shared" si="1"/>
        <v>0</v>
      </c>
      <c r="E8" s="9"/>
      <c r="F8" s="199" t="s">
        <v>21</v>
      </c>
      <c r="G8" s="201" t="s">
        <v>115</v>
      </c>
      <c r="H8" s="202"/>
      <c r="I8" s="202"/>
      <c r="J8" s="203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189"/>
      <c r="B9" s="19" t="s">
        <v>23</v>
      </c>
      <c r="C9" s="53">
        <v>7</v>
      </c>
      <c r="D9" s="16">
        <f t="shared" si="1"/>
        <v>4949</v>
      </c>
      <c r="E9" s="9"/>
      <c r="F9" s="192"/>
      <c r="G9" s="204"/>
      <c r="H9" s="205"/>
      <c r="I9" s="205"/>
      <c r="J9" s="206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189"/>
      <c r="B10" s="11" t="s">
        <v>25</v>
      </c>
      <c r="C10" s="53"/>
      <c r="D10" s="16">
        <f t="shared" si="1"/>
        <v>0</v>
      </c>
      <c r="E10" s="9"/>
      <c r="F10" s="191" t="s">
        <v>26</v>
      </c>
      <c r="G10" s="207" t="s">
        <v>116</v>
      </c>
      <c r="H10" s="208"/>
      <c r="I10" s="208"/>
      <c r="J10" s="209"/>
      <c r="K10" s="10"/>
      <c r="L10" s="6">
        <f>R36</f>
        <v>972</v>
      </c>
      <c r="P10" s="4"/>
      <c r="Q10" s="4"/>
      <c r="R10" s="5"/>
    </row>
    <row r="11" spans="1:18" ht="15.75" x14ac:dyDescent="0.25">
      <c r="A11" s="189"/>
      <c r="B11" s="20" t="s">
        <v>28</v>
      </c>
      <c r="C11" s="53"/>
      <c r="D11" s="16">
        <f t="shared" si="1"/>
        <v>0</v>
      </c>
      <c r="E11" s="9"/>
      <c r="F11" s="192"/>
      <c r="G11" s="204"/>
      <c r="H11" s="205"/>
      <c r="I11" s="205"/>
      <c r="J11" s="206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89"/>
      <c r="B12" s="20" t="s">
        <v>30</v>
      </c>
      <c r="C12" s="53">
        <v>1</v>
      </c>
      <c r="D12" s="52">
        <f t="shared" si="1"/>
        <v>952</v>
      </c>
      <c r="E12" s="9"/>
      <c r="F12" s="210" t="s">
        <v>33</v>
      </c>
      <c r="G12" s="211"/>
      <c r="H12" s="211"/>
      <c r="I12" s="211"/>
      <c r="J12" s="212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89"/>
      <c r="B13" s="20" t="s">
        <v>32</v>
      </c>
      <c r="C13" s="53">
        <v>15</v>
      </c>
      <c r="D13" s="52">
        <f t="shared" si="1"/>
        <v>4605</v>
      </c>
      <c r="E13" s="9"/>
      <c r="F13" s="213" t="s">
        <v>36</v>
      </c>
      <c r="G13" s="214"/>
      <c r="H13" s="215">
        <f>D29</f>
        <v>290528</v>
      </c>
      <c r="I13" s="216"/>
      <c r="J13" s="217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89"/>
      <c r="B14" s="17" t="s">
        <v>35</v>
      </c>
      <c r="C14" s="53">
        <v>11</v>
      </c>
      <c r="D14" s="34">
        <f t="shared" si="1"/>
        <v>121</v>
      </c>
      <c r="E14" s="9"/>
      <c r="F14" s="218" t="s">
        <v>39</v>
      </c>
      <c r="G14" s="219"/>
      <c r="H14" s="220">
        <f>D54</f>
        <v>44777.25</v>
      </c>
      <c r="I14" s="221"/>
      <c r="J14" s="222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89"/>
      <c r="B15" s="17" t="s">
        <v>38</v>
      </c>
      <c r="C15" s="53"/>
      <c r="D15" s="34">
        <f t="shared" si="1"/>
        <v>0</v>
      </c>
      <c r="E15" s="9"/>
      <c r="F15" s="223" t="s">
        <v>40</v>
      </c>
      <c r="G15" s="214"/>
      <c r="H15" s="224">
        <f>H13-H14</f>
        <v>245750.75</v>
      </c>
      <c r="I15" s="225"/>
      <c r="J15" s="226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89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227">
        <v>3096</v>
      </c>
      <c r="I16" s="227"/>
      <c r="J16" s="22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89"/>
      <c r="B17" s="11" t="s">
        <v>93</v>
      </c>
      <c r="C17" s="53"/>
      <c r="D17" s="52">
        <f t="shared" si="1"/>
        <v>0</v>
      </c>
      <c r="E17" s="9"/>
      <c r="F17" s="62"/>
      <c r="G17" s="74" t="s">
        <v>45</v>
      </c>
      <c r="H17" s="200"/>
      <c r="I17" s="200"/>
      <c r="J17" s="200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89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200"/>
      <c r="I18" s="200"/>
      <c r="J18" s="200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89"/>
      <c r="B19" s="17" t="s">
        <v>96</v>
      </c>
      <c r="C19" s="53"/>
      <c r="D19" s="52">
        <f t="shared" si="1"/>
        <v>0</v>
      </c>
      <c r="E19" s="9"/>
      <c r="F19" s="62"/>
      <c r="G19" s="76" t="s">
        <v>50</v>
      </c>
      <c r="H19" s="298"/>
      <c r="I19" s="298"/>
      <c r="J19" s="298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89"/>
      <c r="B20" s="50" t="s">
        <v>131</v>
      </c>
      <c r="C20" s="53"/>
      <c r="D20" s="16">
        <f t="shared" si="1"/>
        <v>0</v>
      </c>
      <c r="E20" s="9"/>
      <c r="F20" s="63"/>
      <c r="G20" s="78" t="s">
        <v>124</v>
      </c>
      <c r="H20" s="227">
        <f>626*18</f>
        <v>11268</v>
      </c>
      <c r="I20" s="227"/>
      <c r="J20" s="227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89"/>
      <c r="B21" s="17" t="s">
        <v>130</v>
      </c>
      <c r="C21" s="53">
        <v>1</v>
      </c>
      <c r="D21" s="52">
        <f t="shared" si="1"/>
        <v>650</v>
      </c>
      <c r="E21" s="9"/>
      <c r="F21" s="77" t="s">
        <v>99</v>
      </c>
      <c r="G21" s="92" t="s">
        <v>98</v>
      </c>
      <c r="H21" s="246" t="s">
        <v>13</v>
      </c>
      <c r="I21" s="247"/>
      <c r="J21" s="248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89"/>
      <c r="B22" s="50" t="s">
        <v>104</v>
      </c>
      <c r="C22" s="53"/>
      <c r="D22" s="52">
        <f t="shared" si="1"/>
        <v>0</v>
      </c>
      <c r="E22" s="9"/>
      <c r="F22" s="80"/>
      <c r="G22" s="81"/>
      <c r="H22" s="249"/>
      <c r="I22" s="249"/>
      <c r="J22" s="249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89"/>
      <c r="B23" s="17" t="s">
        <v>107</v>
      </c>
      <c r="C23" s="53"/>
      <c r="D23" s="52">
        <f t="shared" si="1"/>
        <v>0</v>
      </c>
      <c r="E23" s="9"/>
      <c r="F23" s="28"/>
      <c r="G23" s="41"/>
      <c r="H23" s="299"/>
      <c r="I23" s="255"/>
      <c r="J23" s="255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89"/>
      <c r="B24" s="17" t="s">
        <v>133</v>
      </c>
      <c r="C24" s="53"/>
      <c r="D24" s="52">
        <f t="shared" si="1"/>
        <v>0</v>
      </c>
      <c r="E24" s="9"/>
      <c r="F24" s="42"/>
      <c r="G24" s="41"/>
      <c r="H24" s="299"/>
      <c r="I24" s="255"/>
      <c r="J24" s="255"/>
      <c r="L24" s="51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89"/>
      <c r="B25" s="17" t="s">
        <v>134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52" t="s">
        <v>13</v>
      </c>
      <c r="I25" s="253"/>
      <c r="J25" s="254"/>
      <c r="L25" s="51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89"/>
      <c r="B26" s="17" t="s">
        <v>105</v>
      </c>
      <c r="C26" s="53"/>
      <c r="D26" s="52">
        <f t="shared" si="1"/>
        <v>0</v>
      </c>
      <c r="E26" s="9"/>
      <c r="F26" s="72"/>
      <c r="G26" s="13"/>
      <c r="H26" s="300"/>
      <c r="I26" s="301"/>
      <c r="J26" s="302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89"/>
      <c r="B27" s="17" t="s">
        <v>109</v>
      </c>
      <c r="C27" s="53"/>
      <c r="D27" s="48">
        <f t="shared" si="1"/>
        <v>0</v>
      </c>
      <c r="E27" s="9"/>
      <c r="F27" s="67"/>
      <c r="G27" s="67"/>
      <c r="H27" s="303"/>
      <c r="I27" s="304"/>
      <c r="J27" s="305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90"/>
      <c r="B28" s="50" t="s">
        <v>97</v>
      </c>
      <c r="C28" s="53"/>
      <c r="D28" s="52">
        <f t="shared" si="1"/>
        <v>0</v>
      </c>
      <c r="E28" s="9"/>
      <c r="F28" s="60"/>
      <c r="G28" s="68"/>
      <c r="H28" s="258"/>
      <c r="I28" s="259"/>
      <c r="J28" s="260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28" t="s">
        <v>36</v>
      </c>
      <c r="B29" s="229"/>
      <c r="C29" s="230"/>
      <c r="D29" s="234">
        <f>SUM(D6:D28)</f>
        <v>290528</v>
      </c>
      <c r="E29" s="9"/>
      <c r="F29" s="236" t="s">
        <v>55</v>
      </c>
      <c r="G29" s="237"/>
      <c r="H29" s="240">
        <f>H15-H16-H17-H18-H19-H20-H22-H23-H24+H26+H27</f>
        <v>231386.75</v>
      </c>
      <c r="I29" s="241"/>
      <c r="J29" s="242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231"/>
      <c r="B30" s="232"/>
      <c r="C30" s="233"/>
      <c r="D30" s="235"/>
      <c r="E30" s="9"/>
      <c r="F30" s="238"/>
      <c r="G30" s="239"/>
      <c r="H30" s="243"/>
      <c r="I30" s="244"/>
      <c r="J30" s="245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5" t="s">
        <v>58</v>
      </c>
      <c r="B32" s="176"/>
      <c r="C32" s="176"/>
      <c r="D32" s="177"/>
      <c r="E32" s="11"/>
      <c r="F32" s="261" t="s">
        <v>59</v>
      </c>
      <c r="G32" s="262"/>
      <c r="H32" s="262"/>
      <c r="I32" s="262"/>
      <c r="J32" s="263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62" t="s">
        <v>63</v>
      </c>
      <c r="H33" s="261" t="s">
        <v>13</v>
      </c>
      <c r="I33" s="262"/>
      <c r="J33" s="263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88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82">
        <v>219</v>
      </c>
      <c r="H34" s="264">
        <f>F34*G34</f>
        <v>219000</v>
      </c>
      <c r="I34" s="265"/>
      <c r="J34" s="266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89"/>
      <c r="B35" s="30" t="s">
        <v>68</v>
      </c>
      <c r="C35" s="57"/>
      <c r="D35" s="33">
        <f>C35*84</f>
        <v>0</v>
      </c>
      <c r="E35" s="9"/>
      <c r="F35" s="64">
        <v>500</v>
      </c>
      <c r="G35" s="45">
        <v>14</v>
      </c>
      <c r="H35" s="264">
        <f t="shared" ref="H35:H39" si="2">F35*G35</f>
        <v>7000</v>
      </c>
      <c r="I35" s="265"/>
      <c r="J35" s="266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90"/>
      <c r="B36" s="29" t="s">
        <v>70</v>
      </c>
      <c r="C36" s="53">
        <v>2</v>
      </c>
      <c r="D36" s="15">
        <f>C36*1.5</f>
        <v>3</v>
      </c>
      <c r="E36" s="9"/>
      <c r="F36" s="15">
        <v>200</v>
      </c>
      <c r="G36" s="41"/>
      <c r="H36" s="264">
        <f t="shared" si="2"/>
        <v>0</v>
      </c>
      <c r="I36" s="265"/>
      <c r="J36" s="266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88" t="s">
        <v>72</v>
      </c>
      <c r="B37" s="31" t="s">
        <v>66</v>
      </c>
      <c r="C37" s="58">
        <v>385</v>
      </c>
      <c r="D37" s="15">
        <f>C37*111</f>
        <v>42735</v>
      </c>
      <c r="E37" s="9"/>
      <c r="F37" s="15">
        <v>100</v>
      </c>
      <c r="G37" s="43">
        <v>42</v>
      </c>
      <c r="H37" s="264">
        <f t="shared" si="2"/>
        <v>4200</v>
      </c>
      <c r="I37" s="265"/>
      <c r="J37" s="266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89"/>
      <c r="B38" s="32" t="s">
        <v>68</v>
      </c>
      <c r="C38" s="59">
        <v>2</v>
      </c>
      <c r="D38" s="15">
        <f>C38*84</f>
        <v>168</v>
      </c>
      <c r="E38" s="9"/>
      <c r="F38" s="33">
        <v>50</v>
      </c>
      <c r="G38" s="43">
        <v>15</v>
      </c>
      <c r="H38" s="264">
        <f t="shared" si="2"/>
        <v>750</v>
      </c>
      <c r="I38" s="265"/>
      <c r="J38" s="266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90"/>
      <c r="B39" s="32" t="s">
        <v>70</v>
      </c>
      <c r="C39" s="57">
        <v>5</v>
      </c>
      <c r="D39" s="34">
        <f>C39*4.5</f>
        <v>22.5</v>
      </c>
      <c r="E39" s="9"/>
      <c r="F39" s="15">
        <v>20</v>
      </c>
      <c r="G39" s="41">
        <v>2</v>
      </c>
      <c r="H39" s="264">
        <f t="shared" si="2"/>
        <v>40</v>
      </c>
      <c r="I39" s="265"/>
      <c r="J39" s="266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88" t="s">
        <v>76</v>
      </c>
      <c r="B40" s="30" t="s">
        <v>66</v>
      </c>
      <c r="C40" s="70">
        <v>7</v>
      </c>
      <c r="D40" s="15">
        <f>C40*111</f>
        <v>777</v>
      </c>
      <c r="E40" s="9"/>
      <c r="F40" s="15">
        <v>10</v>
      </c>
      <c r="G40" s="46"/>
      <c r="H40" s="264"/>
      <c r="I40" s="265"/>
      <c r="J40" s="266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89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264"/>
      <c r="I41" s="265"/>
      <c r="J41" s="266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90"/>
      <c r="B42" s="30" t="s">
        <v>70</v>
      </c>
      <c r="C42" s="71">
        <v>3</v>
      </c>
      <c r="D42" s="15">
        <f>C42*2.25</f>
        <v>6.75</v>
      </c>
      <c r="E42" s="9"/>
      <c r="F42" s="43" t="s">
        <v>79</v>
      </c>
      <c r="G42" s="264">
        <v>463</v>
      </c>
      <c r="H42" s="265"/>
      <c r="I42" s="265"/>
      <c r="J42" s="266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67" t="s">
        <v>81</v>
      </c>
      <c r="C43" s="71"/>
      <c r="D43" s="15"/>
      <c r="E43" s="9"/>
      <c r="F43" s="65" t="s">
        <v>82</v>
      </c>
      <c r="G43" s="164" t="s">
        <v>83</v>
      </c>
      <c r="H43" s="270" t="s">
        <v>13</v>
      </c>
      <c r="I43" s="271"/>
      <c r="J43" s="272"/>
      <c r="K43" s="24"/>
      <c r="P43" s="4"/>
      <c r="Q43" s="4"/>
      <c r="R43" s="5"/>
    </row>
    <row r="44" spans="1:18" ht="15.75" x14ac:dyDescent="0.25">
      <c r="A44" s="268"/>
      <c r="B44" s="30" t="s">
        <v>66</v>
      </c>
      <c r="C44" s="53">
        <v>1</v>
      </c>
      <c r="D44" s="15">
        <f>C44*120</f>
        <v>120</v>
      </c>
      <c r="E44" s="9"/>
      <c r="F44" s="41"/>
      <c r="G44" s="69"/>
      <c r="H44" s="255"/>
      <c r="I44" s="255"/>
      <c r="J44" s="255"/>
      <c r="K44" s="24"/>
      <c r="P44" s="4"/>
      <c r="Q44" s="4"/>
      <c r="R44" s="5"/>
    </row>
    <row r="45" spans="1:18" ht="15.75" x14ac:dyDescent="0.25">
      <c r="A45" s="268"/>
      <c r="B45" s="30" t="s">
        <v>68</v>
      </c>
      <c r="C45" s="90"/>
      <c r="D45" s="15">
        <f>C45*84</f>
        <v>0</v>
      </c>
      <c r="E45" s="9"/>
      <c r="F45" s="41"/>
      <c r="G45" s="69"/>
      <c r="H45" s="255"/>
      <c r="I45" s="255"/>
      <c r="J45" s="255"/>
      <c r="K45" s="24"/>
      <c r="P45" s="4"/>
      <c r="Q45" s="4"/>
      <c r="R45" s="5"/>
    </row>
    <row r="46" spans="1:18" ht="15.75" x14ac:dyDescent="0.25">
      <c r="A46" s="268"/>
      <c r="B46" s="54" t="s">
        <v>70</v>
      </c>
      <c r="C46" s="91"/>
      <c r="D46" s="15">
        <f>C46*1.5</f>
        <v>0</v>
      </c>
      <c r="E46" s="9"/>
      <c r="F46" s="41"/>
      <c r="G46" s="163"/>
      <c r="H46" s="306"/>
      <c r="I46" s="306"/>
      <c r="J46" s="306"/>
      <c r="K46" s="24"/>
      <c r="P46" s="4"/>
      <c r="Q46" s="4"/>
      <c r="R46" s="5"/>
    </row>
    <row r="47" spans="1:18" ht="15.75" x14ac:dyDescent="0.25">
      <c r="A47" s="269"/>
      <c r="B47" s="30"/>
      <c r="C47" s="71"/>
      <c r="D47" s="15"/>
      <c r="E47" s="9"/>
      <c r="F47" s="65"/>
      <c r="G47" s="65"/>
      <c r="H47" s="273"/>
      <c r="I47" s="274"/>
      <c r="J47" s="275"/>
      <c r="K47" s="24"/>
      <c r="P47" s="4"/>
      <c r="Q47" s="4"/>
      <c r="R47" s="5"/>
    </row>
    <row r="48" spans="1:18" ht="15" customHeight="1" x14ac:dyDescent="0.25">
      <c r="A48" s="267" t="s">
        <v>32</v>
      </c>
      <c r="B48" s="30" t="s">
        <v>66</v>
      </c>
      <c r="C48" s="53">
        <v>7</v>
      </c>
      <c r="D48" s="15">
        <f>C48*78</f>
        <v>546</v>
      </c>
      <c r="E48" s="9"/>
      <c r="F48" s="65"/>
      <c r="G48" s="65"/>
      <c r="H48" s="273"/>
      <c r="I48" s="274"/>
      <c r="J48" s="275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68"/>
      <c r="B49" s="32" t="s">
        <v>68</v>
      </c>
      <c r="C49" s="90">
        <v>9</v>
      </c>
      <c r="D49" s="15">
        <f>C49*42</f>
        <v>378</v>
      </c>
      <c r="E49" s="9"/>
      <c r="F49" s="288" t="s">
        <v>86</v>
      </c>
      <c r="G49" s="240">
        <f>H34+H35+H36+H37+H38+H39+H40+H41+G42+H44+H45+H46</f>
        <v>231453</v>
      </c>
      <c r="H49" s="241"/>
      <c r="I49" s="241"/>
      <c r="J49" s="242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68"/>
      <c r="B50" s="35" t="s">
        <v>70</v>
      </c>
      <c r="C50" s="71">
        <v>14</v>
      </c>
      <c r="D50" s="15">
        <f>C50*1.5</f>
        <v>21</v>
      </c>
      <c r="E50" s="9"/>
      <c r="F50" s="289"/>
      <c r="G50" s="243"/>
      <c r="H50" s="244"/>
      <c r="I50" s="244"/>
      <c r="J50" s="245"/>
      <c r="K50" s="9"/>
      <c r="P50" s="4"/>
      <c r="Q50" s="4"/>
      <c r="R50" s="5"/>
    </row>
    <row r="51" spans="1:18" ht="15" customHeight="1" x14ac:dyDescent="0.25">
      <c r="A51" s="268"/>
      <c r="B51" s="30"/>
      <c r="C51" s="13"/>
      <c r="D51" s="34"/>
      <c r="E51" s="9"/>
      <c r="F51" s="290" t="s">
        <v>144</v>
      </c>
      <c r="G51" s="307">
        <f>G49-H29</f>
        <v>66.25</v>
      </c>
      <c r="H51" s="308"/>
      <c r="I51" s="308"/>
      <c r="J51" s="309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68"/>
      <c r="B52" s="32"/>
      <c r="C52" s="36"/>
      <c r="D52" s="49"/>
      <c r="E52" s="9"/>
      <c r="F52" s="291"/>
      <c r="G52" s="310"/>
      <c r="H52" s="311"/>
      <c r="I52" s="311"/>
      <c r="J52" s="312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69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236" t="s">
        <v>90</v>
      </c>
      <c r="B54" s="276"/>
      <c r="C54" s="277"/>
      <c r="D54" s="280">
        <f>SUM(D34:D53)</f>
        <v>44777.25</v>
      </c>
      <c r="E54" s="9"/>
      <c r="F54" s="24"/>
      <c r="G54" s="9"/>
      <c r="H54" s="9"/>
      <c r="I54" s="9"/>
      <c r="J54" s="37"/>
    </row>
    <row r="55" spans="1:18" x14ac:dyDescent="0.25">
      <c r="A55" s="238"/>
      <c r="B55" s="278"/>
      <c r="C55" s="279"/>
      <c r="D55" s="281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136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282" t="s">
        <v>91</v>
      </c>
      <c r="B58" s="283"/>
      <c r="C58" s="283"/>
      <c r="D58" s="284"/>
      <c r="E58" s="9"/>
      <c r="F58" s="282" t="s">
        <v>92</v>
      </c>
      <c r="G58" s="283"/>
      <c r="H58" s="283"/>
      <c r="I58" s="283"/>
      <c r="J58" s="284"/>
    </row>
    <row r="59" spans="1:18" x14ac:dyDescent="0.25">
      <c r="A59" s="285"/>
      <c r="B59" s="286"/>
      <c r="C59" s="286"/>
      <c r="D59" s="287"/>
      <c r="E59" s="9"/>
      <c r="F59" s="285"/>
      <c r="G59" s="286"/>
      <c r="H59" s="286"/>
      <c r="I59" s="286"/>
      <c r="J59" s="287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E3860-8A3E-4803-BFC7-47964E06C55F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s="8" t="s">
        <v>0</v>
      </c>
      <c r="B1" s="8"/>
      <c r="C1" s="8"/>
      <c r="D1" s="8"/>
      <c r="N1" s="174" t="s">
        <v>1</v>
      </c>
      <c r="O1" s="174"/>
      <c r="P1" s="161" t="s">
        <v>2</v>
      </c>
      <c r="Q1" s="161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75" t="s">
        <v>7</v>
      </c>
      <c r="B4" s="176"/>
      <c r="C4" s="176"/>
      <c r="D4" s="177"/>
      <c r="E4" s="9"/>
      <c r="F4" s="178" t="s">
        <v>8</v>
      </c>
      <c r="G4" s="180">
        <v>3</v>
      </c>
      <c r="H4" s="182" t="s">
        <v>9</v>
      </c>
      <c r="I4" s="184">
        <v>45800</v>
      </c>
      <c r="J4" s="185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88" t="s">
        <v>7</v>
      </c>
      <c r="B5" s="18" t="s">
        <v>11</v>
      </c>
      <c r="C5" s="12" t="s">
        <v>12</v>
      </c>
      <c r="D5" s="28" t="s">
        <v>13</v>
      </c>
      <c r="E5" s="9"/>
      <c r="F5" s="179"/>
      <c r="G5" s="181"/>
      <c r="H5" s="183"/>
      <c r="I5" s="186"/>
      <c r="J5" s="187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89"/>
      <c r="B6" s="19" t="s">
        <v>15</v>
      </c>
      <c r="C6" s="53">
        <v>181</v>
      </c>
      <c r="D6" s="16">
        <f t="shared" ref="D6:D28" si="1">C6*L6</f>
        <v>133397</v>
      </c>
      <c r="E6" s="9"/>
      <c r="F6" s="191" t="s">
        <v>16</v>
      </c>
      <c r="G6" s="193" t="s">
        <v>111</v>
      </c>
      <c r="H6" s="194"/>
      <c r="I6" s="194"/>
      <c r="J6" s="195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89"/>
      <c r="B7" s="19" t="s">
        <v>18</v>
      </c>
      <c r="C7" s="53">
        <v>10</v>
      </c>
      <c r="D7" s="16">
        <f t="shared" si="1"/>
        <v>7250</v>
      </c>
      <c r="E7" s="9"/>
      <c r="F7" s="192"/>
      <c r="G7" s="196"/>
      <c r="H7" s="197"/>
      <c r="I7" s="197"/>
      <c r="J7" s="198"/>
      <c r="K7" s="10"/>
      <c r="L7" s="6">
        <f>R41</f>
        <v>725</v>
      </c>
      <c r="P7" s="4"/>
      <c r="Q7" s="4"/>
      <c r="R7" s="5"/>
    </row>
    <row r="8" spans="1:19" ht="14.45" customHeight="1" x14ac:dyDescent="0.25">
      <c r="A8" s="189"/>
      <c r="B8" s="19" t="s">
        <v>20</v>
      </c>
      <c r="C8" s="53"/>
      <c r="D8" s="16">
        <f t="shared" si="1"/>
        <v>0</v>
      </c>
      <c r="E8" s="9"/>
      <c r="F8" s="199" t="s">
        <v>21</v>
      </c>
      <c r="G8" s="201" t="s">
        <v>122</v>
      </c>
      <c r="H8" s="202"/>
      <c r="I8" s="202"/>
      <c r="J8" s="203"/>
      <c r="K8" s="10"/>
      <c r="L8" s="6">
        <f>R40</f>
        <v>1033</v>
      </c>
      <c r="P8" s="4"/>
      <c r="Q8" s="4"/>
      <c r="R8" s="5"/>
    </row>
    <row r="9" spans="1:19" ht="14.45" customHeight="1" x14ac:dyDescent="0.25">
      <c r="A9" s="189"/>
      <c r="B9" s="19" t="s">
        <v>23</v>
      </c>
      <c r="C9" s="53">
        <v>105</v>
      </c>
      <c r="D9" s="16">
        <f t="shared" si="1"/>
        <v>74235</v>
      </c>
      <c r="E9" s="9"/>
      <c r="F9" s="192"/>
      <c r="G9" s="204"/>
      <c r="H9" s="205"/>
      <c r="I9" s="205"/>
      <c r="J9" s="206"/>
      <c r="K9" s="10"/>
      <c r="L9" s="6">
        <f>R38</f>
        <v>707</v>
      </c>
      <c r="P9" s="4"/>
      <c r="Q9" s="4"/>
      <c r="R9" s="5"/>
    </row>
    <row r="10" spans="1:19" ht="14.45" customHeight="1" x14ac:dyDescent="0.25">
      <c r="A10" s="189"/>
      <c r="B10" s="11" t="s">
        <v>25</v>
      </c>
      <c r="C10" s="53">
        <v>2</v>
      </c>
      <c r="D10" s="16">
        <f t="shared" si="1"/>
        <v>1944</v>
      </c>
      <c r="E10" s="9"/>
      <c r="F10" s="191" t="s">
        <v>26</v>
      </c>
      <c r="G10" s="207" t="s">
        <v>123</v>
      </c>
      <c r="H10" s="208"/>
      <c r="I10" s="208"/>
      <c r="J10" s="209"/>
      <c r="K10" s="10"/>
      <c r="L10" s="6">
        <f>R36</f>
        <v>972</v>
      </c>
      <c r="P10" s="4"/>
      <c r="Q10" s="4"/>
      <c r="R10" s="5"/>
    </row>
    <row r="11" spans="1:19" ht="15.75" x14ac:dyDescent="0.25">
      <c r="A11" s="189"/>
      <c r="B11" s="20" t="s">
        <v>28</v>
      </c>
      <c r="C11" s="53"/>
      <c r="D11" s="16">
        <f t="shared" si="1"/>
        <v>0</v>
      </c>
      <c r="E11" s="9"/>
      <c r="F11" s="192"/>
      <c r="G11" s="204"/>
      <c r="H11" s="205"/>
      <c r="I11" s="205"/>
      <c r="J11" s="206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89"/>
      <c r="B12" s="20" t="s">
        <v>30</v>
      </c>
      <c r="C12" s="53"/>
      <c r="D12" s="52">
        <f t="shared" si="1"/>
        <v>0</v>
      </c>
      <c r="E12" s="9"/>
      <c r="F12" s="210" t="s">
        <v>33</v>
      </c>
      <c r="G12" s="211"/>
      <c r="H12" s="211"/>
      <c r="I12" s="211"/>
      <c r="J12" s="212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89"/>
      <c r="B13" s="20" t="s">
        <v>32</v>
      </c>
      <c r="C13" s="53">
        <v>19</v>
      </c>
      <c r="D13" s="52">
        <f t="shared" si="1"/>
        <v>5833</v>
      </c>
      <c r="E13" s="9"/>
      <c r="F13" s="213" t="s">
        <v>36</v>
      </c>
      <c r="G13" s="214"/>
      <c r="H13" s="215">
        <f>D29</f>
        <v>224865</v>
      </c>
      <c r="I13" s="216"/>
      <c r="J13" s="217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89"/>
      <c r="B14" s="17" t="s">
        <v>35</v>
      </c>
      <c r="C14" s="53">
        <v>11</v>
      </c>
      <c r="D14" s="34">
        <f t="shared" si="1"/>
        <v>121</v>
      </c>
      <c r="E14" s="9"/>
      <c r="F14" s="218" t="s">
        <v>39</v>
      </c>
      <c r="G14" s="219"/>
      <c r="H14" s="220">
        <f>D54</f>
        <v>36675</v>
      </c>
      <c r="I14" s="221"/>
      <c r="J14" s="222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89"/>
      <c r="B15" s="17" t="s">
        <v>38</v>
      </c>
      <c r="C15" s="53"/>
      <c r="D15" s="34">
        <f t="shared" si="1"/>
        <v>0</v>
      </c>
      <c r="E15" s="9"/>
      <c r="F15" s="223" t="s">
        <v>40</v>
      </c>
      <c r="G15" s="214"/>
      <c r="H15" s="224">
        <f>H13-H14</f>
        <v>188190</v>
      </c>
      <c r="I15" s="225"/>
      <c r="J15" s="226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89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227">
        <f>624+1104</f>
        <v>1728</v>
      </c>
      <c r="I16" s="227"/>
      <c r="J16" s="22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89"/>
      <c r="B17" s="11" t="s">
        <v>114</v>
      </c>
      <c r="C17" s="53"/>
      <c r="D17" s="52">
        <f t="shared" si="1"/>
        <v>0</v>
      </c>
      <c r="E17" s="9"/>
      <c r="F17" s="62"/>
      <c r="G17" s="74" t="s">
        <v>45</v>
      </c>
      <c r="H17" s="200"/>
      <c r="I17" s="200"/>
      <c r="J17" s="200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89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200"/>
      <c r="I18" s="200"/>
      <c r="J18" s="200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89"/>
      <c r="B19" s="17" t="s">
        <v>118</v>
      </c>
      <c r="C19" s="53"/>
      <c r="D19" s="52">
        <f t="shared" si="1"/>
        <v>0</v>
      </c>
      <c r="E19" s="9"/>
      <c r="F19" s="62"/>
      <c r="G19" s="76" t="s">
        <v>50</v>
      </c>
      <c r="H19" s="313"/>
      <c r="I19" s="313"/>
      <c r="J19" s="313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89"/>
      <c r="B20" s="50" t="s">
        <v>108</v>
      </c>
      <c r="C20" s="53"/>
      <c r="D20" s="16">
        <f t="shared" si="1"/>
        <v>0</v>
      </c>
      <c r="E20" s="9"/>
      <c r="F20" s="63"/>
      <c r="G20" s="78" t="s">
        <v>124</v>
      </c>
      <c r="H20" s="227"/>
      <c r="I20" s="227"/>
      <c r="J20" s="227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89"/>
      <c r="B21" s="17" t="s">
        <v>145</v>
      </c>
      <c r="C21" s="53">
        <f>1+1</f>
        <v>2</v>
      </c>
      <c r="D21" s="52">
        <f t="shared" si="1"/>
        <v>1300</v>
      </c>
      <c r="E21" s="9"/>
      <c r="F21" s="77" t="s">
        <v>99</v>
      </c>
      <c r="G21" s="92" t="s">
        <v>98</v>
      </c>
      <c r="H21" s="246" t="s">
        <v>13</v>
      </c>
      <c r="I21" s="247"/>
      <c r="J21" s="248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89"/>
      <c r="B22" s="50" t="s">
        <v>104</v>
      </c>
      <c r="C22" s="53"/>
      <c r="D22" s="52">
        <f t="shared" si="1"/>
        <v>0</v>
      </c>
      <c r="E22" s="9"/>
      <c r="F22" s="85"/>
      <c r="G22" s="81"/>
      <c r="H22" s="249"/>
      <c r="I22" s="249"/>
      <c r="J22" s="249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89"/>
      <c r="B23" s="17" t="s">
        <v>107</v>
      </c>
      <c r="C23" s="53"/>
      <c r="D23" s="52">
        <f t="shared" si="1"/>
        <v>0</v>
      </c>
      <c r="E23" s="9"/>
      <c r="F23" s="86"/>
      <c r="G23" s="87"/>
      <c r="H23" s="299"/>
      <c r="I23" s="255"/>
      <c r="J23" s="255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89"/>
      <c r="B24" s="17" t="s">
        <v>101</v>
      </c>
      <c r="C24" s="53"/>
      <c r="D24" s="52">
        <f t="shared" si="1"/>
        <v>0</v>
      </c>
      <c r="E24" s="9"/>
      <c r="F24" s="42"/>
      <c r="G24" s="41"/>
      <c r="H24" s="299"/>
      <c r="I24" s="255"/>
      <c r="J24" s="255"/>
      <c r="L24" s="51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89"/>
      <c r="B25" s="17" t="s">
        <v>117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52" t="s">
        <v>13</v>
      </c>
      <c r="I25" s="253"/>
      <c r="J25" s="254"/>
      <c r="L25" s="51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89"/>
      <c r="B26" s="17" t="s">
        <v>105</v>
      </c>
      <c r="C26" s="53"/>
      <c r="D26" s="52">
        <f t="shared" si="1"/>
        <v>0</v>
      </c>
      <c r="E26" s="9"/>
      <c r="F26" s="72"/>
      <c r="G26" s="65"/>
      <c r="H26" s="300"/>
      <c r="I26" s="301"/>
      <c r="J26" s="302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89"/>
      <c r="B27" s="17" t="s">
        <v>109</v>
      </c>
      <c r="C27" s="53"/>
      <c r="D27" s="48">
        <f t="shared" si="1"/>
        <v>0</v>
      </c>
      <c r="E27" s="9"/>
      <c r="F27" s="88"/>
      <c r="G27" s="89"/>
      <c r="H27" s="303"/>
      <c r="I27" s="304"/>
      <c r="J27" s="305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90"/>
      <c r="B28" s="50" t="s">
        <v>97</v>
      </c>
      <c r="C28" s="53">
        <v>1</v>
      </c>
      <c r="D28" s="52">
        <f t="shared" si="1"/>
        <v>785</v>
      </c>
      <c r="E28" s="9"/>
      <c r="F28" s="60"/>
      <c r="G28" s="68"/>
      <c r="H28" s="258"/>
      <c r="I28" s="259"/>
      <c r="J28" s="260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28" t="s">
        <v>36</v>
      </c>
      <c r="B29" s="229"/>
      <c r="C29" s="230"/>
      <c r="D29" s="234">
        <f>SUM(D6:D28)</f>
        <v>224865</v>
      </c>
      <c r="E29" s="9"/>
      <c r="F29" s="236" t="s">
        <v>55</v>
      </c>
      <c r="G29" s="237"/>
      <c r="H29" s="240">
        <f>H15-H16-H17-H18-H19-H20-H22-H23-H24+H26+H27</f>
        <v>186462</v>
      </c>
      <c r="I29" s="241"/>
      <c r="J29" s="242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231"/>
      <c r="B30" s="232"/>
      <c r="C30" s="233"/>
      <c r="D30" s="235"/>
      <c r="E30" s="9"/>
      <c r="F30" s="238"/>
      <c r="G30" s="239"/>
      <c r="H30" s="243"/>
      <c r="I30" s="244"/>
      <c r="J30" s="245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5" t="s">
        <v>58</v>
      </c>
      <c r="B32" s="176"/>
      <c r="C32" s="176"/>
      <c r="D32" s="177"/>
      <c r="E32" s="11"/>
      <c r="F32" s="261" t="s">
        <v>59</v>
      </c>
      <c r="G32" s="262"/>
      <c r="H32" s="262"/>
      <c r="I32" s="262"/>
      <c r="J32" s="263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62" t="s">
        <v>63</v>
      </c>
      <c r="H33" s="261" t="s">
        <v>13</v>
      </c>
      <c r="I33" s="262"/>
      <c r="J33" s="263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88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82">
        <v>126</v>
      </c>
      <c r="H34" s="264">
        <f>F34*G34</f>
        <v>126000</v>
      </c>
      <c r="I34" s="265"/>
      <c r="J34" s="266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89"/>
      <c r="B35" s="30" t="s">
        <v>68</v>
      </c>
      <c r="C35" s="57"/>
      <c r="D35" s="33">
        <f>C35*84</f>
        <v>0</v>
      </c>
      <c r="E35" s="9"/>
      <c r="F35" s="64">
        <v>500</v>
      </c>
      <c r="G35" s="45">
        <v>32</v>
      </c>
      <c r="H35" s="264">
        <f>F35*G35</f>
        <v>16000</v>
      </c>
      <c r="I35" s="265"/>
      <c r="J35" s="266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90"/>
      <c r="B36" s="29" t="s">
        <v>70</v>
      </c>
      <c r="C36" s="53"/>
      <c r="D36" s="15">
        <f>C36*1.5</f>
        <v>0</v>
      </c>
      <c r="E36" s="9"/>
      <c r="F36" s="15">
        <v>200</v>
      </c>
      <c r="G36" s="41">
        <v>2</v>
      </c>
      <c r="H36" s="264">
        <f t="shared" ref="H36:H39" si="2">F36*G36</f>
        <v>400</v>
      </c>
      <c r="I36" s="265"/>
      <c r="J36" s="266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88" t="s">
        <v>72</v>
      </c>
      <c r="B37" s="31" t="s">
        <v>66</v>
      </c>
      <c r="C37" s="58">
        <v>307</v>
      </c>
      <c r="D37" s="15">
        <f>C37*111</f>
        <v>34077</v>
      </c>
      <c r="E37" s="9"/>
      <c r="F37" s="15">
        <v>100</v>
      </c>
      <c r="G37" s="43">
        <v>278</v>
      </c>
      <c r="H37" s="264">
        <f t="shared" si="2"/>
        <v>27800</v>
      </c>
      <c r="I37" s="265"/>
      <c r="J37" s="266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89"/>
      <c r="B38" s="32" t="s">
        <v>68</v>
      </c>
      <c r="C38" s="59">
        <v>1</v>
      </c>
      <c r="D38" s="15">
        <f>C38*84</f>
        <v>84</v>
      </c>
      <c r="E38" s="9"/>
      <c r="F38" s="33">
        <v>50</v>
      </c>
      <c r="G38" s="43">
        <v>347</v>
      </c>
      <c r="H38" s="264">
        <f t="shared" si="2"/>
        <v>17350</v>
      </c>
      <c r="I38" s="265"/>
      <c r="J38" s="266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90"/>
      <c r="B39" s="32" t="s">
        <v>70</v>
      </c>
      <c r="C39" s="57"/>
      <c r="D39" s="34">
        <f>C39*4.5</f>
        <v>0</v>
      </c>
      <c r="E39" s="9"/>
      <c r="F39" s="15">
        <v>20</v>
      </c>
      <c r="G39" s="41">
        <v>6</v>
      </c>
      <c r="H39" s="264">
        <f t="shared" si="2"/>
        <v>120</v>
      </c>
      <c r="I39" s="265"/>
      <c r="J39" s="266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88" t="s">
        <v>76</v>
      </c>
      <c r="B40" s="30" t="s">
        <v>66</v>
      </c>
      <c r="C40" s="70">
        <v>9</v>
      </c>
      <c r="D40" s="15">
        <f>C40*111</f>
        <v>999</v>
      </c>
      <c r="E40" s="9"/>
      <c r="F40" s="15">
        <v>10</v>
      </c>
      <c r="G40" s="46"/>
      <c r="H40" s="264"/>
      <c r="I40" s="265"/>
      <c r="J40" s="266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89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264"/>
      <c r="I41" s="265"/>
      <c r="J41" s="266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90"/>
      <c r="B42" s="30" t="s">
        <v>70</v>
      </c>
      <c r="C42" s="71">
        <v>2</v>
      </c>
      <c r="D42" s="15">
        <f>C42*2.25</f>
        <v>4.5</v>
      </c>
      <c r="E42" s="9"/>
      <c r="F42" s="43" t="s">
        <v>79</v>
      </c>
      <c r="G42" s="264">
        <v>94</v>
      </c>
      <c r="H42" s="265"/>
      <c r="I42" s="265"/>
      <c r="J42" s="266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67" t="s">
        <v>81</v>
      </c>
      <c r="C43" s="71"/>
      <c r="D43" s="15"/>
      <c r="E43" s="9"/>
      <c r="F43" s="65" t="s">
        <v>82</v>
      </c>
      <c r="G43" s="164" t="s">
        <v>83</v>
      </c>
      <c r="H43" s="270" t="s">
        <v>13</v>
      </c>
      <c r="I43" s="271"/>
      <c r="J43" s="272"/>
      <c r="K43" s="24"/>
      <c r="P43" s="4"/>
      <c r="Q43" s="4"/>
      <c r="R43" s="5"/>
    </row>
    <row r="44" spans="1:18" ht="15.75" x14ac:dyDescent="0.25">
      <c r="A44" s="268"/>
      <c r="B44" s="30" t="s">
        <v>66</v>
      </c>
      <c r="C44" s="53">
        <v>1</v>
      </c>
      <c r="D44" s="15">
        <f>C44*120</f>
        <v>120</v>
      </c>
      <c r="E44" s="9"/>
      <c r="F44" s="41"/>
      <c r="G44" s="84"/>
      <c r="H44" s="255"/>
      <c r="I44" s="255"/>
      <c r="J44" s="255"/>
      <c r="K44" s="24"/>
      <c r="P44" s="4"/>
      <c r="Q44" s="4"/>
      <c r="R44" s="5"/>
    </row>
    <row r="45" spans="1:18" ht="15.75" x14ac:dyDescent="0.25">
      <c r="A45" s="268"/>
      <c r="B45" s="30" t="s">
        <v>68</v>
      </c>
      <c r="C45" s="90"/>
      <c r="D45" s="15">
        <f>C45*84</f>
        <v>0</v>
      </c>
      <c r="E45" s="9"/>
      <c r="F45" s="41"/>
      <c r="G45" s="84"/>
      <c r="H45" s="255"/>
      <c r="I45" s="255"/>
      <c r="J45" s="255"/>
      <c r="K45" s="24"/>
      <c r="P45" s="4"/>
      <c r="Q45" s="4"/>
      <c r="R45" s="5"/>
    </row>
    <row r="46" spans="1:18" ht="15.75" x14ac:dyDescent="0.25">
      <c r="A46" s="268"/>
      <c r="B46" s="54" t="s">
        <v>70</v>
      </c>
      <c r="C46" s="91">
        <v>11</v>
      </c>
      <c r="D46" s="15">
        <f>C46*1.5</f>
        <v>16.5</v>
      </c>
      <c r="E46" s="9"/>
      <c r="F46" s="41"/>
      <c r="G46" s="69"/>
      <c r="H46" s="306"/>
      <c r="I46" s="306"/>
      <c r="J46" s="306"/>
      <c r="K46" s="24"/>
      <c r="P46" s="4"/>
      <c r="Q46" s="4"/>
      <c r="R46" s="5"/>
    </row>
    <row r="47" spans="1:18" ht="15.75" x14ac:dyDescent="0.25">
      <c r="A47" s="269"/>
      <c r="B47" s="30"/>
      <c r="C47" s="71"/>
      <c r="D47" s="15"/>
      <c r="E47" s="9"/>
      <c r="F47" s="65"/>
      <c r="G47" s="65"/>
      <c r="H47" s="273"/>
      <c r="I47" s="274"/>
      <c r="J47" s="275"/>
      <c r="K47" s="24"/>
      <c r="P47" s="4"/>
      <c r="Q47" s="4"/>
      <c r="R47" s="5"/>
    </row>
    <row r="48" spans="1:18" ht="15" customHeight="1" x14ac:dyDescent="0.25">
      <c r="A48" s="267" t="s">
        <v>32</v>
      </c>
      <c r="B48" s="30" t="s">
        <v>66</v>
      </c>
      <c r="C48" s="53">
        <v>16</v>
      </c>
      <c r="D48" s="15">
        <f>C48*78</f>
        <v>1248</v>
      </c>
      <c r="E48" s="9"/>
      <c r="F48" s="65"/>
      <c r="G48" s="65"/>
      <c r="H48" s="273"/>
      <c r="I48" s="274"/>
      <c r="J48" s="275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68"/>
      <c r="B49" s="32" t="s">
        <v>68</v>
      </c>
      <c r="C49" s="90">
        <v>3</v>
      </c>
      <c r="D49" s="15">
        <f>C49*42</f>
        <v>126</v>
      </c>
      <c r="E49" s="9"/>
      <c r="F49" s="288" t="s">
        <v>86</v>
      </c>
      <c r="G49" s="240">
        <f>H34+H35+H36+H37+H38+H39+H40+H41+G42+H44+H45+H46</f>
        <v>187764</v>
      </c>
      <c r="H49" s="241"/>
      <c r="I49" s="241"/>
      <c r="J49" s="242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68"/>
      <c r="B50" s="35" t="s">
        <v>70</v>
      </c>
      <c r="C50" s="71"/>
      <c r="D50" s="15">
        <f>C50*1.5</f>
        <v>0</v>
      </c>
      <c r="E50" s="9"/>
      <c r="F50" s="289"/>
      <c r="G50" s="243"/>
      <c r="H50" s="244"/>
      <c r="I50" s="244"/>
      <c r="J50" s="245"/>
      <c r="K50" s="9"/>
      <c r="P50" s="4"/>
      <c r="Q50" s="4"/>
      <c r="R50" s="5"/>
    </row>
    <row r="51" spans="1:18" ht="15" customHeight="1" x14ac:dyDescent="0.25">
      <c r="A51" s="268"/>
      <c r="B51" s="30"/>
      <c r="C51" s="53"/>
      <c r="D51" s="34"/>
      <c r="E51" s="9"/>
      <c r="F51" s="290" t="s">
        <v>147</v>
      </c>
      <c r="G51" s="307">
        <f>G49-H29</f>
        <v>1302</v>
      </c>
      <c r="H51" s="308"/>
      <c r="I51" s="308"/>
      <c r="J51" s="309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68"/>
      <c r="B52" s="32"/>
      <c r="C52" s="36"/>
      <c r="D52" s="49"/>
      <c r="E52" s="9"/>
      <c r="F52" s="291"/>
      <c r="G52" s="310"/>
      <c r="H52" s="311"/>
      <c r="I52" s="311"/>
      <c r="J52" s="312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69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236" t="s">
        <v>90</v>
      </c>
      <c r="B54" s="276"/>
      <c r="C54" s="277"/>
      <c r="D54" s="280">
        <f>SUM(D34:D53)</f>
        <v>36675</v>
      </c>
      <c r="E54" s="9"/>
      <c r="F54" s="24"/>
      <c r="G54" s="9"/>
      <c r="H54" s="9"/>
      <c r="I54" s="9"/>
      <c r="J54" s="37"/>
    </row>
    <row r="55" spans="1:18" x14ac:dyDescent="0.25">
      <c r="A55" s="238"/>
      <c r="B55" s="278"/>
      <c r="C55" s="279"/>
      <c r="D55" s="281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119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282" t="s">
        <v>91</v>
      </c>
      <c r="B58" s="283"/>
      <c r="C58" s="283"/>
      <c r="D58" s="284"/>
      <c r="E58" s="9"/>
      <c r="F58" s="282" t="s">
        <v>92</v>
      </c>
      <c r="G58" s="283"/>
      <c r="H58" s="283"/>
      <c r="I58" s="283"/>
      <c r="J58" s="284"/>
    </row>
    <row r="59" spans="1:18" x14ac:dyDescent="0.25">
      <c r="A59" s="285"/>
      <c r="B59" s="286"/>
      <c r="C59" s="286"/>
      <c r="D59" s="287"/>
      <c r="E59" s="9"/>
      <c r="F59" s="285"/>
      <c r="G59" s="286"/>
      <c r="H59" s="286"/>
      <c r="I59" s="286"/>
      <c r="J59" s="287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4B9E1-DD60-4AC7-B397-8676486B7B24}">
  <dimension ref="A1"/>
  <sheetViews>
    <sheetView workbookViewId="0">
      <selection activeCell="I4" sqref="I4:J5"/>
    </sheetView>
  </sheetViews>
  <sheetFormatPr defaultRowHeight="15" x14ac:dyDescent="0.25"/>
  <sheetData/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37893-FF0D-4DD2-B950-F5141ED76E84}">
  <dimension ref="A1:R59"/>
  <sheetViews>
    <sheetView topLeftCell="A28"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174" t="s">
        <v>1</v>
      </c>
      <c r="O1" s="174"/>
      <c r="P1" s="168" t="s">
        <v>2</v>
      </c>
      <c r="Q1" s="168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75" t="s">
        <v>7</v>
      </c>
      <c r="B4" s="176"/>
      <c r="C4" s="176"/>
      <c r="D4" s="177"/>
      <c r="E4" s="9"/>
      <c r="F4" s="178" t="s">
        <v>8</v>
      </c>
      <c r="G4" s="180">
        <v>1</v>
      </c>
      <c r="H4" s="182" t="s">
        <v>9</v>
      </c>
      <c r="I4" s="184">
        <v>45801</v>
      </c>
      <c r="J4" s="185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88" t="s">
        <v>7</v>
      </c>
      <c r="B5" s="18" t="s">
        <v>11</v>
      </c>
      <c r="C5" s="12" t="s">
        <v>12</v>
      </c>
      <c r="D5" s="28" t="s">
        <v>13</v>
      </c>
      <c r="E5" s="9"/>
      <c r="F5" s="179"/>
      <c r="G5" s="181"/>
      <c r="H5" s="183"/>
      <c r="I5" s="186"/>
      <c r="J5" s="187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89"/>
      <c r="B6" s="19" t="s">
        <v>15</v>
      </c>
      <c r="C6" s="53">
        <v>528</v>
      </c>
      <c r="D6" s="16">
        <f t="shared" ref="D6:D28" si="1">C6*L6</f>
        <v>389136</v>
      </c>
      <c r="E6" s="9"/>
      <c r="F6" s="191" t="s">
        <v>16</v>
      </c>
      <c r="G6" s="193" t="s">
        <v>128</v>
      </c>
      <c r="H6" s="194"/>
      <c r="I6" s="194"/>
      <c r="J6" s="195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89"/>
      <c r="B7" s="19" t="s">
        <v>18</v>
      </c>
      <c r="C7" s="53">
        <v>3</v>
      </c>
      <c r="D7" s="16">
        <f t="shared" si="1"/>
        <v>2175</v>
      </c>
      <c r="E7" s="9"/>
      <c r="F7" s="192"/>
      <c r="G7" s="196"/>
      <c r="H7" s="197"/>
      <c r="I7" s="197"/>
      <c r="J7" s="198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189"/>
      <c r="B8" s="19" t="s">
        <v>20</v>
      </c>
      <c r="C8" s="53"/>
      <c r="D8" s="16">
        <f t="shared" si="1"/>
        <v>0</v>
      </c>
      <c r="E8" s="9"/>
      <c r="F8" s="199" t="s">
        <v>21</v>
      </c>
      <c r="G8" s="201" t="s">
        <v>113</v>
      </c>
      <c r="H8" s="202"/>
      <c r="I8" s="202"/>
      <c r="J8" s="203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189"/>
      <c r="B9" s="19" t="s">
        <v>23</v>
      </c>
      <c r="C9" s="53">
        <v>136</v>
      </c>
      <c r="D9" s="16">
        <f t="shared" si="1"/>
        <v>96152</v>
      </c>
      <c r="E9" s="9"/>
      <c r="F9" s="192"/>
      <c r="G9" s="204"/>
      <c r="H9" s="205"/>
      <c r="I9" s="205"/>
      <c r="J9" s="206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189"/>
      <c r="B10" s="11" t="s">
        <v>25</v>
      </c>
      <c r="C10" s="53"/>
      <c r="D10" s="16">
        <f t="shared" si="1"/>
        <v>0</v>
      </c>
      <c r="E10" s="9"/>
      <c r="F10" s="191" t="s">
        <v>26</v>
      </c>
      <c r="G10" s="207" t="s">
        <v>132</v>
      </c>
      <c r="H10" s="208"/>
      <c r="I10" s="208"/>
      <c r="J10" s="209"/>
      <c r="K10" s="10"/>
      <c r="L10" s="6">
        <f>R36</f>
        <v>972</v>
      </c>
      <c r="P10" s="4"/>
      <c r="Q10" s="4"/>
      <c r="R10" s="5"/>
    </row>
    <row r="11" spans="1:18" ht="15.75" x14ac:dyDescent="0.25">
      <c r="A11" s="189"/>
      <c r="B11" s="20" t="s">
        <v>28</v>
      </c>
      <c r="C11" s="53"/>
      <c r="D11" s="16">
        <f t="shared" si="1"/>
        <v>0</v>
      </c>
      <c r="E11" s="9"/>
      <c r="F11" s="192"/>
      <c r="G11" s="204"/>
      <c r="H11" s="205"/>
      <c r="I11" s="205"/>
      <c r="J11" s="206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89"/>
      <c r="B12" s="20" t="s">
        <v>30</v>
      </c>
      <c r="C12" s="53">
        <v>22</v>
      </c>
      <c r="D12" s="52">
        <f t="shared" si="1"/>
        <v>20944</v>
      </c>
      <c r="E12" s="9"/>
      <c r="F12" s="210" t="s">
        <v>33</v>
      </c>
      <c r="G12" s="211"/>
      <c r="H12" s="211"/>
      <c r="I12" s="211"/>
      <c r="J12" s="212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89"/>
      <c r="B13" s="20" t="s">
        <v>32</v>
      </c>
      <c r="C13" s="53">
        <v>26</v>
      </c>
      <c r="D13" s="52">
        <f t="shared" si="1"/>
        <v>7982</v>
      </c>
      <c r="E13" s="9"/>
      <c r="F13" s="213" t="s">
        <v>36</v>
      </c>
      <c r="G13" s="214"/>
      <c r="H13" s="215">
        <f>D29</f>
        <v>516400</v>
      </c>
      <c r="I13" s="216"/>
      <c r="J13" s="217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89"/>
      <c r="B14" s="17" t="s">
        <v>35</v>
      </c>
      <c r="C14" s="53">
        <v>1</v>
      </c>
      <c r="D14" s="34">
        <f t="shared" si="1"/>
        <v>11</v>
      </c>
      <c r="E14" s="9"/>
      <c r="F14" s="218" t="s">
        <v>39</v>
      </c>
      <c r="G14" s="219"/>
      <c r="H14" s="220">
        <f>D54</f>
        <v>92143.5</v>
      </c>
      <c r="I14" s="221"/>
      <c r="J14" s="222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89"/>
      <c r="B15" s="17" t="s">
        <v>38</v>
      </c>
      <c r="C15" s="53"/>
      <c r="D15" s="34">
        <f t="shared" si="1"/>
        <v>0</v>
      </c>
      <c r="E15" s="9"/>
      <c r="F15" s="223" t="s">
        <v>40</v>
      </c>
      <c r="G15" s="214"/>
      <c r="H15" s="224">
        <f>H13-H14</f>
        <v>424256.5</v>
      </c>
      <c r="I15" s="225"/>
      <c r="J15" s="226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89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227">
        <f>4230</f>
        <v>4230</v>
      </c>
      <c r="I16" s="227"/>
      <c r="J16" s="22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89"/>
      <c r="B17" s="11" t="s">
        <v>137</v>
      </c>
      <c r="C17" s="53"/>
      <c r="D17" s="52">
        <f t="shared" si="1"/>
        <v>0</v>
      </c>
      <c r="E17" s="9"/>
      <c r="F17" s="62"/>
      <c r="G17" s="74" t="s">
        <v>45</v>
      </c>
      <c r="H17" s="200"/>
      <c r="I17" s="200"/>
      <c r="J17" s="200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89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200"/>
      <c r="I18" s="200"/>
      <c r="J18" s="200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89"/>
      <c r="B19" s="17" t="s">
        <v>140</v>
      </c>
      <c r="C19" s="53"/>
      <c r="D19" s="52">
        <f t="shared" si="1"/>
        <v>0</v>
      </c>
      <c r="E19" s="9"/>
      <c r="F19" s="62"/>
      <c r="G19" s="76" t="s">
        <v>50</v>
      </c>
      <c r="H19" s="200"/>
      <c r="I19" s="200"/>
      <c r="J19" s="200"/>
      <c r="L19" s="6">
        <v>1102</v>
      </c>
      <c r="Q19" s="4"/>
      <c r="R19" s="5">
        <f t="shared" si="0"/>
        <v>0</v>
      </c>
    </row>
    <row r="20" spans="1:18" ht="15.75" x14ac:dyDescent="0.25">
      <c r="A20" s="189"/>
      <c r="B20" s="97" t="s">
        <v>139</v>
      </c>
      <c r="C20" s="53"/>
      <c r="D20" s="16">
        <f t="shared" si="1"/>
        <v>0</v>
      </c>
      <c r="E20" s="9"/>
      <c r="F20" s="63"/>
      <c r="G20" s="78" t="s">
        <v>124</v>
      </c>
      <c r="H20" s="227"/>
      <c r="I20" s="227"/>
      <c r="J20" s="227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89"/>
      <c r="B21" s="17" t="s">
        <v>138</v>
      </c>
      <c r="C21" s="53"/>
      <c r="D21" s="52">
        <f t="shared" si="1"/>
        <v>0</v>
      </c>
      <c r="E21" s="9"/>
      <c r="F21" s="77" t="s">
        <v>99</v>
      </c>
      <c r="G21" s="92" t="s">
        <v>98</v>
      </c>
      <c r="H21" s="246" t="s">
        <v>13</v>
      </c>
      <c r="I21" s="247"/>
      <c r="J21" s="248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89"/>
      <c r="B22" s="50" t="s">
        <v>110</v>
      </c>
      <c r="C22" s="53"/>
      <c r="D22" s="52">
        <f t="shared" si="1"/>
        <v>0</v>
      </c>
      <c r="E22" s="9"/>
      <c r="F22" s="85"/>
      <c r="G22" s="81"/>
      <c r="H22" s="249"/>
      <c r="I22" s="249"/>
      <c r="J22" s="249"/>
      <c r="L22" s="7">
        <v>1142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89"/>
      <c r="B23" s="17" t="s">
        <v>125</v>
      </c>
      <c r="C23" s="53"/>
      <c r="D23" s="52">
        <f t="shared" si="1"/>
        <v>0</v>
      </c>
      <c r="E23" s="9"/>
      <c r="F23" s="85"/>
      <c r="G23" s="87"/>
      <c r="H23" s="250"/>
      <c r="I23" s="251"/>
      <c r="J23" s="251"/>
      <c r="L23" s="51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89"/>
      <c r="B24" s="17" t="s">
        <v>126</v>
      </c>
      <c r="C24" s="53"/>
      <c r="D24" s="52">
        <f t="shared" si="1"/>
        <v>0</v>
      </c>
      <c r="E24" s="9"/>
      <c r="F24" s="85"/>
      <c r="G24" s="87"/>
      <c r="H24" s="250"/>
      <c r="I24" s="251"/>
      <c r="J24" s="251"/>
      <c r="L24" s="51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89"/>
      <c r="B25" s="17" t="s">
        <v>121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52" t="s">
        <v>13</v>
      </c>
      <c r="I25" s="253"/>
      <c r="J25" s="254"/>
      <c r="L25" s="51">
        <f>852/24+1.5</f>
        <v>37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89"/>
      <c r="B26" s="17" t="s">
        <v>112</v>
      </c>
      <c r="C26" s="53"/>
      <c r="D26" s="52">
        <f t="shared" si="1"/>
        <v>0</v>
      </c>
      <c r="E26" s="9"/>
      <c r="F26" s="83"/>
      <c r="G26" s="73"/>
      <c r="H26" s="255"/>
      <c r="I26" s="255"/>
      <c r="J26" s="255"/>
      <c r="L26" s="7">
        <f>500/24+1.5</f>
        <v>22.333333333333332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89"/>
      <c r="B27" s="17" t="s">
        <v>120</v>
      </c>
      <c r="C27" s="53"/>
      <c r="D27" s="48">
        <f t="shared" si="1"/>
        <v>0</v>
      </c>
      <c r="E27" s="9"/>
      <c r="F27" s="79"/>
      <c r="G27" s="166"/>
      <c r="H27" s="256"/>
      <c r="I27" s="257"/>
      <c r="J27" s="257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90"/>
      <c r="B28" s="50" t="s">
        <v>97</v>
      </c>
      <c r="C28" s="53"/>
      <c r="D28" s="52">
        <f t="shared" si="1"/>
        <v>0</v>
      </c>
      <c r="E28" s="9"/>
      <c r="F28" s="60"/>
      <c r="G28" s="68"/>
      <c r="H28" s="258"/>
      <c r="I28" s="259"/>
      <c r="J28" s="260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28" t="s">
        <v>36</v>
      </c>
      <c r="B29" s="229"/>
      <c r="C29" s="230"/>
      <c r="D29" s="234">
        <f>SUM(D6:D28)</f>
        <v>516400</v>
      </c>
      <c r="E29" s="9"/>
      <c r="F29" s="236" t="s">
        <v>55</v>
      </c>
      <c r="G29" s="237"/>
      <c r="H29" s="240">
        <f>H15-H16-H17-H18-H19-H20-H22-H23-H24+H26+H27+H28</f>
        <v>420026.5</v>
      </c>
      <c r="I29" s="241"/>
      <c r="J29" s="242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231"/>
      <c r="B30" s="232"/>
      <c r="C30" s="233"/>
      <c r="D30" s="235"/>
      <c r="E30" s="9"/>
      <c r="F30" s="238"/>
      <c r="G30" s="239"/>
      <c r="H30" s="243"/>
      <c r="I30" s="244"/>
      <c r="J30" s="245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5" t="s">
        <v>58</v>
      </c>
      <c r="B32" s="176"/>
      <c r="C32" s="176"/>
      <c r="D32" s="177"/>
      <c r="E32" s="11"/>
      <c r="F32" s="261" t="s">
        <v>59</v>
      </c>
      <c r="G32" s="262"/>
      <c r="H32" s="262"/>
      <c r="I32" s="262"/>
      <c r="J32" s="263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69" t="s">
        <v>63</v>
      </c>
      <c r="H33" s="261" t="s">
        <v>13</v>
      </c>
      <c r="I33" s="262"/>
      <c r="J33" s="263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88" t="s">
        <v>65</v>
      </c>
      <c r="B34" s="29" t="s">
        <v>66</v>
      </c>
      <c r="C34" s="56">
        <v>10</v>
      </c>
      <c r="D34" s="33">
        <f>C34*120</f>
        <v>1200</v>
      </c>
      <c r="E34" s="9"/>
      <c r="F34" s="15">
        <v>1000</v>
      </c>
      <c r="G34" s="44">
        <v>102</v>
      </c>
      <c r="H34" s="264">
        <f t="shared" ref="H34:H39" si="2">F34*G34</f>
        <v>102000</v>
      </c>
      <c r="I34" s="265"/>
      <c r="J34" s="266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89"/>
      <c r="B35" s="30" t="s">
        <v>68</v>
      </c>
      <c r="C35" s="57"/>
      <c r="D35" s="33">
        <f>C35*84</f>
        <v>0</v>
      </c>
      <c r="E35" s="9"/>
      <c r="F35" s="64">
        <v>500</v>
      </c>
      <c r="G35" s="45">
        <v>63</v>
      </c>
      <c r="H35" s="264">
        <f t="shared" si="2"/>
        <v>31500</v>
      </c>
      <c r="I35" s="265"/>
      <c r="J35" s="266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90"/>
      <c r="B36" s="29" t="s">
        <v>70</v>
      </c>
      <c r="C36" s="53"/>
      <c r="D36" s="15">
        <f>C36*1.5</f>
        <v>0</v>
      </c>
      <c r="E36" s="9"/>
      <c r="F36" s="15">
        <v>200</v>
      </c>
      <c r="G36" s="41">
        <v>2</v>
      </c>
      <c r="H36" s="264">
        <f t="shared" si="2"/>
        <v>400</v>
      </c>
      <c r="I36" s="265"/>
      <c r="J36" s="266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88" t="s">
        <v>72</v>
      </c>
      <c r="B37" s="31" t="s">
        <v>66</v>
      </c>
      <c r="C37" s="58">
        <v>791</v>
      </c>
      <c r="D37" s="15">
        <f>C37*111</f>
        <v>87801</v>
      </c>
      <c r="E37" s="9"/>
      <c r="F37" s="15">
        <v>100</v>
      </c>
      <c r="G37" s="43">
        <v>85</v>
      </c>
      <c r="H37" s="264">
        <f t="shared" si="2"/>
        <v>8500</v>
      </c>
      <c r="I37" s="265"/>
      <c r="J37" s="266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89"/>
      <c r="B38" s="32" t="s">
        <v>68</v>
      </c>
      <c r="C38" s="59">
        <v>5</v>
      </c>
      <c r="D38" s="15">
        <f>C38*84</f>
        <v>420</v>
      </c>
      <c r="E38" s="9"/>
      <c r="F38" s="33">
        <v>50</v>
      </c>
      <c r="G38" s="43">
        <v>49</v>
      </c>
      <c r="H38" s="264">
        <f t="shared" si="2"/>
        <v>2450</v>
      </c>
      <c r="I38" s="265"/>
      <c r="J38" s="266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90"/>
      <c r="B39" s="32" t="s">
        <v>70</v>
      </c>
      <c r="C39" s="57"/>
      <c r="D39" s="34">
        <f>C39*4.5</f>
        <v>0</v>
      </c>
      <c r="E39" s="9"/>
      <c r="F39" s="15">
        <v>20</v>
      </c>
      <c r="G39" s="41">
        <v>6</v>
      </c>
      <c r="H39" s="264">
        <f t="shared" si="2"/>
        <v>120</v>
      </c>
      <c r="I39" s="265"/>
      <c r="J39" s="266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88" t="s">
        <v>76</v>
      </c>
      <c r="B40" s="30" t="s">
        <v>66</v>
      </c>
      <c r="C40" s="70">
        <v>1</v>
      </c>
      <c r="D40" s="15">
        <f>C40*111</f>
        <v>111</v>
      </c>
      <c r="E40" s="9"/>
      <c r="F40" s="15">
        <v>10</v>
      </c>
      <c r="G40" s="46"/>
      <c r="H40" s="264"/>
      <c r="I40" s="265"/>
      <c r="J40" s="266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89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264"/>
      <c r="I41" s="265"/>
      <c r="J41" s="266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90"/>
      <c r="B42" s="30" t="s">
        <v>70</v>
      </c>
      <c r="C42" s="71">
        <v>4</v>
      </c>
      <c r="D42" s="15">
        <f>C42*2.25</f>
        <v>9</v>
      </c>
      <c r="E42" s="9"/>
      <c r="F42" s="43" t="s">
        <v>79</v>
      </c>
      <c r="G42" s="264">
        <v>98</v>
      </c>
      <c r="H42" s="265"/>
      <c r="I42" s="265"/>
      <c r="J42" s="266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67" t="s">
        <v>81</v>
      </c>
      <c r="C43" s="71"/>
      <c r="D43" s="15"/>
      <c r="E43" s="9"/>
      <c r="F43" s="65" t="s">
        <v>82</v>
      </c>
      <c r="G43" s="166" t="s">
        <v>83</v>
      </c>
      <c r="H43" s="270" t="s">
        <v>13</v>
      </c>
      <c r="I43" s="271"/>
      <c r="J43" s="272"/>
      <c r="K43" s="24"/>
      <c r="O43" t="s">
        <v>103</v>
      </c>
      <c r="P43" s="4">
        <v>1667</v>
      </c>
      <c r="Q43" s="4"/>
      <c r="R43" s="5"/>
    </row>
    <row r="44" spans="1:18" ht="15.75" x14ac:dyDescent="0.25">
      <c r="A44" s="268"/>
      <c r="B44" s="30" t="s">
        <v>66</v>
      </c>
      <c r="C44" s="53">
        <v>11</v>
      </c>
      <c r="D44" s="15">
        <f>C44*120</f>
        <v>1320</v>
      </c>
      <c r="E44" s="9"/>
      <c r="F44" s="41" t="s">
        <v>148</v>
      </c>
      <c r="G44" s="69" t="s">
        <v>212</v>
      </c>
      <c r="H44" s="255">
        <v>276434</v>
      </c>
      <c r="I44" s="255"/>
      <c r="J44" s="255"/>
      <c r="K44" s="24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268"/>
      <c r="B45" s="30" t="s">
        <v>68</v>
      </c>
      <c r="C45" s="90">
        <v>1</v>
      </c>
      <c r="D45" s="15">
        <f>C45*84</f>
        <v>84</v>
      </c>
      <c r="E45" s="9"/>
      <c r="F45" s="41"/>
      <c r="G45" s="69"/>
      <c r="H45" s="255"/>
      <c r="I45" s="255"/>
      <c r="J45" s="255"/>
      <c r="K45" s="24"/>
      <c r="P45" s="4"/>
      <c r="Q45" s="4"/>
      <c r="R45" s="5"/>
    </row>
    <row r="46" spans="1:18" ht="15.75" x14ac:dyDescent="0.25">
      <c r="A46" s="268"/>
      <c r="B46" s="54" t="s">
        <v>70</v>
      </c>
      <c r="C46" s="91">
        <v>20</v>
      </c>
      <c r="D46" s="15">
        <f>C46*1.5</f>
        <v>30</v>
      </c>
      <c r="E46" s="9"/>
      <c r="F46" s="41"/>
      <c r="G46" s="69"/>
      <c r="H46" s="255"/>
      <c r="I46" s="255"/>
      <c r="J46" s="255"/>
      <c r="K46" s="24"/>
      <c r="P46" s="4"/>
      <c r="Q46" s="4"/>
      <c r="R46" s="5"/>
    </row>
    <row r="47" spans="1:18" ht="15.75" x14ac:dyDescent="0.25">
      <c r="A47" s="269"/>
      <c r="B47" s="30"/>
      <c r="C47" s="71"/>
      <c r="D47" s="15"/>
      <c r="E47" s="9"/>
      <c r="F47" s="65"/>
      <c r="G47" s="65"/>
      <c r="H47" s="273"/>
      <c r="I47" s="274"/>
      <c r="J47" s="275"/>
      <c r="K47" s="24"/>
      <c r="P47" s="4"/>
      <c r="Q47" s="4"/>
      <c r="R47" s="5"/>
    </row>
    <row r="48" spans="1:18" ht="15" customHeight="1" x14ac:dyDescent="0.25">
      <c r="A48" s="267" t="s">
        <v>32</v>
      </c>
      <c r="B48" s="30" t="s">
        <v>66</v>
      </c>
      <c r="C48" s="53">
        <v>14</v>
      </c>
      <c r="D48" s="15">
        <f>C48*78</f>
        <v>1092</v>
      </c>
      <c r="E48" s="9"/>
      <c r="F48" s="65"/>
      <c r="G48" s="65"/>
      <c r="H48" s="273"/>
      <c r="I48" s="274"/>
      <c r="J48" s="275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68"/>
      <c r="B49" s="32" t="s">
        <v>68</v>
      </c>
      <c r="C49" s="90">
        <v>1</v>
      </c>
      <c r="D49" s="15">
        <f>C49*42</f>
        <v>42</v>
      </c>
      <c r="E49" s="9"/>
      <c r="F49" s="288" t="s">
        <v>86</v>
      </c>
      <c r="G49" s="240">
        <f>H34+H35+H36+H37+H38+H39+H40+H41+G42+H44+H45+H46</f>
        <v>421502</v>
      </c>
      <c r="H49" s="241"/>
      <c r="I49" s="241"/>
      <c r="J49" s="242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68"/>
      <c r="B50" s="35" t="s">
        <v>70</v>
      </c>
      <c r="C50" s="71">
        <v>23</v>
      </c>
      <c r="D50" s="15">
        <f>C50*1.5</f>
        <v>34.5</v>
      </c>
      <c r="E50" s="9"/>
      <c r="F50" s="289"/>
      <c r="G50" s="243"/>
      <c r="H50" s="244"/>
      <c r="I50" s="244"/>
      <c r="J50" s="245"/>
      <c r="K50" s="9"/>
      <c r="P50" s="4"/>
      <c r="Q50" s="4"/>
      <c r="R50" s="5"/>
    </row>
    <row r="51" spans="1:18" ht="15" customHeight="1" x14ac:dyDescent="0.25">
      <c r="A51" s="268"/>
      <c r="B51" s="30"/>
      <c r="C51" s="13"/>
      <c r="D51" s="34"/>
      <c r="E51" s="9"/>
      <c r="F51" s="290" t="s">
        <v>147</v>
      </c>
      <c r="G51" s="320">
        <f>G49-H29</f>
        <v>1475.5</v>
      </c>
      <c r="H51" s="321"/>
      <c r="I51" s="321"/>
      <c r="J51" s="322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68"/>
      <c r="B52" s="32"/>
      <c r="C52" s="36"/>
      <c r="D52" s="49"/>
      <c r="E52" s="9"/>
      <c r="F52" s="291"/>
      <c r="G52" s="323"/>
      <c r="H52" s="324"/>
      <c r="I52" s="324"/>
      <c r="J52" s="325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69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236" t="s">
        <v>90</v>
      </c>
      <c r="B54" s="276"/>
      <c r="C54" s="277"/>
      <c r="D54" s="280">
        <f>SUM(D34:D53)</f>
        <v>92143.5</v>
      </c>
      <c r="E54" s="9"/>
      <c r="F54" s="24"/>
      <c r="G54" s="9"/>
      <c r="H54" s="9"/>
      <c r="I54" s="9"/>
      <c r="J54" s="37"/>
      <c r="O54" t="s">
        <v>102</v>
      </c>
      <c r="P54" s="4">
        <v>1582</v>
      </c>
      <c r="R54" s="3">
        <v>1582</v>
      </c>
    </row>
    <row r="55" spans="1:18" x14ac:dyDescent="0.25">
      <c r="A55" s="238"/>
      <c r="B55" s="278"/>
      <c r="C55" s="279"/>
      <c r="D55" s="281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129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282" t="s">
        <v>91</v>
      </c>
      <c r="B58" s="283"/>
      <c r="C58" s="283"/>
      <c r="D58" s="284"/>
      <c r="E58" s="9"/>
      <c r="F58" s="282" t="s">
        <v>92</v>
      </c>
      <c r="G58" s="283"/>
      <c r="H58" s="283"/>
      <c r="I58" s="283"/>
      <c r="J58" s="284"/>
    </row>
    <row r="59" spans="1:18" x14ac:dyDescent="0.25">
      <c r="A59" s="285"/>
      <c r="B59" s="286"/>
      <c r="C59" s="286"/>
      <c r="D59" s="287"/>
      <c r="E59" s="9"/>
      <c r="F59" s="285"/>
      <c r="G59" s="286"/>
      <c r="H59" s="286"/>
      <c r="I59" s="286"/>
      <c r="J59" s="287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E180B-4DB2-4341-9AE2-329CA7163D69}">
  <dimension ref="A1:R59"/>
  <sheetViews>
    <sheetView tabSelected="1" topLeftCell="A22"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174" t="s">
        <v>1</v>
      </c>
      <c r="O1" s="174"/>
      <c r="P1" s="168" t="s">
        <v>2</v>
      </c>
      <c r="Q1" s="168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75" t="s">
        <v>7</v>
      </c>
      <c r="B4" s="176"/>
      <c r="C4" s="176"/>
      <c r="D4" s="177"/>
      <c r="E4" s="9"/>
      <c r="F4" s="178" t="s">
        <v>8</v>
      </c>
      <c r="G4" s="180">
        <v>2</v>
      </c>
      <c r="H4" s="182" t="s">
        <v>9</v>
      </c>
      <c r="I4" s="184">
        <v>45801</v>
      </c>
      <c r="J4" s="185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88" t="s">
        <v>7</v>
      </c>
      <c r="B5" s="18" t="s">
        <v>11</v>
      </c>
      <c r="C5" s="12" t="s">
        <v>12</v>
      </c>
      <c r="D5" s="28" t="s">
        <v>13</v>
      </c>
      <c r="E5" s="9"/>
      <c r="F5" s="179"/>
      <c r="G5" s="181"/>
      <c r="H5" s="183"/>
      <c r="I5" s="186"/>
      <c r="J5" s="187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89"/>
      <c r="B6" s="19" t="s">
        <v>15</v>
      </c>
      <c r="C6" s="53">
        <v>162</v>
      </c>
      <c r="D6" s="16">
        <f t="shared" ref="D6:D28" si="1">C6*L6</f>
        <v>119394</v>
      </c>
      <c r="E6" s="9"/>
      <c r="F6" s="191" t="s">
        <v>16</v>
      </c>
      <c r="G6" s="193" t="s">
        <v>127</v>
      </c>
      <c r="H6" s="194"/>
      <c r="I6" s="194"/>
      <c r="J6" s="195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89"/>
      <c r="B7" s="19" t="s">
        <v>18</v>
      </c>
      <c r="C7" s="53">
        <v>6</v>
      </c>
      <c r="D7" s="16">
        <f t="shared" si="1"/>
        <v>4350</v>
      </c>
      <c r="E7" s="9"/>
      <c r="F7" s="192"/>
      <c r="G7" s="196"/>
      <c r="H7" s="197"/>
      <c r="I7" s="197"/>
      <c r="J7" s="198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189"/>
      <c r="B8" s="19" t="s">
        <v>20</v>
      </c>
      <c r="C8" s="53"/>
      <c r="D8" s="16">
        <f t="shared" si="1"/>
        <v>0</v>
      </c>
      <c r="E8" s="9"/>
      <c r="F8" s="199" t="s">
        <v>21</v>
      </c>
      <c r="G8" s="201" t="s">
        <v>115</v>
      </c>
      <c r="H8" s="202"/>
      <c r="I8" s="202"/>
      <c r="J8" s="203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189"/>
      <c r="B9" s="19" t="s">
        <v>23</v>
      </c>
      <c r="C9" s="53">
        <v>24</v>
      </c>
      <c r="D9" s="16">
        <f t="shared" si="1"/>
        <v>16968</v>
      </c>
      <c r="E9" s="9"/>
      <c r="F9" s="192"/>
      <c r="G9" s="204"/>
      <c r="H9" s="205"/>
      <c r="I9" s="205"/>
      <c r="J9" s="206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189"/>
      <c r="B10" s="11" t="s">
        <v>25</v>
      </c>
      <c r="C10" s="53"/>
      <c r="D10" s="16">
        <f t="shared" si="1"/>
        <v>0</v>
      </c>
      <c r="E10" s="9"/>
      <c r="F10" s="191" t="s">
        <v>26</v>
      </c>
      <c r="G10" s="207" t="s">
        <v>116</v>
      </c>
      <c r="H10" s="208"/>
      <c r="I10" s="208"/>
      <c r="J10" s="209"/>
      <c r="K10" s="10"/>
      <c r="L10" s="6">
        <f>R36</f>
        <v>972</v>
      </c>
      <c r="P10" s="4"/>
      <c r="Q10" s="4"/>
      <c r="R10" s="5"/>
    </row>
    <row r="11" spans="1:18" ht="15.75" x14ac:dyDescent="0.25">
      <c r="A11" s="189"/>
      <c r="B11" s="20" t="s">
        <v>28</v>
      </c>
      <c r="C11" s="53"/>
      <c r="D11" s="16">
        <f t="shared" si="1"/>
        <v>0</v>
      </c>
      <c r="E11" s="9"/>
      <c r="F11" s="192"/>
      <c r="G11" s="204"/>
      <c r="H11" s="205"/>
      <c r="I11" s="205"/>
      <c r="J11" s="206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89"/>
      <c r="B12" s="20" t="s">
        <v>30</v>
      </c>
      <c r="C12" s="53">
        <v>1</v>
      </c>
      <c r="D12" s="52">
        <f t="shared" si="1"/>
        <v>952</v>
      </c>
      <c r="E12" s="9"/>
      <c r="F12" s="210" t="s">
        <v>33</v>
      </c>
      <c r="G12" s="211"/>
      <c r="H12" s="211"/>
      <c r="I12" s="211"/>
      <c r="J12" s="212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89"/>
      <c r="B13" s="20" t="s">
        <v>32</v>
      </c>
      <c r="C13" s="53">
        <v>5</v>
      </c>
      <c r="D13" s="52">
        <f t="shared" si="1"/>
        <v>1535</v>
      </c>
      <c r="E13" s="9"/>
      <c r="F13" s="213" t="s">
        <v>36</v>
      </c>
      <c r="G13" s="214"/>
      <c r="H13" s="215">
        <f>D29</f>
        <v>145565</v>
      </c>
      <c r="I13" s="216"/>
      <c r="J13" s="217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89"/>
      <c r="B14" s="17" t="s">
        <v>35</v>
      </c>
      <c r="C14" s="53">
        <v>1</v>
      </c>
      <c r="D14" s="34">
        <f t="shared" si="1"/>
        <v>11</v>
      </c>
      <c r="E14" s="9"/>
      <c r="F14" s="218" t="s">
        <v>39</v>
      </c>
      <c r="G14" s="219"/>
      <c r="H14" s="220">
        <f>D54</f>
        <v>22063.5</v>
      </c>
      <c r="I14" s="221"/>
      <c r="J14" s="222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89"/>
      <c r="B15" s="17" t="s">
        <v>38</v>
      </c>
      <c r="C15" s="53"/>
      <c r="D15" s="34">
        <f t="shared" si="1"/>
        <v>0</v>
      </c>
      <c r="E15" s="9"/>
      <c r="F15" s="223" t="s">
        <v>40</v>
      </c>
      <c r="G15" s="214"/>
      <c r="H15" s="224">
        <f>H13-H14</f>
        <v>123501.5</v>
      </c>
      <c r="I15" s="225"/>
      <c r="J15" s="226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89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227"/>
      <c r="I16" s="227"/>
      <c r="J16" s="22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89"/>
      <c r="B17" s="11" t="s">
        <v>93</v>
      </c>
      <c r="C17" s="53"/>
      <c r="D17" s="52">
        <f t="shared" si="1"/>
        <v>0</v>
      </c>
      <c r="E17" s="9"/>
      <c r="F17" s="62"/>
      <c r="G17" s="74" t="s">
        <v>45</v>
      </c>
      <c r="H17" s="200"/>
      <c r="I17" s="200"/>
      <c r="J17" s="200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89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200"/>
      <c r="I18" s="200"/>
      <c r="J18" s="200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89"/>
      <c r="B19" s="17" t="s">
        <v>96</v>
      </c>
      <c r="C19" s="53"/>
      <c r="D19" s="52">
        <f t="shared" si="1"/>
        <v>0</v>
      </c>
      <c r="E19" s="9"/>
      <c r="F19" s="62"/>
      <c r="G19" s="76" t="s">
        <v>50</v>
      </c>
      <c r="H19" s="298"/>
      <c r="I19" s="298"/>
      <c r="J19" s="298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89"/>
      <c r="B20" s="50" t="s">
        <v>131</v>
      </c>
      <c r="C20" s="53"/>
      <c r="D20" s="16">
        <f t="shared" si="1"/>
        <v>0</v>
      </c>
      <c r="E20" s="9"/>
      <c r="F20" s="63"/>
      <c r="G20" s="78" t="s">
        <v>124</v>
      </c>
      <c r="H20" s="227">
        <f>626*5</f>
        <v>3130</v>
      </c>
      <c r="I20" s="227"/>
      <c r="J20" s="227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89"/>
      <c r="B21" s="17" t="s">
        <v>130</v>
      </c>
      <c r="C21" s="53"/>
      <c r="D21" s="52">
        <f t="shared" si="1"/>
        <v>0</v>
      </c>
      <c r="E21" s="9"/>
      <c r="F21" s="77" t="s">
        <v>99</v>
      </c>
      <c r="G21" s="92" t="s">
        <v>98</v>
      </c>
      <c r="H21" s="246" t="s">
        <v>13</v>
      </c>
      <c r="I21" s="247"/>
      <c r="J21" s="248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89"/>
      <c r="B22" s="50" t="s">
        <v>104</v>
      </c>
      <c r="C22" s="53"/>
      <c r="D22" s="52">
        <f t="shared" si="1"/>
        <v>0</v>
      </c>
      <c r="E22" s="9"/>
      <c r="F22" s="80"/>
      <c r="G22" s="81"/>
      <c r="H22" s="249"/>
      <c r="I22" s="249"/>
      <c r="J22" s="249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89"/>
      <c r="B23" s="17" t="s">
        <v>107</v>
      </c>
      <c r="C23" s="53"/>
      <c r="D23" s="52">
        <f t="shared" si="1"/>
        <v>0</v>
      </c>
      <c r="E23" s="9"/>
      <c r="F23" s="28"/>
      <c r="G23" s="41"/>
      <c r="H23" s="299"/>
      <c r="I23" s="255"/>
      <c r="J23" s="255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89"/>
      <c r="B24" s="17" t="s">
        <v>133</v>
      </c>
      <c r="C24" s="53"/>
      <c r="D24" s="52">
        <f t="shared" si="1"/>
        <v>0</v>
      </c>
      <c r="E24" s="9"/>
      <c r="F24" s="42"/>
      <c r="G24" s="41"/>
      <c r="H24" s="299"/>
      <c r="I24" s="255"/>
      <c r="J24" s="255"/>
      <c r="L24" s="51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89"/>
      <c r="B25" s="17" t="s">
        <v>134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52" t="s">
        <v>13</v>
      </c>
      <c r="I25" s="253"/>
      <c r="J25" s="254"/>
      <c r="L25" s="51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89"/>
      <c r="B26" s="17" t="s">
        <v>105</v>
      </c>
      <c r="C26" s="53"/>
      <c r="D26" s="52">
        <f t="shared" si="1"/>
        <v>0</v>
      </c>
      <c r="E26" s="9"/>
      <c r="F26" s="72"/>
      <c r="G26" s="13"/>
      <c r="H26" s="300"/>
      <c r="I26" s="301"/>
      <c r="J26" s="302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89"/>
      <c r="B27" s="17" t="s">
        <v>109</v>
      </c>
      <c r="C27" s="53"/>
      <c r="D27" s="48">
        <f t="shared" si="1"/>
        <v>0</v>
      </c>
      <c r="E27" s="9"/>
      <c r="F27" s="67"/>
      <c r="G27" s="67"/>
      <c r="H27" s="303"/>
      <c r="I27" s="304"/>
      <c r="J27" s="305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90"/>
      <c r="B28" s="50" t="s">
        <v>97</v>
      </c>
      <c r="C28" s="53">
        <v>3</v>
      </c>
      <c r="D28" s="52">
        <f t="shared" si="1"/>
        <v>2355</v>
      </c>
      <c r="E28" s="9"/>
      <c r="F28" s="60"/>
      <c r="G28" s="68"/>
      <c r="H28" s="258"/>
      <c r="I28" s="259"/>
      <c r="J28" s="260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28" t="s">
        <v>36</v>
      </c>
      <c r="B29" s="229"/>
      <c r="C29" s="230"/>
      <c r="D29" s="234">
        <f>SUM(D6:D28)</f>
        <v>145565</v>
      </c>
      <c r="E29" s="9"/>
      <c r="F29" s="236" t="s">
        <v>55</v>
      </c>
      <c r="G29" s="237"/>
      <c r="H29" s="240">
        <f>H15-H16-H17-H18-H19-H20-H22-H23-H24+H26+H27</f>
        <v>120371.5</v>
      </c>
      <c r="I29" s="241"/>
      <c r="J29" s="242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231"/>
      <c r="B30" s="232"/>
      <c r="C30" s="233"/>
      <c r="D30" s="235"/>
      <c r="E30" s="9"/>
      <c r="F30" s="238"/>
      <c r="G30" s="239"/>
      <c r="H30" s="243"/>
      <c r="I30" s="244"/>
      <c r="J30" s="245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5" t="s">
        <v>58</v>
      </c>
      <c r="B32" s="176"/>
      <c r="C32" s="176"/>
      <c r="D32" s="177"/>
      <c r="E32" s="11"/>
      <c r="F32" s="261" t="s">
        <v>59</v>
      </c>
      <c r="G32" s="262"/>
      <c r="H32" s="262"/>
      <c r="I32" s="262"/>
      <c r="J32" s="263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69" t="s">
        <v>63</v>
      </c>
      <c r="H33" s="261" t="s">
        <v>13</v>
      </c>
      <c r="I33" s="262"/>
      <c r="J33" s="263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88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82">
        <v>89</v>
      </c>
      <c r="H34" s="264">
        <f>F34*G34</f>
        <v>89000</v>
      </c>
      <c r="I34" s="265"/>
      <c r="J34" s="266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89"/>
      <c r="B35" s="30" t="s">
        <v>68</v>
      </c>
      <c r="C35" s="57"/>
      <c r="D35" s="33">
        <f>C35*84</f>
        <v>0</v>
      </c>
      <c r="E35" s="9"/>
      <c r="F35" s="64">
        <v>500</v>
      </c>
      <c r="G35" s="45">
        <v>30</v>
      </c>
      <c r="H35" s="264">
        <f t="shared" ref="H35:H39" si="2">F35*G35</f>
        <v>15000</v>
      </c>
      <c r="I35" s="265"/>
      <c r="J35" s="266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90"/>
      <c r="B36" s="29" t="s">
        <v>70</v>
      </c>
      <c r="C36" s="53"/>
      <c r="D36" s="15">
        <f>C36*1.5</f>
        <v>0</v>
      </c>
      <c r="E36" s="9"/>
      <c r="F36" s="15">
        <v>200</v>
      </c>
      <c r="G36" s="41">
        <v>2</v>
      </c>
      <c r="H36" s="264">
        <f t="shared" si="2"/>
        <v>400</v>
      </c>
      <c r="I36" s="265"/>
      <c r="J36" s="266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88" t="s">
        <v>72</v>
      </c>
      <c r="B37" s="31" t="s">
        <v>66</v>
      </c>
      <c r="C37" s="58">
        <v>192</v>
      </c>
      <c r="D37" s="15">
        <f>C37*111</f>
        <v>21312</v>
      </c>
      <c r="E37" s="9"/>
      <c r="F37" s="15">
        <v>100</v>
      </c>
      <c r="G37" s="43">
        <v>103</v>
      </c>
      <c r="H37" s="264">
        <f t="shared" si="2"/>
        <v>10300</v>
      </c>
      <c r="I37" s="265"/>
      <c r="J37" s="266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89"/>
      <c r="B38" s="32" t="s">
        <v>68</v>
      </c>
      <c r="C38" s="59">
        <v>2</v>
      </c>
      <c r="D38" s="15">
        <f>C38*84</f>
        <v>168</v>
      </c>
      <c r="E38" s="9"/>
      <c r="F38" s="33">
        <v>50</v>
      </c>
      <c r="G38" s="43">
        <v>52</v>
      </c>
      <c r="H38" s="264">
        <f t="shared" si="2"/>
        <v>2600</v>
      </c>
      <c r="I38" s="265"/>
      <c r="J38" s="266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90"/>
      <c r="B39" s="32" t="s">
        <v>70</v>
      </c>
      <c r="C39" s="57">
        <v>4</v>
      </c>
      <c r="D39" s="34">
        <f>C39*4.5</f>
        <v>18</v>
      </c>
      <c r="E39" s="9"/>
      <c r="F39" s="15">
        <v>20</v>
      </c>
      <c r="G39" s="41">
        <v>1</v>
      </c>
      <c r="H39" s="264">
        <f t="shared" si="2"/>
        <v>20</v>
      </c>
      <c r="I39" s="265"/>
      <c r="J39" s="266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88" t="s">
        <v>76</v>
      </c>
      <c r="B40" s="30" t="s">
        <v>66</v>
      </c>
      <c r="C40" s="70">
        <v>1</v>
      </c>
      <c r="D40" s="15">
        <f>C40*111</f>
        <v>111</v>
      </c>
      <c r="E40" s="9"/>
      <c r="F40" s="15">
        <v>10</v>
      </c>
      <c r="G40" s="46"/>
      <c r="H40" s="264"/>
      <c r="I40" s="265"/>
      <c r="J40" s="266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89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264"/>
      <c r="I41" s="265"/>
      <c r="J41" s="266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90"/>
      <c r="B42" s="30" t="s">
        <v>70</v>
      </c>
      <c r="C42" s="71"/>
      <c r="D42" s="15">
        <f>C42*2.25</f>
        <v>0</v>
      </c>
      <c r="E42" s="9"/>
      <c r="F42" s="43" t="s">
        <v>79</v>
      </c>
      <c r="G42" s="264">
        <v>115</v>
      </c>
      <c r="H42" s="265"/>
      <c r="I42" s="265"/>
      <c r="J42" s="266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67" t="s">
        <v>81</v>
      </c>
      <c r="C43" s="71"/>
      <c r="D43" s="15"/>
      <c r="E43" s="9"/>
      <c r="F43" s="65" t="s">
        <v>82</v>
      </c>
      <c r="G43" s="166" t="s">
        <v>83</v>
      </c>
      <c r="H43" s="270" t="s">
        <v>13</v>
      </c>
      <c r="I43" s="271"/>
      <c r="J43" s="272"/>
      <c r="K43" s="24"/>
      <c r="P43" s="4"/>
      <c r="Q43" s="4"/>
      <c r="R43" s="5"/>
    </row>
    <row r="44" spans="1:18" ht="15.75" x14ac:dyDescent="0.25">
      <c r="A44" s="268"/>
      <c r="B44" s="30" t="s">
        <v>66</v>
      </c>
      <c r="C44" s="53">
        <v>1</v>
      </c>
      <c r="D44" s="15">
        <f>C44*120</f>
        <v>120</v>
      </c>
      <c r="E44" s="9"/>
      <c r="F44" s="41"/>
      <c r="G44" s="69"/>
      <c r="H44" s="255"/>
      <c r="I44" s="255"/>
      <c r="J44" s="255"/>
      <c r="K44" s="24"/>
      <c r="P44" s="4"/>
      <c r="Q44" s="4"/>
      <c r="R44" s="5"/>
    </row>
    <row r="45" spans="1:18" ht="15.75" x14ac:dyDescent="0.25">
      <c r="A45" s="268"/>
      <c r="B45" s="30" t="s">
        <v>68</v>
      </c>
      <c r="C45" s="90"/>
      <c r="D45" s="15">
        <f>C45*84</f>
        <v>0</v>
      </c>
      <c r="E45" s="9"/>
      <c r="F45" s="41"/>
      <c r="G45" s="69"/>
      <c r="H45" s="255"/>
      <c r="I45" s="255"/>
      <c r="J45" s="255"/>
      <c r="K45" s="24"/>
      <c r="P45" s="4"/>
      <c r="Q45" s="4"/>
      <c r="R45" s="5"/>
    </row>
    <row r="46" spans="1:18" ht="15.75" x14ac:dyDescent="0.25">
      <c r="A46" s="268"/>
      <c r="B46" s="54" t="s">
        <v>70</v>
      </c>
      <c r="C46" s="91"/>
      <c r="D46" s="15">
        <f>C46*1.5</f>
        <v>0</v>
      </c>
      <c r="E46" s="9"/>
      <c r="F46" s="41"/>
      <c r="G46" s="167"/>
      <c r="H46" s="306"/>
      <c r="I46" s="306"/>
      <c r="J46" s="306"/>
      <c r="K46" s="24"/>
      <c r="P46" s="4"/>
      <c r="Q46" s="4"/>
      <c r="R46" s="5"/>
    </row>
    <row r="47" spans="1:18" ht="15.75" x14ac:dyDescent="0.25">
      <c r="A47" s="269"/>
      <c r="B47" s="30"/>
      <c r="C47" s="71"/>
      <c r="D47" s="15"/>
      <c r="E47" s="9"/>
      <c r="F47" s="65"/>
      <c r="G47" s="65"/>
      <c r="H47" s="273"/>
      <c r="I47" s="274"/>
      <c r="J47" s="275"/>
      <c r="K47" s="24"/>
      <c r="P47" s="4"/>
      <c r="Q47" s="4"/>
      <c r="R47" s="5"/>
    </row>
    <row r="48" spans="1:18" ht="15" customHeight="1" x14ac:dyDescent="0.25">
      <c r="A48" s="267" t="s">
        <v>32</v>
      </c>
      <c r="B48" s="30" t="s">
        <v>66</v>
      </c>
      <c r="C48" s="53">
        <v>3</v>
      </c>
      <c r="D48" s="15">
        <f>C48*78</f>
        <v>234</v>
      </c>
      <c r="E48" s="9"/>
      <c r="F48" s="65"/>
      <c r="G48" s="65"/>
      <c r="H48" s="273"/>
      <c r="I48" s="274"/>
      <c r="J48" s="275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68"/>
      <c r="B49" s="32" t="s">
        <v>68</v>
      </c>
      <c r="C49" s="90">
        <v>2</v>
      </c>
      <c r="D49" s="15">
        <f>C49*42</f>
        <v>84</v>
      </c>
      <c r="E49" s="9"/>
      <c r="F49" s="288" t="s">
        <v>86</v>
      </c>
      <c r="G49" s="240">
        <f>H34+H35+H36+H37+H38+H39+H40+H41+G42+H44+H45+H46</f>
        <v>117435</v>
      </c>
      <c r="H49" s="241"/>
      <c r="I49" s="241"/>
      <c r="J49" s="242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68"/>
      <c r="B50" s="35" t="s">
        <v>70</v>
      </c>
      <c r="C50" s="71">
        <v>11</v>
      </c>
      <c r="D50" s="15">
        <f>C50*1.5</f>
        <v>16.5</v>
      </c>
      <c r="E50" s="9"/>
      <c r="F50" s="289"/>
      <c r="G50" s="243"/>
      <c r="H50" s="244"/>
      <c r="I50" s="244"/>
      <c r="J50" s="245"/>
      <c r="K50" s="9"/>
      <c r="P50" s="4"/>
      <c r="Q50" s="4"/>
      <c r="R50" s="5"/>
    </row>
    <row r="51" spans="1:18" ht="15" customHeight="1" x14ac:dyDescent="0.25">
      <c r="A51" s="268"/>
      <c r="B51" s="30"/>
      <c r="C51" s="13"/>
      <c r="D51" s="34"/>
      <c r="E51" s="9"/>
      <c r="F51" s="290" t="s">
        <v>157</v>
      </c>
      <c r="G51" s="314">
        <f>G49-H29</f>
        <v>-2936.5</v>
      </c>
      <c r="H51" s="315"/>
      <c r="I51" s="315"/>
      <c r="J51" s="316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68"/>
      <c r="B52" s="32"/>
      <c r="C52" s="36"/>
      <c r="D52" s="49"/>
      <c r="E52" s="9"/>
      <c r="F52" s="291"/>
      <c r="G52" s="317"/>
      <c r="H52" s="318"/>
      <c r="I52" s="318"/>
      <c r="J52" s="319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69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236" t="s">
        <v>90</v>
      </c>
      <c r="B54" s="276"/>
      <c r="C54" s="277"/>
      <c r="D54" s="280">
        <f>SUM(D34:D53)</f>
        <v>22063.5</v>
      </c>
      <c r="E54" s="9"/>
      <c r="F54" s="24"/>
      <c r="G54" s="9"/>
      <c r="H54" s="9"/>
      <c r="I54" s="9"/>
      <c r="J54" s="37"/>
    </row>
    <row r="55" spans="1:18" x14ac:dyDescent="0.25">
      <c r="A55" s="238"/>
      <c r="B55" s="278"/>
      <c r="C55" s="279"/>
      <c r="D55" s="281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136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282" t="s">
        <v>91</v>
      </c>
      <c r="B58" s="283"/>
      <c r="C58" s="283"/>
      <c r="D58" s="284"/>
      <c r="E58" s="9"/>
      <c r="F58" s="282" t="s">
        <v>92</v>
      </c>
      <c r="G58" s="283"/>
      <c r="H58" s="283"/>
      <c r="I58" s="283"/>
      <c r="J58" s="284"/>
    </row>
    <row r="59" spans="1:18" x14ac:dyDescent="0.25">
      <c r="A59" s="285"/>
      <c r="B59" s="286"/>
      <c r="C59" s="286"/>
      <c r="D59" s="287"/>
      <c r="E59" s="9"/>
      <c r="F59" s="285"/>
      <c r="G59" s="286"/>
      <c r="H59" s="286"/>
      <c r="I59" s="286"/>
      <c r="J59" s="287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A9BE9-AD6A-4FC7-899F-16B5476A8C93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s="8" t="s">
        <v>0</v>
      </c>
      <c r="B1" s="8"/>
      <c r="C1" s="8"/>
      <c r="D1" s="8"/>
      <c r="N1" s="174" t="s">
        <v>1</v>
      </c>
      <c r="O1" s="174"/>
      <c r="P1" s="168" t="s">
        <v>2</v>
      </c>
      <c r="Q1" s="168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75" t="s">
        <v>7</v>
      </c>
      <c r="B4" s="176"/>
      <c r="C4" s="176"/>
      <c r="D4" s="177"/>
      <c r="E4" s="9"/>
      <c r="F4" s="178" t="s">
        <v>8</v>
      </c>
      <c r="G4" s="180">
        <v>3</v>
      </c>
      <c r="H4" s="182" t="s">
        <v>9</v>
      </c>
      <c r="I4" s="184">
        <v>45801</v>
      </c>
      <c r="J4" s="185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88" t="s">
        <v>7</v>
      </c>
      <c r="B5" s="18" t="s">
        <v>11</v>
      </c>
      <c r="C5" s="12" t="s">
        <v>12</v>
      </c>
      <c r="D5" s="28" t="s">
        <v>13</v>
      </c>
      <c r="E5" s="9"/>
      <c r="F5" s="179"/>
      <c r="G5" s="181"/>
      <c r="H5" s="183"/>
      <c r="I5" s="186"/>
      <c r="J5" s="187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89"/>
      <c r="B6" s="19" t="s">
        <v>15</v>
      </c>
      <c r="C6" s="53">
        <v>319</v>
      </c>
      <c r="D6" s="16">
        <f t="shared" ref="D6:D28" si="1">C6*L6</f>
        <v>235103</v>
      </c>
      <c r="E6" s="9"/>
      <c r="F6" s="191" t="s">
        <v>16</v>
      </c>
      <c r="G6" s="193" t="s">
        <v>111</v>
      </c>
      <c r="H6" s="194"/>
      <c r="I6" s="194"/>
      <c r="J6" s="195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89"/>
      <c r="B7" s="19" t="s">
        <v>18</v>
      </c>
      <c r="C7" s="53">
        <v>10</v>
      </c>
      <c r="D7" s="16">
        <f t="shared" si="1"/>
        <v>7250</v>
      </c>
      <c r="E7" s="9"/>
      <c r="F7" s="192"/>
      <c r="G7" s="196"/>
      <c r="H7" s="197"/>
      <c r="I7" s="197"/>
      <c r="J7" s="198"/>
      <c r="K7" s="10"/>
      <c r="L7" s="6">
        <f>R41</f>
        <v>725</v>
      </c>
      <c r="P7" s="4"/>
      <c r="Q7" s="4"/>
      <c r="R7" s="5"/>
    </row>
    <row r="8" spans="1:19" ht="14.45" customHeight="1" x14ac:dyDescent="0.25">
      <c r="A8" s="189"/>
      <c r="B8" s="19" t="s">
        <v>20</v>
      </c>
      <c r="C8" s="53"/>
      <c r="D8" s="16">
        <f t="shared" si="1"/>
        <v>0</v>
      </c>
      <c r="E8" s="9"/>
      <c r="F8" s="199" t="s">
        <v>21</v>
      </c>
      <c r="G8" s="201" t="s">
        <v>122</v>
      </c>
      <c r="H8" s="202"/>
      <c r="I8" s="202"/>
      <c r="J8" s="203"/>
      <c r="K8" s="10"/>
      <c r="L8" s="6">
        <f>R40</f>
        <v>1033</v>
      </c>
      <c r="P8" s="4"/>
      <c r="Q8" s="4"/>
      <c r="R8" s="5"/>
    </row>
    <row r="9" spans="1:19" ht="14.45" customHeight="1" x14ac:dyDescent="0.25">
      <c r="A9" s="189"/>
      <c r="B9" s="19" t="s">
        <v>23</v>
      </c>
      <c r="C9" s="53">
        <v>40</v>
      </c>
      <c r="D9" s="16">
        <f t="shared" si="1"/>
        <v>28280</v>
      </c>
      <c r="E9" s="9"/>
      <c r="F9" s="192"/>
      <c r="G9" s="204"/>
      <c r="H9" s="205"/>
      <c r="I9" s="205"/>
      <c r="J9" s="206"/>
      <c r="K9" s="10"/>
      <c r="L9" s="6">
        <f>R38</f>
        <v>707</v>
      </c>
      <c r="P9" s="4"/>
      <c r="Q9" s="4"/>
      <c r="R9" s="5"/>
    </row>
    <row r="10" spans="1:19" ht="14.45" customHeight="1" x14ac:dyDescent="0.25">
      <c r="A10" s="189"/>
      <c r="B10" s="11" t="s">
        <v>25</v>
      </c>
      <c r="C10" s="53">
        <v>1</v>
      </c>
      <c r="D10" s="16">
        <f t="shared" si="1"/>
        <v>972</v>
      </c>
      <c r="E10" s="9"/>
      <c r="F10" s="191" t="s">
        <v>26</v>
      </c>
      <c r="G10" s="207" t="s">
        <v>123</v>
      </c>
      <c r="H10" s="208"/>
      <c r="I10" s="208"/>
      <c r="J10" s="209"/>
      <c r="K10" s="10"/>
      <c r="L10" s="6">
        <f>R36</f>
        <v>972</v>
      </c>
      <c r="P10" s="4"/>
      <c r="Q10" s="4"/>
      <c r="R10" s="5"/>
    </row>
    <row r="11" spans="1:19" ht="15.75" x14ac:dyDescent="0.25">
      <c r="A11" s="189"/>
      <c r="B11" s="20" t="s">
        <v>28</v>
      </c>
      <c r="C11" s="53"/>
      <c r="D11" s="16">
        <f t="shared" si="1"/>
        <v>0</v>
      </c>
      <c r="E11" s="9"/>
      <c r="F11" s="192"/>
      <c r="G11" s="204"/>
      <c r="H11" s="205"/>
      <c r="I11" s="205"/>
      <c r="J11" s="206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89"/>
      <c r="B12" s="20" t="s">
        <v>30</v>
      </c>
      <c r="C12" s="53"/>
      <c r="D12" s="52">
        <f t="shared" si="1"/>
        <v>0</v>
      </c>
      <c r="E12" s="9"/>
      <c r="F12" s="210" t="s">
        <v>33</v>
      </c>
      <c r="G12" s="211"/>
      <c r="H12" s="211"/>
      <c r="I12" s="211"/>
      <c r="J12" s="212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89"/>
      <c r="B13" s="20" t="s">
        <v>32</v>
      </c>
      <c r="C13" s="53">
        <v>14</v>
      </c>
      <c r="D13" s="52">
        <f t="shared" si="1"/>
        <v>4298</v>
      </c>
      <c r="E13" s="9"/>
      <c r="F13" s="213" t="s">
        <v>36</v>
      </c>
      <c r="G13" s="214"/>
      <c r="H13" s="215">
        <f>D29</f>
        <v>278346</v>
      </c>
      <c r="I13" s="216"/>
      <c r="J13" s="217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89"/>
      <c r="B14" s="17" t="s">
        <v>35</v>
      </c>
      <c r="C14" s="53">
        <v>8</v>
      </c>
      <c r="D14" s="34">
        <f t="shared" si="1"/>
        <v>88</v>
      </c>
      <c r="E14" s="9"/>
      <c r="F14" s="218" t="s">
        <v>39</v>
      </c>
      <c r="G14" s="219"/>
      <c r="H14" s="220">
        <f>D54</f>
        <v>55312.5</v>
      </c>
      <c r="I14" s="221"/>
      <c r="J14" s="222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89"/>
      <c r="B15" s="17" t="s">
        <v>38</v>
      </c>
      <c r="C15" s="53"/>
      <c r="D15" s="34">
        <f t="shared" si="1"/>
        <v>0</v>
      </c>
      <c r="E15" s="9"/>
      <c r="F15" s="223" t="s">
        <v>40</v>
      </c>
      <c r="G15" s="214"/>
      <c r="H15" s="224">
        <f>H13-H14</f>
        <v>223033.5</v>
      </c>
      <c r="I15" s="225"/>
      <c r="J15" s="226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89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227">
        <f>504+528+810</f>
        <v>1842</v>
      </c>
      <c r="I16" s="227"/>
      <c r="J16" s="22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89"/>
      <c r="B17" s="11" t="s">
        <v>114</v>
      </c>
      <c r="C17" s="53"/>
      <c r="D17" s="52">
        <f t="shared" si="1"/>
        <v>0</v>
      </c>
      <c r="E17" s="9"/>
      <c r="F17" s="62"/>
      <c r="G17" s="74" t="s">
        <v>45</v>
      </c>
      <c r="H17" s="200"/>
      <c r="I17" s="200"/>
      <c r="J17" s="200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89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200"/>
      <c r="I18" s="200"/>
      <c r="J18" s="200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89"/>
      <c r="B19" s="17" t="s">
        <v>118</v>
      </c>
      <c r="C19" s="53"/>
      <c r="D19" s="52">
        <f t="shared" si="1"/>
        <v>0</v>
      </c>
      <c r="E19" s="9"/>
      <c r="F19" s="62"/>
      <c r="G19" s="76" t="s">
        <v>50</v>
      </c>
      <c r="H19" s="313"/>
      <c r="I19" s="313"/>
      <c r="J19" s="313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89"/>
      <c r="B20" s="50" t="s">
        <v>108</v>
      </c>
      <c r="C20" s="53"/>
      <c r="D20" s="16">
        <f t="shared" si="1"/>
        <v>0</v>
      </c>
      <c r="E20" s="9"/>
      <c r="F20" s="63"/>
      <c r="G20" s="78" t="s">
        <v>124</v>
      </c>
      <c r="H20" s="227"/>
      <c r="I20" s="227"/>
      <c r="J20" s="227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89"/>
      <c r="B21" s="17" t="s">
        <v>130</v>
      </c>
      <c r="C21" s="53"/>
      <c r="D21" s="52">
        <f t="shared" si="1"/>
        <v>0</v>
      </c>
      <c r="E21" s="9"/>
      <c r="F21" s="77" t="s">
        <v>99</v>
      </c>
      <c r="G21" s="92" t="s">
        <v>98</v>
      </c>
      <c r="H21" s="246" t="s">
        <v>13</v>
      </c>
      <c r="I21" s="247"/>
      <c r="J21" s="248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89"/>
      <c r="B22" s="50" t="s">
        <v>104</v>
      </c>
      <c r="C22" s="53"/>
      <c r="D22" s="52">
        <f t="shared" si="1"/>
        <v>0</v>
      </c>
      <c r="E22" s="9"/>
      <c r="F22" s="85"/>
      <c r="G22" s="81"/>
      <c r="H22" s="249"/>
      <c r="I22" s="249"/>
      <c r="J22" s="249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89"/>
      <c r="B23" s="17" t="s">
        <v>107</v>
      </c>
      <c r="C23" s="53"/>
      <c r="D23" s="52">
        <f t="shared" si="1"/>
        <v>0</v>
      </c>
      <c r="E23" s="9"/>
      <c r="F23" s="86"/>
      <c r="G23" s="87"/>
      <c r="H23" s="299"/>
      <c r="I23" s="255"/>
      <c r="J23" s="255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89"/>
      <c r="B24" s="17" t="s">
        <v>101</v>
      </c>
      <c r="C24" s="53"/>
      <c r="D24" s="52">
        <f t="shared" si="1"/>
        <v>0</v>
      </c>
      <c r="E24" s="9"/>
      <c r="F24" s="42"/>
      <c r="G24" s="41"/>
      <c r="H24" s="299"/>
      <c r="I24" s="255"/>
      <c r="J24" s="255"/>
      <c r="L24" s="51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89"/>
      <c r="B25" s="17" t="s">
        <v>117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52" t="s">
        <v>13</v>
      </c>
      <c r="I25" s="253"/>
      <c r="J25" s="254"/>
      <c r="L25" s="51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89"/>
      <c r="B26" s="17" t="s">
        <v>105</v>
      </c>
      <c r="C26" s="53"/>
      <c r="D26" s="52">
        <f t="shared" si="1"/>
        <v>0</v>
      </c>
      <c r="E26" s="9"/>
      <c r="F26" s="72"/>
      <c r="G26" s="65"/>
      <c r="H26" s="300"/>
      <c r="I26" s="301"/>
      <c r="J26" s="302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89"/>
      <c r="B27" s="17" t="s">
        <v>109</v>
      </c>
      <c r="C27" s="53"/>
      <c r="D27" s="48">
        <f t="shared" si="1"/>
        <v>0</v>
      </c>
      <c r="E27" s="9"/>
      <c r="F27" s="88"/>
      <c r="G27" s="89"/>
      <c r="H27" s="303"/>
      <c r="I27" s="304"/>
      <c r="J27" s="305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90"/>
      <c r="B28" s="50" t="s">
        <v>97</v>
      </c>
      <c r="C28" s="53">
        <v>3</v>
      </c>
      <c r="D28" s="52">
        <f t="shared" si="1"/>
        <v>2355</v>
      </c>
      <c r="E28" s="9"/>
      <c r="F28" s="60"/>
      <c r="G28" s="68"/>
      <c r="H28" s="258"/>
      <c r="I28" s="259"/>
      <c r="J28" s="260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28" t="s">
        <v>36</v>
      </c>
      <c r="B29" s="229"/>
      <c r="C29" s="230"/>
      <c r="D29" s="234">
        <f>SUM(D6:D28)</f>
        <v>278346</v>
      </c>
      <c r="E29" s="9"/>
      <c r="F29" s="236" t="s">
        <v>55</v>
      </c>
      <c r="G29" s="237"/>
      <c r="H29" s="240">
        <f>H15-H16-H17-H18-H19-H20-H22-H23-H24+H26+H27</f>
        <v>221191.5</v>
      </c>
      <c r="I29" s="241"/>
      <c r="J29" s="242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231"/>
      <c r="B30" s="232"/>
      <c r="C30" s="233"/>
      <c r="D30" s="235"/>
      <c r="E30" s="9"/>
      <c r="F30" s="238"/>
      <c r="G30" s="239"/>
      <c r="H30" s="243"/>
      <c r="I30" s="244"/>
      <c r="J30" s="245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5" t="s">
        <v>58</v>
      </c>
      <c r="B32" s="176"/>
      <c r="C32" s="176"/>
      <c r="D32" s="177"/>
      <c r="E32" s="11"/>
      <c r="F32" s="261" t="s">
        <v>59</v>
      </c>
      <c r="G32" s="262"/>
      <c r="H32" s="262"/>
      <c r="I32" s="262"/>
      <c r="J32" s="263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69" t="s">
        <v>63</v>
      </c>
      <c r="H33" s="261" t="s">
        <v>13</v>
      </c>
      <c r="I33" s="262"/>
      <c r="J33" s="263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88" t="s">
        <v>65</v>
      </c>
      <c r="B34" s="29" t="s">
        <v>66</v>
      </c>
      <c r="C34" s="56">
        <v>1</v>
      </c>
      <c r="D34" s="33">
        <f>C34*120</f>
        <v>120</v>
      </c>
      <c r="E34" s="9"/>
      <c r="F34" s="15">
        <v>1000</v>
      </c>
      <c r="G34" s="82">
        <v>81</v>
      </c>
      <c r="H34" s="264">
        <f>F34*G34</f>
        <v>81000</v>
      </c>
      <c r="I34" s="265"/>
      <c r="J34" s="266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89"/>
      <c r="B35" s="30" t="s">
        <v>68</v>
      </c>
      <c r="C35" s="57"/>
      <c r="D35" s="33">
        <f>C35*84</f>
        <v>0</v>
      </c>
      <c r="E35" s="9"/>
      <c r="F35" s="64">
        <v>500</v>
      </c>
      <c r="G35" s="45">
        <v>81</v>
      </c>
      <c r="H35" s="264">
        <f>F35*G35</f>
        <v>40500</v>
      </c>
      <c r="I35" s="265"/>
      <c r="J35" s="266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90"/>
      <c r="B36" s="29" t="s">
        <v>70</v>
      </c>
      <c r="C36" s="53"/>
      <c r="D36" s="15">
        <f>C36*1.5</f>
        <v>0</v>
      </c>
      <c r="E36" s="9"/>
      <c r="F36" s="15">
        <v>200</v>
      </c>
      <c r="G36" s="41">
        <v>9</v>
      </c>
      <c r="H36" s="264">
        <f t="shared" ref="H36:H39" si="2">F36*G36</f>
        <v>1800</v>
      </c>
      <c r="I36" s="265"/>
      <c r="J36" s="266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88" t="s">
        <v>72</v>
      </c>
      <c r="B37" s="31" t="s">
        <v>66</v>
      </c>
      <c r="C37" s="58">
        <v>468</v>
      </c>
      <c r="D37" s="15">
        <f>C37*111</f>
        <v>51948</v>
      </c>
      <c r="E37" s="9"/>
      <c r="F37" s="15">
        <v>100</v>
      </c>
      <c r="G37" s="43">
        <v>130</v>
      </c>
      <c r="H37" s="264">
        <f t="shared" si="2"/>
        <v>13000</v>
      </c>
      <c r="I37" s="265"/>
      <c r="J37" s="266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89"/>
      <c r="B38" s="32" t="s">
        <v>68</v>
      </c>
      <c r="C38" s="59">
        <v>19</v>
      </c>
      <c r="D38" s="15">
        <f>C38*84</f>
        <v>1596</v>
      </c>
      <c r="E38" s="9"/>
      <c r="F38" s="33">
        <v>50</v>
      </c>
      <c r="G38" s="43">
        <v>83</v>
      </c>
      <c r="H38" s="264">
        <f t="shared" si="2"/>
        <v>4150</v>
      </c>
      <c r="I38" s="265"/>
      <c r="J38" s="266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90"/>
      <c r="B39" s="32" t="s">
        <v>70</v>
      </c>
      <c r="C39" s="57">
        <v>2</v>
      </c>
      <c r="D39" s="34">
        <f>C39*4.5</f>
        <v>9</v>
      </c>
      <c r="E39" s="9"/>
      <c r="F39" s="15">
        <v>20</v>
      </c>
      <c r="G39" s="41"/>
      <c r="H39" s="264">
        <f t="shared" si="2"/>
        <v>0</v>
      </c>
      <c r="I39" s="265"/>
      <c r="J39" s="266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88" t="s">
        <v>76</v>
      </c>
      <c r="B40" s="30" t="s">
        <v>66</v>
      </c>
      <c r="C40" s="70">
        <v>4</v>
      </c>
      <c r="D40" s="15">
        <f>C40*111</f>
        <v>444</v>
      </c>
      <c r="E40" s="9"/>
      <c r="F40" s="15">
        <v>10</v>
      </c>
      <c r="G40" s="46"/>
      <c r="H40" s="264"/>
      <c r="I40" s="265"/>
      <c r="J40" s="266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89"/>
      <c r="B41" s="30" t="s">
        <v>68</v>
      </c>
      <c r="C41" s="53">
        <v>1</v>
      </c>
      <c r="D41" s="15">
        <f>C41*84</f>
        <v>84</v>
      </c>
      <c r="E41" s="9"/>
      <c r="F41" s="15">
        <v>5</v>
      </c>
      <c r="G41" s="46"/>
      <c r="H41" s="264"/>
      <c r="I41" s="265"/>
      <c r="J41" s="266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90"/>
      <c r="B42" s="30" t="s">
        <v>70</v>
      </c>
      <c r="C42" s="71"/>
      <c r="D42" s="15">
        <f>C42*2.25</f>
        <v>0</v>
      </c>
      <c r="E42" s="9"/>
      <c r="F42" s="43" t="s">
        <v>79</v>
      </c>
      <c r="G42" s="264">
        <v>162</v>
      </c>
      <c r="H42" s="265"/>
      <c r="I42" s="265"/>
      <c r="J42" s="266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67" t="s">
        <v>81</v>
      </c>
      <c r="C43" s="71"/>
      <c r="D43" s="15"/>
      <c r="E43" s="9"/>
      <c r="F43" s="65" t="s">
        <v>82</v>
      </c>
      <c r="G43" s="166" t="s">
        <v>83</v>
      </c>
      <c r="H43" s="270" t="s">
        <v>13</v>
      </c>
      <c r="I43" s="271"/>
      <c r="J43" s="272"/>
      <c r="K43" s="24"/>
      <c r="P43" s="4"/>
      <c r="Q43" s="4"/>
      <c r="R43" s="5"/>
    </row>
    <row r="44" spans="1:18" ht="15.75" x14ac:dyDescent="0.25">
      <c r="A44" s="268"/>
      <c r="B44" s="30" t="s">
        <v>66</v>
      </c>
      <c r="C44" s="53"/>
      <c r="D44" s="15">
        <f>C44*120</f>
        <v>0</v>
      </c>
      <c r="E44" s="9"/>
      <c r="F44" s="41" t="s">
        <v>154</v>
      </c>
      <c r="G44" s="84" t="s">
        <v>213</v>
      </c>
      <c r="H44" s="255">
        <v>80359</v>
      </c>
      <c r="I44" s="255"/>
      <c r="J44" s="255"/>
      <c r="K44" s="24"/>
      <c r="P44" s="4"/>
      <c r="Q44" s="4"/>
      <c r="R44" s="5"/>
    </row>
    <row r="45" spans="1:18" ht="15.75" x14ac:dyDescent="0.25">
      <c r="A45" s="268"/>
      <c r="B45" s="30" t="s">
        <v>68</v>
      </c>
      <c r="C45" s="90"/>
      <c r="D45" s="15">
        <f>C45*84</f>
        <v>0</v>
      </c>
      <c r="E45" s="9"/>
      <c r="F45" s="41"/>
      <c r="G45" s="84"/>
      <c r="H45" s="255"/>
      <c r="I45" s="255"/>
      <c r="J45" s="255"/>
      <c r="K45" s="24"/>
      <c r="P45" s="4"/>
      <c r="Q45" s="4"/>
      <c r="R45" s="5"/>
    </row>
    <row r="46" spans="1:18" ht="15.75" x14ac:dyDescent="0.25">
      <c r="A46" s="268"/>
      <c r="B46" s="54" t="s">
        <v>70</v>
      </c>
      <c r="C46" s="91"/>
      <c r="D46" s="15">
        <f>C46*1.5</f>
        <v>0</v>
      </c>
      <c r="E46" s="9"/>
      <c r="F46" s="41"/>
      <c r="G46" s="69"/>
      <c r="H46" s="306"/>
      <c r="I46" s="306"/>
      <c r="J46" s="306"/>
      <c r="K46" s="24"/>
      <c r="P46" s="4"/>
      <c r="Q46" s="4"/>
      <c r="R46" s="5"/>
    </row>
    <row r="47" spans="1:18" ht="15.75" x14ac:dyDescent="0.25">
      <c r="A47" s="269"/>
      <c r="B47" s="30"/>
      <c r="C47" s="71"/>
      <c r="D47" s="15"/>
      <c r="E47" s="9"/>
      <c r="F47" s="65"/>
      <c r="G47" s="65"/>
      <c r="H47" s="273"/>
      <c r="I47" s="274"/>
      <c r="J47" s="275"/>
      <c r="K47" s="24"/>
      <c r="P47" s="4"/>
      <c r="Q47" s="4"/>
      <c r="R47" s="5"/>
    </row>
    <row r="48" spans="1:18" ht="15" customHeight="1" x14ac:dyDescent="0.25">
      <c r="A48" s="267" t="s">
        <v>32</v>
      </c>
      <c r="B48" s="30" t="s">
        <v>66</v>
      </c>
      <c r="C48" s="53">
        <v>12</v>
      </c>
      <c r="D48" s="15">
        <f>C48*78</f>
        <v>936</v>
      </c>
      <c r="E48" s="9"/>
      <c r="F48" s="65"/>
      <c r="G48" s="65"/>
      <c r="H48" s="273"/>
      <c r="I48" s="274"/>
      <c r="J48" s="275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68"/>
      <c r="B49" s="32" t="s">
        <v>68</v>
      </c>
      <c r="C49" s="90">
        <v>4</v>
      </c>
      <c r="D49" s="15">
        <f>C49*42</f>
        <v>168</v>
      </c>
      <c r="E49" s="9"/>
      <c r="F49" s="288" t="s">
        <v>86</v>
      </c>
      <c r="G49" s="240">
        <f>H34+H35+H36+H37+H38+H39+H40+H41+G42+H44+H45+H46</f>
        <v>220971</v>
      </c>
      <c r="H49" s="241"/>
      <c r="I49" s="241"/>
      <c r="J49" s="242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68"/>
      <c r="B50" s="35" t="s">
        <v>70</v>
      </c>
      <c r="C50" s="71">
        <v>5</v>
      </c>
      <c r="D50" s="15">
        <f>C50*1.5</f>
        <v>7.5</v>
      </c>
      <c r="E50" s="9"/>
      <c r="F50" s="289"/>
      <c r="G50" s="243"/>
      <c r="H50" s="244"/>
      <c r="I50" s="244"/>
      <c r="J50" s="245"/>
      <c r="K50" s="9"/>
      <c r="P50" s="4"/>
      <c r="Q50" s="4"/>
      <c r="R50" s="5"/>
    </row>
    <row r="51" spans="1:18" ht="15" customHeight="1" x14ac:dyDescent="0.25">
      <c r="A51" s="268"/>
      <c r="B51" s="30"/>
      <c r="C51" s="53"/>
      <c r="D51" s="34"/>
      <c r="E51" s="9"/>
      <c r="F51" s="290" t="s">
        <v>135</v>
      </c>
      <c r="G51" s="314">
        <f>G49-H29</f>
        <v>-220.5</v>
      </c>
      <c r="H51" s="315"/>
      <c r="I51" s="315"/>
      <c r="J51" s="316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68"/>
      <c r="B52" s="32"/>
      <c r="C52" s="36"/>
      <c r="D52" s="49"/>
      <c r="E52" s="9"/>
      <c r="F52" s="291"/>
      <c r="G52" s="317"/>
      <c r="H52" s="318"/>
      <c r="I52" s="318"/>
      <c r="J52" s="319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69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236" t="s">
        <v>90</v>
      </c>
      <c r="B54" s="276"/>
      <c r="C54" s="277"/>
      <c r="D54" s="280">
        <f>SUM(D34:D53)</f>
        <v>55312.5</v>
      </c>
      <c r="E54" s="9"/>
      <c r="F54" s="24"/>
      <c r="G54" s="9"/>
      <c r="H54" s="9"/>
      <c r="I54" s="9"/>
      <c r="J54" s="37"/>
    </row>
    <row r="55" spans="1:18" x14ac:dyDescent="0.25">
      <c r="A55" s="238"/>
      <c r="B55" s="278"/>
      <c r="C55" s="279"/>
      <c r="D55" s="281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119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282" t="s">
        <v>91</v>
      </c>
      <c r="B58" s="283"/>
      <c r="C58" s="283"/>
      <c r="D58" s="284"/>
      <c r="E58" s="9"/>
      <c r="F58" s="282" t="s">
        <v>92</v>
      </c>
      <c r="G58" s="283"/>
      <c r="H58" s="283"/>
      <c r="I58" s="283"/>
      <c r="J58" s="284"/>
    </row>
    <row r="59" spans="1:18" x14ac:dyDescent="0.25">
      <c r="A59" s="285"/>
      <c r="B59" s="286"/>
      <c r="C59" s="286"/>
      <c r="D59" s="287"/>
      <c r="E59" s="9"/>
      <c r="F59" s="285"/>
      <c r="G59" s="286"/>
      <c r="H59" s="286"/>
      <c r="I59" s="286"/>
      <c r="J59" s="287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9A9D72-0752-4621-A5C3-1F9BAED03296}">
  <dimension ref="A1"/>
  <sheetViews>
    <sheetView workbookViewId="0">
      <selection activeCell="I4" sqref="I4:J5"/>
    </sheetView>
  </sheetViews>
  <sheetFormatPr defaultRowHeight="15" x14ac:dyDescent="0.25"/>
  <sheetData/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00ACC-FFED-4E7C-BF5A-F4D5EEA5D38E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174" t="s">
        <v>1</v>
      </c>
      <c r="O1" s="174"/>
      <c r="P1" s="170" t="s">
        <v>2</v>
      </c>
      <c r="Q1" s="170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75" t="s">
        <v>7</v>
      </c>
      <c r="B4" s="176"/>
      <c r="C4" s="176"/>
      <c r="D4" s="177"/>
      <c r="E4" s="9"/>
      <c r="F4" s="178" t="s">
        <v>8</v>
      </c>
      <c r="G4" s="180">
        <v>1</v>
      </c>
      <c r="H4" s="182" t="s">
        <v>9</v>
      </c>
      <c r="I4" s="184">
        <v>45803</v>
      </c>
      <c r="J4" s="185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88" t="s">
        <v>7</v>
      </c>
      <c r="B5" s="18" t="s">
        <v>11</v>
      </c>
      <c r="C5" s="12" t="s">
        <v>12</v>
      </c>
      <c r="D5" s="28" t="s">
        <v>13</v>
      </c>
      <c r="E5" s="9"/>
      <c r="F5" s="179"/>
      <c r="G5" s="181"/>
      <c r="H5" s="183"/>
      <c r="I5" s="186"/>
      <c r="J5" s="187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89"/>
      <c r="B6" s="19" t="s">
        <v>15</v>
      </c>
      <c r="C6" s="53"/>
      <c r="D6" s="16">
        <f t="shared" ref="D6:D28" si="1">C6*L6</f>
        <v>0</v>
      </c>
      <c r="E6" s="9"/>
      <c r="F6" s="191" t="s">
        <v>16</v>
      </c>
      <c r="G6" s="193" t="s">
        <v>128</v>
      </c>
      <c r="H6" s="194"/>
      <c r="I6" s="194"/>
      <c r="J6" s="195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89"/>
      <c r="B7" s="19" t="s">
        <v>18</v>
      </c>
      <c r="C7" s="53"/>
      <c r="D7" s="16">
        <f t="shared" si="1"/>
        <v>0</v>
      </c>
      <c r="E7" s="9"/>
      <c r="F7" s="192"/>
      <c r="G7" s="196"/>
      <c r="H7" s="197"/>
      <c r="I7" s="197"/>
      <c r="J7" s="198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189"/>
      <c r="B8" s="19" t="s">
        <v>20</v>
      </c>
      <c r="C8" s="53"/>
      <c r="D8" s="16">
        <f t="shared" si="1"/>
        <v>0</v>
      </c>
      <c r="E8" s="9"/>
      <c r="F8" s="199" t="s">
        <v>21</v>
      </c>
      <c r="G8" s="201" t="s">
        <v>113</v>
      </c>
      <c r="H8" s="202"/>
      <c r="I8" s="202"/>
      <c r="J8" s="203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189"/>
      <c r="B9" s="19" t="s">
        <v>23</v>
      </c>
      <c r="C9" s="53"/>
      <c r="D9" s="16">
        <f t="shared" si="1"/>
        <v>0</v>
      </c>
      <c r="E9" s="9"/>
      <c r="F9" s="192"/>
      <c r="G9" s="204"/>
      <c r="H9" s="205"/>
      <c r="I9" s="205"/>
      <c r="J9" s="206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189"/>
      <c r="B10" s="11" t="s">
        <v>25</v>
      </c>
      <c r="C10" s="53"/>
      <c r="D10" s="16">
        <f t="shared" si="1"/>
        <v>0</v>
      </c>
      <c r="E10" s="9"/>
      <c r="F10" s="191" t="s">
        <v>26</v>
      </c>
      <c r="G10" s="207" t="s">
        <v>132</v>
      </c>
      <c r="H10" s="208"/>
      <c r="I10" s="208"/>
      <c r="J10" s="209"/>
      <c r="K10" s="10"/>
      <c r="L10" s="6">
        <f>R36</f>
        <v>972</v>
      </c>
      <c r="P10" s="4"/>
      <c r="Q10" s="4"/>
      <c r="R10" s="5"/>
    </row>
    <row r="11" spans="1:18" ht="15.75" x14ac:dyDescent="0.25">
      <c r="A11" s="189"/>
      <c r="B11" s="20" t="s">
        <v>28</v>
      </c>
      <c r="C11" s="53"/>
      <c r="D11" s="16">
        <f t="shared" si="1"/>
        <v>0</v>
      </c>
      <c r="E11" s="9"/>
      <c r="F11" s="192"/>
      <c r="G11" s="204"/>
      <c r="H11" s="205"/>
      <c r="I11" s="205"/>
      <c r="J11" s="206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89"/>
      <c r="B12" s="20" t="s">
        <v>30</v>
      </c>
      <c r="C12" s="53"/>
      <c r="D12" s="52">
        <f t="shared" si="1"/>
        <v>0</v>
      </c>
      <c r="E12" s="9"/>
      <c r="F12" s="210" t="s">
        <v>33</v>
      </c>
      <c r="G12" s="211"/>
      <c r="H12" s="211"/>
      <c r="I12" s="211"/>
      <c r="J12" s="212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89"/>
      <c r="B13" s="20" t="s">
        <v>32</v>
      </c>
      <c r="C13" s="53"/>
      <c r="D13" s="52">
        <f t="shared" si="1"/>
        <v>0</v>
      </c>
      <c r="E13" s="9"/>
      <c r="F13" s="213" t="s">
        <v>36</v>
      </c>
      <c r="G13" s="214"/>
      <c r="H13" s="215">
        <f>D29</f>
        <v>0</v>
      </c>
      <c r="I13" s="216"/>
      <c r="J13" s="217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89"/>
      <c r="B14" s="17" t="s">
        <v>35</v>
      </c>
      <c r="C14" s="53"/>
      <c r="D14" s="34">
        <f t="shared" si="1"/>
        <v>0</v>
      </c>
      <c r="E14" s="9"/>
      <c r="F14" s="218" t="s">
        <v>39</v>
      </c>
      <c r="G14" s="219"/>
      <c r="H14" s="220">
        <f>D54</f>
        <v>0</v>
      </c>
      <c r="I14" s="221"/>
      <c r="J14" s="222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89"/>
      <c r="B15" s="17" t="s">
        <v>38</v>
      </c>
      <c r="C15" s="53"/>
      <c r="D15" s="34">
        <f t="shared" si="1"/>
        <v>0</v>
      </c>
      <c r="E15" s="9"/>
      <c r="F15" s="223" t="s">
        <v>40</v>
      </c>
      <c r="G15" s="214"/>
      <c r="H15" s="224">
        <f>H13-H14</f>
        <v>0</v>
      </c>
      <c r="I15" s="225"/>
      <c r="J15" s="226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89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227"/>
      <c r="I16" s="227"/>
      <c r="J16" s="22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89"/>
      <c r="B17" s="11" t="s">
        <v>137</v>
      </c>
      <c r="C17" s="53"/>
      <c r="D17" s="52">
        <f t="shared" si="1"/>
        <v>0</v>
      </c>
      <c r="E17" s="9"/>
      <c r="F17" s="62"/>
      <c r="G17" s="74" t="s">
        <v>45</v>
      </c>
      <c r="H17" s="200"/>
      <c r="I17" s="200"/>
      <c r="J17" s="200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89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200"/>
      <c r="I18" s="200"/>
      <c r="J18" s="200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89"/>
      <c r="B19" s="17" t="s">
        <v>140</v>
      </c>
      <c r="C19" s="53"/>
      <c r="D19" s="52">
        <f t="shared" si="1"/>
        <v>0</v>
      </c>
      <c r="E19" s="9"/>
      <c r="F19" s="62"/>
      <c r="G19" s="76" t="s">
        <v>50</v>
      </c>
      <c r="H19" s="200"/>
      <c r="I19" s="200"/>
      <c r="J19" s="200"/>
      <c r="L19" s="6">
        <v>1102</v>
      </c>
      <c r="Q19" s="4"/>
      <c r="R19" s="5">
        <f t="shared" si="0"/>
        <v>0</v>
      </c>
    </row>
    <row r="20" spans="1:18" ht="15.75" x14ac:dyDescent="0.25">
      <c r="A20" s="189"/>
      <c r="B20" s="97" t="s">
        <v>139</v>
      </c>
      <c r="C20" s="53"/>
      <c r="D20" s="16">
        <f t="shared" si="1"/>
        <v>0</v>
      </c>
      <c r="E20" s="9"/>
      <c r="F20" s="63"/>
      <c r="G20" s="78" t="s">
        <v>124</v>
      </c>
      <c r="H20" s="227"/>
      <c r="I20" s="227"/>
      <c r="J20" s="227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89"/>
      <c r="B21" s="17" t="s">
        <v>138</v>
      </c>
      <c r="C21" s="53"/>
      <c r="D21" s="52">
        <f t="shared" si="1"/>
        <v>0</v>
      </c>
      <c r="E21" s="9"/>
      <c r="F21" s="77" t="s">
        <v>99</v>
      </c>
      <c r="G21" s="92" t="s">
        <v>98</v>
      </c>
      <c r="H21" s="246" t="s">
        <v>13</v>
      </c>
      <c r="I21" s="247"/>
      <c r="J21" s="248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89"/>
      <c r="B22" s="50" t="s">
        <v>110</v>
      </c>
      <c r="C22" s="53"/>
      <c r="D22" s="52">
        <f t="shared" si="1"/>
        <v>0</v>
      </c>
      <c r="E22" s="9"/>
      <c r="F22" s="85"/>
      <c r="G22" s="81"/>
      <c r="H22" s="249"/>
      <c r="I22" s="249"/>
      <c r="J22" s="249"/>
      <c r="L22" s="7">
        <v>1142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89"/>
      <c r="B23" s="17" t="s">
        <v>125</v>
      </c>
      <c r="C23" s="53"/>
      <c r="D23" s="52">
        <f t="shared" si="1"/>
        <v>0</v>
      </c>
      <c r="E23" s="9"/>
      <c r="F23" s="85"/>
      <c r="G23" s="87"/>
      <c r="H23" s="250"/>
      <c r="I23" s="251"/>
      <c r="J23" s="251"/>
      <c r="L23" s="51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89"/>
      <c r="B24" s="17" t="s">
        <v>126</v>
      </c>
      <c r="C24" s="53"/>
      <c r="D24" s="52">
        <f t="shared" si="1"/>
        <v>0</v>
      </c>
      <c r="E24" s="9"/>
      <c r="F24" s="85"/>
      <c r="G24" s="87"/>
      <c r="H24" s="250"/>
      <c r="I24" s="251"/>
      <c r="J24" s="251"/>
      <c r="L24" s="51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89"/>
      <c r="B25" s="17" t="s">
        <v>121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52" t="s">
        <v>13</v>
      </c>
      <c r="I25" s="253"/>
      <c r="J25" s="254"/>
      <c r="L25" s="51">
        <f>852/24+1.5</f>
        <v>37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89"/>
      <c r="B26" s="17" t="s">
        <v>112</v>
      </c>
      <c r="C26" s="53"/>
      <c r="D26" s="52">
        <f t="shared" si="1"/>
        <v>0</v>
      </c>
      <c r="E26" s="9"/>
      <c r="F26" s="83"/>
      <c r="G26" s="73"/>
      <c r="H26" s="255"/>
      <c r="I26" s="255"/>
      <c r="J26" s="255"/>
      <c r="L26" s="7">
        <f>500/24+1.5</f>
        <v>22.333333333333332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89"/>
      <c r="B27" s="17" t="s">
        <v>120</v>
      </c>
      <c r="C27" s="53"/>
      <c r="D27" s="48">
        <f t="shared" si="1"/>
        <v>0</v>
      </c>
      <c r="E27" s="9"/>
      <c r="F27" s="79"/>
      <c r="G27" s="173"/>
      <c r="H27" s="256"/>
      <c r="I27" s="257"/>
      <c r="J27" s="257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90"/>
      <c r="B28" s="50" t="s">
        <v>97</v>
      </c>
      <c r="C28" s="53"/>
      <c r="D28" s="52">
        <f t="shared" si="1"/>
        <v>0</v>
      </c>
      <c r="E28" s="9"/>
      <c r="F28" s="60"/>
      <c r="G28" s="68"/>
      <c r="H28" s="258"/>
      <c r="I28" s="259"/>
      <c r="J28" s="260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28" t="s">
        <v>36</v>
      </c>
      <c r="B29" s="229"/>
      <c r="C29" s="230"/>
      <c r="D29" s="234">
        <f>SUM(D6:D28)</f>
        <v>0</v>
      </c>
      <c r="E29" s="9"/>
      <c r="F29" s="236" t="s">
        <v>55</v>
      </c>
      <c r="G29" s="237"/>
      <c r="H29" s="240">
        <f>H15-H16-H17-H18-H19-H20-H22-H23-H24+H26+H27+H28</f>
        <v>0</v>
      </c>
      <c r="I29" s="241"/>
      <c r="J29" s="242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231"/>
      <c r="B30" s="232"/>
      <c r="C30" s="233"/>
      <c r="D30" s="235"/>
      <c r="E30" s="9"/>
      <c r="F30" s="238"/>
      <c r="G30" s="239"/>
      <c r="H30" s="243"/>
      <c r="I30" s="244"/>
      <c r="J30" s="245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5" t="s">
        <v>58</v>
      </c>
      <c r="B32" s="176"/>
      <c r="C32" s="176"/>
      <c r="D32" s="177"/>
      <c r="E32" s="11"/>
      <c r="F32" s="261" t="s">
        <v>59</v>
      </c>
      <c r="G32" s="262"/>
      <c r="H32" s="262"/>
      <c r="I32" s="262"/>
      <c r="J32" s="263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71" t="s">
        <v>63</v>
      </c>
      <c r="H33" s="261" t="s">
        <v>13</v>
      </c>
      <c r="I33" s="262"/>
      <c r="J33" s="263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88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44"/>
      <c r="H34" s="264">
        <f t="shared" ref="H34:H39" si="2">F34*G34</f>
        <v>0</v>
      </c>
      <c r="I34" s="265"/>
      <c r="J34" s="266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89"/>
      <c r="B35" s="30" t="s">
        <v>68</v>
      </c>
      <c r="C35" s="57"/>
      <c r="D35" s="33">
        <f>C35*84</f>
        <v>0</v>
      </c>
      <c r="E35" s="9"/>
      <c r="F35" s="64">
        <v>500</v>
      </c>
      <c r="G35" s="45"/>
      <c r="H35" s="264">
        <f t="shared" si="2"/>
        <v>0</v>
      </c>
      <c r="I35" s="265"/>
      <c r="J35" s="266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90"/>
      <c r="B36" s="29" t="s">
        <v>70</v>
      </c>
      <c r="C36" s="53"/>
      <c r="D36" s="15">
        <f>C36*1.5</f>
        <v>0</v>
      </c>
      <c r="E36" s="9"/>
      <c r="F36" s="15">
        <v>200</v>
      </c>
      <c r="G36" s="41"/>
      <c r="H36" s="264">
        <f t="shared" si="2"/>
        <v>0</v>
      </c>
      <c r="I36" s="265"/>
      <c r="J36" s="266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88" t="s">
        <v>72</v>
      </c>
      <c r="B37" s="31" t="s">
        <v>66</v>
      </c>
      <c r="C37" s="58"/>
      <c r="D37" s="15">
        <f>C37*111</f>
        <v>0</v>
      </c>
      <c r="E37" s="9"/>
      <c r="F37" s="15">
        <v>100</v>
      </c>
      <c r="G37" s="43"/>
      <c r="H37" s="264">
        <f t="shared" si="2"/>
        <v>0</v>
      </c>
      <c r="I37" s="265"/>
      <c r="J37" s="266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89"/>
      <c r="B38" s="32" t="s">
        <v>68</v>
      </c>
      <c r="C38" s="59"/>
      <c r="D38" s="15">
        <f>C38*84</f>
        <v>0</v>
      </c>
      <c r="E38" s="9"/>
      <c r="F38" s="33">
        <v>50</v>
      </c>
      <c r="G38" s="43"/>
      <c r="H38" s="264">
        <f t="shared" si="2"/>
        <v>0</v>
      </c>
      <c r="I38" s="265"/>
      <c r="J38" s="266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90"/>
      <c r="B39" s="32" t="s">
        <v>70</v>
      </c>
      <c r="C39" s="57"/>
      <c r="D39" s="34">
        <f>C39*4.5</f>
        <v>0</v>
      </c>
      <c r="E39" s="9"/>
      <c r="F39" s="15">
        <v>20</v>
      </c>
      <c r="G39" s="41"/>
      <c r="H39" s="264">
        <f t="shared" si="2"/>
        <v>0</v>
      </c>
      <c r="I39" s="265"/>
      <c r="J39" s="266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88" t="s">
        <v>76</v>
      </c>
      <c r="B40" s="30" t="s">
        <v>66</v>
      </c>
      <c r="C40" s="70"/>
      <c r="D40" s="15">
        <f>C40*111</f>
        <v>0</v>
      </c>
      <c r="E40" s="9"/>
      <c r="F40" s="15">
        <v>10</v>
      </c>
      <c r="G40" s="46"/>
      <c r="H40" s="264"/>
      <c r="I40" s="265"/>
      <c r="J40" s="266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89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264"/>
      <c r="I41" s="265"/>
      <c r="J41" s="266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90"/>
      <c r="B42" s="30" t="s">
        <v>70</v>
      </c>
      <c r="C42" s="71"/>
      <c r="D42" s="15">
        <f>C42*2.25</f>
        <v>0</v>
      </c>
      <c r="E42" s="9"/>
      <c r="F42" s="43" t="s">
        <v>79</v>
      </c>
      <c r="G42" s="264"/>
      <c r="H42" s="265"/>
      <c r="I42" s="265"/>
      <c r="J42" s="266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67" t="s">
        <v>81</v>
      </c>
      <c r="C43" s="71"/>
      <c r="D43" s="15"/>
      <c r="E43" s="9"/>
      <c r="F43" s="65" t="s">
        <v>82</v>
      </c>
      <c r="G43" s="173" t="s">
        <v>83</v>
      </c>
      <c r="H43" s="270" t="s">
        <v>13</v>
      </c>
      <c r="I43" s="271"/>
      <c r="J43" s="272"/>
      <c r="K43" s="24"/>
      <c r="O43" t="s">
        <v>103</v>
      </c>
      <c r="P43" s="4">
        <v>1667</v>
      </c>
      <c r="Q43" s="4"/>
      <c r="R43" s="5"/>
    </row>
    <row r="44" spans="1:18" ht="15.75" x14ac:dyDescent="0.25">
      <c r="A44" s="268"/>
      <c r="B44" s="30" t="s">
        <v>66</v>
      </c>
      <c r="C44" s="53"/>
      <c r="D44" s="15">
        <f>C44*120</f>
        <v>0</v>
      </c>
      <c r="E44" s="9"/>
      <c r="F44" s="41"/>
      <c r="G44" s="69"/>
      <c r="H44" s="255"/>
      <c r="I44" s="255"/>
      <c r="J44" s="255"/>
      <c r="K44" s="24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268"/>
      <c r="B45" s="30" t="s">
        <v>68</v>
      </c>
      <c r="C45" s="90"/>
      <c r="D45" s="15">
        <f>C45*84</f>
        <v>0</v>
      </c>
      <c r="E45" s="9"/>
      <c r="F45" s="41"/>
      <c r="G45" s="69"/>
      <c r="H45" s="255"/>
      <c r="I45" s="255"/>
      <c r="J45" s="255"/>
      <c r="K45" s="24"/>
      <c r="P45" s="4"/>
      <c r="Q45" s="4"/>
      <c r="R45" s="5"/>
    </row>
    <row r="46" spans="1:18" ht="15.75" x14ac:dyDescent="0.25">
      <c r="A46" s="268"/>
      <c r="B46" s="54" t="s">
        <v>70</v>
      </c>
      <c r="C46" s="91"/>
      <c r="D46" s="15">
        <f>C46*1.5</f>
        <v>0</v>
      </c>
      <c r="E46" s="9"/>
      <c r="F46" s="41"/>
      <c r="G46" s="69"/>
      <c r="H46" s="255"/>
      <c r="I46" s="255"/>
      <c r="J46" s="255"/>
      <c r="K46" s="24"/>
      <c r="P46" s="4"/>
      <c r="Q46" s="4"/>
      <c r="R46" s="5"/>
    </row>
    <row r="47" spans="1:18" ht="15.75" x14ac:dyDescent="0.25">
      <c r="A47" s="269"/>
      <c r="B47" s="30"/>
      <c r="C47" s="71"/>
      <c r="D47" s="15"/>
      <c r="E47" s="9"/>
      <c r="F47" s="65"/>
      <c r="G47" s="65"/>
      <c r="H47" s="273"/>
      <c r="I47" s="274"/>
      <c r="J47" s="275"/>
      <c r="K47" s="24"/>
      <c r="P47" s="4"/>
      <c r="Q47" s="4"/>
      <c r="R47" s="5"/>
    </row>
    <row r="48" spans="1:18" ht="15" customHeight="1" x14ac:dyDescent="0.25">
      <c r="A48" s="267" t="s">
        <v>32</v>
      </c>
      <c r="B48" s="30" t="s">
        <v>66</v>
      </c>
      <c r="C48" s="53"/>
      <c r="D48" s="15">
        <f>C48*78</f>
        <v>0</v>
      </c>
      <c r="E48" s="9"/>
      <c r="F48" s="65"/>
      <c r="G48" s="65"/>
      <c r="H48" s="273"/>
      <c r="I48" s="274"/>
      <c r="J48" s="275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68"/>
      <c r="B49" s="32" t="s">
        <v>68</v>
      </c>
      <c r="C49" s="90"/>
      <c r="D49" s="15">
        <f>C49*42</f>
        <v>0</v>
      </c>
      <c r="E49" s="9"/>
      <c r="F49" s="288" t="s">
        <v>86</v>
      </c>
      <c r="G49" s="240">
        <f>H34+H35+H36+H37+H38+H39+H40+H41+G42+H44+H45+H46</f>
        <v>0</v>
      </c>
      <c r="H49" s="241"/>
      <c r="I49" s="241"/>
      <c r="J49" s="242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68"/>
      <c r="B50" s="35" t="s">
        <v>70</v>
      </c>
      <c r="C50" s="71"/>
      <c r="D50" s="15">
        <f>C50*1.5</f>
        <v>0</v>
      </c>
      <c r="E50" s="9"/>
      <c r="F50" s="289"/>
      <c r="G50" s="243"/>
      <c r="H50" s="244"/>
      <c r="I50" s="244"/>
      <c r="J50" s="245"/>
      <c r="K50" s="9"/>
      <c r="P50" s="4"/>
      <c r="Q50" s="4"/>
      <c r="R50" s="5"/>
    </row>
    <row r="51" spans="1:18" ht="15" customHeight="1" x14ac:dyDescent="0.25">
      <c r="A51" s="268"/>
      <c r="B51" s="30"/>
      <c r="C51" s="13"/>
      <c r="D51" s="34"/>
      <c r="E51" s="9"/>
      <c r="F51" s="290" t="s">
        <v>135</v>
      </c>
      <c r="G51" s="292">
        <f>G49-H29</f>
        <v>0</v>
      </c>
      <c r="H51" s="293"/>
      <c r="I51" s="293"/>
      <c r="J51" s="294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68"/>
      <c r="B52" s="32"/>
      <c r="C52" s="36"/>
      <c r="D52" s="49"/>
      <c r="E52" s="9"/>
      <c r="F52" s="291"/>
      <c r="G52" s="295"/>
      <c r="H52" s="296"/>
      <c r="I52" s="296"/>
      <c r="J52" s="297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69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236" t="s">
        <v>90</v>
      </c>
      <c r="B54" s="276"/>
      <c r="C54" s="277"/>
      <c r="D54" s="280">
        <f>SUM(D34:D53)</f>
        <v>0</v>
      </c>
      <c r="E54" s="9"/>
      <c r="F54" s="24"/>
      <c r="G54" s="9"/>
      <c r="H54" s="9"/>
      <c r="I54" s="9"/>
      <c r="J54" s="37"/>
      <c r="O54" t="s">
        <v>102</v>
      </c>
      <c r="P54" s="4">
        <v>1582</v>
      </c>
      <c r="R54" s="3">
        <v>1582</v>
      </c>
    </row>
    <row r="55" spans="1:18" x14ac:dyDescent="0.25">
      <c r="A55" s="238"/>
      <c r="B55" s="278"/>
      <c r="C55" s="279"/>
      <c r="D55" s="281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129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282" t="s">
        <v>91</v>
      </c>
      <c r="B58" s="283"/>
      <c r="C58" s="283"/>
      <c r="D58" s="284"/>
      <c r="E58" s="9"/>
      <c r="F58" s="282" t="s">
        <v>92</v>
      </c>
      <c r="G58" s="283"/>
      <c r="H58" s="283"/>
      <c r="I58" s="283"/>
      <c r="J58" s="284"/>
    </row>
    <row r="59" spans="1:18" x14ac:dyDescent="0.25">
      <c r="A59" s="285"/>
      <c r="B59" s="286"/>
      <c r="C59" s="286"/>
      <c r="D59" s="287"/>
      <c r="E59" s="9"/>
      <c r="F59" s="285"/>
      <c r="G59" s="286"/>
      <c r="H59" s="286"/>
      <c r="I59" s="286"/>
      <c r="J59" s="287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EA012-5ECA-4EBF-B3B3-2F847A6169AD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174" t="s">
        <v>1</v>
      </c>
      <c r="O1" s="174"/>
      <c r="P1" s="170" t="s">
        <v>2</v>
      </c>
      <c r="Q1" s="170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75" t="s">
        <v>7</v>
      </c>
      <c r="B4" s="176"/>
      <c r="C4" s="176"/>
      <c r="D4" s="177"/>
      <c r="E4" s="9"/>
      <c r="F4" s="178" t="s">
        <v>8</v>
      </c>
      <c r="G4" s="180">
        <v>2</v>
      </c>
      <c r="H4" s="182" t="s">
        <v>9</v>
      </c>
      <c r="I4" s="184">
        <v>45803</v>
      </c>
      <c r="J4" s="185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88" t="s">
        <v>7</v>
      </c>
      <c r="B5" s="18" t="s">
        <v>11</v>
      </c>
      <c r="C5" s="12" t="s">
        <v>12</v>
      </c>
      <c r="D5" s="28" t="s">
        <v>13</v>
      </c>
      <c r="E5" s="9"/>
      <c r="F5" s="179"/>
      <c r="G5" s="181"/>
      <c r="H5" s="183"/>
      <c r="I5" s="186"/>
      <c r="J5" s="187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89"/>
      <c r="B6" s="19" t="s">
        <v>15</v>
      </c>
      <c r="C6" s="53"/>
      <c r="D6" s="16">
        <f t="shared" ref="D6:D28" si="1">C6*L6</f>
        <v>0</v>
      </c>
      <c r="E6" s="9"/>
      <c r="F6" s="191" t="s">
        <v>16</v>
      </c>
      <c r="G6" s="193" t="s">
        <v>127</v>
      </c>
      <c r="H6" s="194"/>
      <c r="I6" s="194"/>
      <c r="J6" s="195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89"/>
      <c r="B7" s="19" t="s">
        <v>18</v>
      </c>
      <c r="C7" s="53"/>
      <c r="D7" s="16">
        <f t="shared" si="1"/>
        <v>0</v>
      </c>
      <c r="E7" s="9"/>
      <c r="F7" s="192"/>
      <c r="G7" s="196"/>
      <c r="H7" s="197"/>
      <c r="I7" s="197"/>
      <c r="J7" s="198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189"/>
      <c r="B8" s="19" t="s">
        <v>20</v>
      </c>
      <c r="C8" s="53"/>
      <c r="D8" s="16">
        <f t="shared" si="1"/>
        <v>0</v>
      </c>
      <c r="E8" s="9"/>
      <c r="F8" s="199" t="s">
        <v>21</v>
      </c>
      <c r="G8" s="201" t="s">
        <v>115</v>
      </c>
      <c r="H8" s="202"/>
      <c r="I8" s="202"/>
      <c r="J8" s="203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189"/>
      <c r="B9" s="19" t="s">
        <v>23</v>
      </c>
      <c r="C9" s="53"/>
      <c r="D9" s="16">
        <f t="shared" si="1"/>
        <v>0</v>
      </c>
      <c r="E9" s="9"/>
      <c r="F9" s="192"/>
      <c r="G9" s="204"/>
      <c r="H9" s="205"/>
      <c r="I9" s="205"/>
      <c r="J9" s="206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189"/>
      <c r="B10" s="11" t="s">
        <v>25</v>
      </c>
      <c r="C10" s="53"/>
      <c r="D10" s="16">
        <f t="shared" si="1"/>
        <v>0</v>
      </c>
      <c r="E10" s="9"/>
      <c r="F10" s="191" t="s">
        <v>26</v>
      </c>
      <c r="G10" s="207" t="s">
        <v>116</v>
      </c>
      <c r="H10" s="208"/>
      <c r="I10" s="208"/>
      <c r="J10" s="209"/>
      <c r="K10" s="10"/>
      <c r="L10" s="6">
        <f>R36</f>
        <v>972</v>
      </c>
      <c r="P10" s="4"/>
      <c r="Q10" s="4"/>
      <c r="R10" s="5"/>
    </row>
    <row r="11" spans="1:18" ht="15.75" x14ac:dyDescent="0.25">
      <c r="A11" s="189"/>
      <c r="B11" s="20" t="s">
        <v>28</v>
      </c>
      <c r="C11" s="53"/>
      <c r="D11" s="16">
        <f t="shared" si="1"/>
        <v>0</v>
      </c>
      <c r="E11" s="9"/>
      <c r="F11" s="192"/>
      <c r="G11" s="204"/>
      <c r="H11" s="205"/>
      <c r="I11" s="205"/>
      <c r="J11" s="206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89"/>
      <c r="B12" s="20" t="s">
        <v>30</v>
      </c>
      <c r="C12" s="53"/>
      <c r="D12" s="52">
        <f t="shared" si="1"/>
        <v>0</v>
      </c>
      <c r="E12" s="9"/>
      <c r="F12" s="210" t="s">
        <v>33</v>
      </c>
      <c r="G12" s="211"/>
      <c r="H12" s="211"/>
      <c r="I12" s="211"/>
      <c r="J12" s="212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89"/>
      <c r="B13" s="20" t="s">
        <v>32</v>
      </c>
      <c r="C13" s="53"/>
      <c r="D13" s="52">
        <f t="shared" si="1"/>
        <v>0</v>
      </c>
      <c r="E13" s="9"/>
      <c r="F13" s="213" t="s">
        <v>36</v>
      </c>
      <c r="G13" s="214"/>
      <c r="H13" s="215">
        <f>D29</f>
        <v>0</v>
      </c>
      <c r="I13" s="216"/>
      <c r="J13" s="217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89"/>
      <c r="B14" s="17" t="s">
        <v>35</v>
      </c>
      <c r="C14" s="53"/>
      <c r="D14" s="34">
        <f t="shared" si="1"/>
        <v>0</v>
      </c>
      <c r="E14" s="9"/>
      <c r="F14" s="218" t="s">
        <v>39</v>
      </c>
      <c r="G14" s="219"/>
      <c r="H14" s="220">
        <f>D54</f>
        <v>0</v>
      </c>
      <c r="I14" s="221"/>
      <c r="J14" s="222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89"/>
      <c r="B15" s="17" t="s">
        <v>38</v>
      </c>
      <c r="C15" s="53"/>
      <c r="D15" s="34">
        <f t="shared" si="1"/>
        <v>0</v>
      </c>
      <c r="E15" s="9"/>
      <c r="F15" s="223" t="s">
        <v>40</v>
      </c>
      <c r="G15" s="214"/>
      <c r="H15" s="224">
        <f>H13-H14</f>
        <v>0</v>
      </c>
      <c r="I15" s="225"/>
      <c r="J15" s="226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89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227"/>
      <c r="I16" s="227"/>
      <c r="J16" s="22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89"/>
      <c r="B17" s="11" t="s">
        <v>93</v>
      </c>
      <c r="C17" s="53"/>
      <c r="D17" s="52">
        <f t="shared" si="1"/>
        <v>0</v>
      </c>
      <c r="E17" s="9"/>
      <c r="F17" s="62"/>
      <c r="G17" s="74" t="s">
        <v>45</v>
      </c>
      <c r="H17" s="200"/>
      <c r="I17" s="200"/>
      <c r="J17" s="200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89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200"/>
      <c r="I18" s="200"/>
      <c r="J18" s="200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89"/>
      <c r="B19" s="17" t="s">
        <v>96</v>
      </c>
      <c r="C19" s="53"/>
      <c r="D19" s="52">
        <f t="shared" si="1"/>
        <v>0</v>
      </c>
      <c r="E19" s="9"/>
      <c r="F19" s="62"/>
      <c r="G19" s="76" t="s">
        <v>50</v>
      </c>
      <c r="H19" s="298"/>
      <c r="I19" s="298"/>
      <c r="J19" s="298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89"/>
      <c r="B20" s="50" t="s">
        <v>131</v>
      </c>
      <c r="C20" s="53"/>
      <c r="D20" s="16">
        <f t="shared" si="1"/>
        <v>0</v>
      </c>
      <c r="E20" s="9"/>
      <c r="F20" s="63"/>
      <c r="G20" s="78" t="s">
        <v>124</v>
      </c>
      <c r="H20" s="200"/>
      <c r="I20" s="200"/>
      <c r="J20" s="200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89"/>
      <c r="B21" s="17" t="s">
        <v>130</v>
      </c>
      <c r="C21" s="53"/>
      <c r="D21" s="52">
        <f t="shared" si="1"/>
        <v>0</v>
      </c>
      <c r="E21" s="9"/>
      <c r="F21" s="77" t="s">
        <v>99</v>
      </c>
      <c r="G21" s="92" t="s">
        <v>98</v>
      </c>
      <c r="H21" s="246" t="s">
        <v>13</v>
      </c>
      <c r="I21" s="247"/>
      <c r="J21" s="248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89"/>
      <c r="B22" s="50" t="s">
        <v>104</v>
      </c>
      <c r="C22" s="53"/>
      <c r="D22" s="52">
        <f t="shared" si="1"/>
        <v>0</v>
      </c>
      <c r="E22" s="9"/>
      <c r="F22" s="80"/>
      <c r="G22" s="81"/>
      <c r="H22" s="249"/>
      <c r="I22" s="249"/>
      <c r="J22" s="249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89"/>
      <c r="B23" s="17" t="s">
        <v>107</v>
      </c>
      <c r="C23" s="53"/>
      <c r="D23" s="52">
        <f t="shared" si="1"/>
        <v>0</v>
      </c>
      <c r="E23" s="9"/>
      <c r="F23" s="28"/>
      <c r="G23" s="41"/>
      <c r="H23" s="299"/>
      <c r="I23" s="255"/>
      <c r="J23" s="255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89"/>
      <c r="B24" s="17" t="s">
        <v>133</v>
      </c>
      <c r="C24" s="53"/>
      <c r="D24" s="52">
        <f t="shared" si="1"/>
        <v>0</v>
      </c>
      <c r="E24" s="9"/>
      <c r="F24" s="42"/>
      <c r="G24" s="41"/>
      <c r="H24" s="299"/>
      <c r="I24" s="255"/>
      <c r="J24" s="255"/>
      <c r="L24" s="51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89"/>
      <c r="B25" s="17" t="s">
        <v>134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52" t="s">
        <v>13</v>
      </c>
      <c r="I25" s="253"/>
      <c r="J25" s="254"/>
      <c r="L25" s="51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89"/>
      <c r="B26" s="17" t="s">
        <v>105</v>
      </c>
      <c r="C26" s="53"/>
      <c r="D26" s="52">
        <f t="shared" si="1"/>
        <v>0</v>
      </c>
      <c r="E26" s="9"/>
      <c r="F26" s="72"/>
      <c r="G26" s="13"/>
      <c r="H26" s="300"/>
      <c r="I26" s="301"/>
      <c r="J26" s="302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89"/>
      <c r="B27" s="17" t="s">
        <v>109</v>
      </c>
      <c r="C27" s="53"/>
      <c r="D27" s="48">
        <f t="shared" si="1"/>
        <v>0</v>
      </c>
      <c r="E27" s="9"/>
      <c r="F27" s="67"/>
      <c r="G27" s="67"/>
      <c r="H27" s="303"/>
      <c r="I27" s="304"/>
      <c r="J27" s="305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90"/>
      <c r="B28" s="50" t="s">
        <v>97</v>
      </c>
      <c r="C28" s="53"/>
      <c r="D28" s="52">
        <f t="shared" si="1"/>
        <v>0</v>
      </c>
      <c r="E28" s="9"/>
      <c r="F28" s="60"/>
      <c r="G28" s="68"/>
      <c r="H28" s="258"/>
      <c r="I28" s="259"/>
      <c r="J28" s="260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28" t="s">
        <v>36</v>
      </c>
      <c r="B29" s="229"/>
      <c r="C29" s="230"/>
      <c r="D29" s="234">
        <f>SUM(D6:D28)</f>
        <v>0</v>
      </c>
      <c r="E29" s="9"/>
      <c r="F29" s="236" t="s">
        <v>55</v>
      </c>
      <c r="G29" s="237"/>
      <c r="H29" s="240">
        <f>H15-H16-H17-H18-H19-H20-H22-H23-H24+H26+H27</f>
        <v>0</v>
      </c>
      <c r="I29" s="241"/>
      <c r="J29" s="242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231"/>
      <c r="B30" s="232"/>
      <c r="C30" s="233"/>
      <c r="D30" s="235"/>
      <c r="E30" s="9"/>
      <c r="F30" s="238"/>
      <c r="G30" s="239"/>
      <c r="H30" s="243"/>
      <c r="I30" s="244"/>
      <c r="J30" s="245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5" t="s">
        <v>58</v>
      </c>
      <c r="B32" s="176"/>
      <c r="C32" s="176"/>
      <c r="D32" s="177"/>
      <c r="E32" s="11"/>
      <c r="F32" s="261" t="s">
        <v>59</v>
      </c>
      <c r="G32" s="262"/>
      <c r="H32" s="262"/>
      <c r="I32" s="262"/>
      <c r="J32" s="263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71" t="s">
        <v>63</v>
      </c>
      <c r="H33" s="261" t="s">
        <v>13</v>
      </c>
      <c r="I33" s="262"/>
      <c r="J33" s="263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88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82"/>
      <c r="H34" s="264">
        <f>F34*G34</f>
        <v>0</v>
      </c>
      <c r="I34" s="265"/>
      <c r="J34" s="266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89"/>
      <c r="B35" s="30" t="s">
        <v>68</v>
      </c>
      <c r="C35" s="57"/>
      <c r="D35" s="33">
        <f>C35*84</f>
        <v>0</v>
      </c>
      <c r="E35" s="9"/>
      <c r="F35" s="64">
        <v>500</v>
      </c>
      <c r="G35" s="45"/>
      <c r="H35" s="264">
        <f t="shared" ref="H35:H39" si="2">F35*G35</f>
        <v>0</v>
      </c>
      <c r="I35" s="265"/>
      <c r="J35" s="266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90"/>
      <c r="B36" s="29" t="s">
        <v>70</v>
      </c>
      <c r="C36" s="53"/>
      <c r="D36" s="15">
        <f>C36*1.5</f>
        <v>0</v>
      </c>
      <c r="E36" s="9"/>
      <c r="F36" s="15">
        <v>200</v>
      </c>
      <c r="G36" s="41"/>
      <c r="H36" s="264">
        <f t="shared" si="2"/>
        <v>0</v>
      </c>
      <c r="I36" s="265"/>
      <c r="J36" s="266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88" t="s">
        <v>72</v>
      </c>
      <c r="B37" s="31" t="s">
        <v>66</v>
      </c>
      <c r="C37" s="58"/>
      <c r="D37" s="15">
        <f>C37*111</f>
        <v>0</v>
      </c>
      <c r="E37" s="9"/>
      <c r="F37" s="15">
        <v>100</v>
      </c>
      <c r="G37" s="43"/>
      <c r="H37" s="264">
        <f t="shared" si="2"/>
        <v>0</v>
      </c>
      <c r="I37" s="265"/>
      <c r="J37" s="266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89"/>
      <c r="B38" s="32" t="s">
        <v>68</v>
      </c>
      <c r="C38" s="59"/>
      <c r="D38" s="15">
        <f>C38*84</f>
        <v>0</v>
      </c>
      <c r="E38" s="9"/>
      <c r="F38" s="33">
        <v>50</v>
      </c>
      <c r="G38" s="43"/>
      <c r="H38" s="264">
        <f t="shared" si="2"/>
        <v>0</v>
      </c>
      <c r="I38" s="265"/>
      <c r="J38" s="266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90"/>
      <c r="B39" s="32" t="s">
        <v>70</v>
      </c>
      <c r="C39" s="57"/>
      <c r="D39" s="34">
        <f>C39*4.5</f>
        <v>0</v>
      </c>
      <c r="E39" s="9"/>
      <c r="F39" s="15">
        <v>20</v>
      </c>
      <c r="G39" s="41"/>
      <c r="H39" s="264">
        <f t="shared" si="2"/>
        <v>0</v>
      </c>
      <c r="I39" s="265"/>
      <c r="J39" s="266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88" t="s">
        <v>76</v>
      </c>
      <c r="B40" s="30" t="s">
        <v>66</v>
      </c>
      <c r="C40" s="70"/>
      <c r="D40" s="15">
        <f>C40*111</f>
        <v>0</v>
      </c>
      <c r="E40" s="9"/>
      <c r="F40" s="15">
        <v>10</v>
      </c>
      <c r="G40" s="46"/>
      <c r="H40" s="264"/>
      <c r="I40" s="265"/>
      <c r="J40" s="266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89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264"/>
      <c r="I41" s="265"/>
      <c r="J41" s="266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90"/>
      <c r="B42" s="30" t="s">
        <v>70</v>
      </c>
      <c r="C42" s="71"/>
      <c r="D42" s="15">
        <f>C42*2.25</f>
        <v>0</v>
      </c>
      <c r="E42" s="9"/>
      <c r="F42" s="43" t="s">
        <v>79</v>
      </c>
      <c r="G42" s="264"/>
      <c r="H42" s="265"/>
      <c r="I42" s="265"/>
      <c r="J42" s="266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67" t="s">
        <v>81</v>
      </c>
      <c r="C43" s="71"/>
      <c r="D43" s="15"/>
      <c r="E43" s="9"/>
      <c r="F43" s="65" t="s">
        <v>82</v>
      </c>
      <c r="G43" s="173" t="s">
        <v>83</v>
      </c>
      <c r="H43" s="270" t="s">
        <v>13</v>
      </c>
      <c r="I43" s="271"/>
      <c r="J43" s="272"/>
      <c r="K43" s="24"/>
      <c r="P43" s="4"/>
      <c r="Q43" s="4"/>
      <c r="R43" s="5"/>
    </row>
    <row r="44" spans="1:18" ht="15.75" x14ac:dyDescent="0.25">
      <c r="A44" s="268"/>
      <c r="B44" s="30" t="s">
        <v>66</v>
      </c>
      <c r="C44" s="53"/>
      <c r="D44" s="15">
        <f>C44*120</f>
        <v>0</v>
      </c>
      <c r="E44" s="9"/>
      <c r="F44" s="41"/>
      <c r="G44" s="69"/>
      <c r="H44" s="255"/>
      <c r="I44" s="255"/>
      <c r="J44" s="255"/>
      <c r="K44" s="24"/>
      <c r="P44" s="4"/>
      <c r="Q44" s="4"/>
      <c r="R44" s="5"/>
    </row>
    <row r="45" spans="1:18" ht="15.75" x14ac:dyDescent="0.25">
      <c r="A45" s="268"/>
      <c r="B45" s="30" t="s">
        <v>68</v>
      </c>
      <c r="C45" s="90"/>
      <c r="D45" s="15">
        <f>C45*84</f>
        <v>0</v>
      </c>
      <c r="E45" s="9"/>
      <c r="F45" s="41"/>
      <c r="G45" s="69"/>
      <c r="H45" s="255"/>
      <c r="I45" s="255"/>
      <c r="J45" s="255"/>
      <c r="K45" s="24"/>
      <c r="P45" s="4"/>
      <c r="Q45" s="4"/>
      <c r="R45" s="5"/>
    </row>
    <row r="46" spans="1:18" ht="15.75" x14ac:dyDescent="0.25">
      <c r="A46" s="268"/>
      <c r="B46" s="54" t="s">
        <v>70</v>
      </c>
      <c r="C46" s="91"/>
      <c r="D46" s="15">
        <f>C46*1.5</f>
        <v>0</v>
      </c>
      <c r="E46" s="9"/>
      <c r="F46" s="41"/>
      <c r="G46" s="172"/>
      <c r="H46" s="306"/>
      <c r="I46" s="306"/>
      <c r="J46" s="306"/>
      <c r="K46" s="24"/>
      <c r="P46" s="4"/>
      <c r="Q46" s="4"/>
      <c r="R46" s="5"/>
    </row>
    <row r="47" spans="1:18" ht="15.75" x14ac:dyDescent="0.25">
      <c r="A47" s="269"/>
      <c r="B47" s="30"/>
      <c r="C47" s="71"/>
      <c r="D47" s="15"/>
      <c r="E47" s="9"/>
      <c r="F47" s="65"/>
      <c r="G47" s="65"/>
      <c r="H47" s="273"/>
      <c r="I47" s="274"/>
      <c r="J47" s="275"/>
      <c r="K47" s="24"/>
      <c r="P47" s="4"/>
      <c r="Q47" s="4"/>
      <c r="R47" s="5"/>
    </row>
    <row r="48" spans="1:18" ht="15" customHeight="1" x14ac:dyDescent="0.25">
      <c r="A48" s="267" t="s">
        <v>32</v>
      </c>
      <c r="B48" s="30" t="s">
        <v>66</v>
      </c>
      <c r="C48" s="53"/>
      <c r="D48" s="15">
        <f>C48*78</f>
        <v>0</v>
      </c>
      <c r="E48" s="9"/>
      <c r="F48" s="65"/>
      <c r="G48" s="65"/>
      <c r="H48" s="273"/>
      <c r="I48" s="274"/>
      <c r="J48" s="275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68"/>
      <c r="B49" s="32" t="s">
        <v>68</v>
      </c>
      <c r="C49" s="90"/>
      <c r="D49" s="15">
        <f>C49*42</f>
        <v>0</v>
      </c>
      <c r="E49" s="9"/>
      <c r="F49" s="288" t="s">
        <v>86</v>
      </c>
      <c r="G49" s="240">
        <f>H34+H35+H36+H37+H38+H39+H40+H41+G42+H44+H45+H46</f>
        <v>0</v>
      </c>
      <c r="H49" s="241"/>
      <c r="I49" s="241"/>
      <c r="J49" s="242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68"/>
      <c r="B50" s="35" t="s">
        <v>70</v>
      </c>
      <c r="C50" s="71"/>
      <c r="D50" s="15">
        <f>C50*1.5</f>
        <v>0</v>
      </c>
      <c r="E50" s="9"/>
      <c r="F50" s="289"/>
      <c r="G50" s="243"/>
      <c r="H50" s="244"/>
      <c r="I50" s="244"/>
      <c r="J50" s="245"/>
      <c r="K50" s="9"/>
      <c r="P50" s="4"/>
      <c r="Q50" s="4"/>
      <c r="R50" s="5"/>
    </row>
    <row r="51" spans="1:18" ht="15" customHeight="1" x14ac:dyDescent="0.25">
      <c r="A51" s="268"/>
      <c r="B51" s="30"/>
      <c r="C51" s="13"/>
      <c r="D51" s="34"/>
      <c r="E51" s="9"/>
      <c r="F51" s="290" t="s">
        <v>144</v>
      </c>
      <c r="G51" s="307">
        <f>G49-H29</f>
        <v>0</v>
      </c>
      <c r="H51" s="308"/>
      <c r="I51" s="308"/>
      <c r="J51" s="309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68"/>
      <c r="B52" s="32"/>
      <c r="C52" s="36"/>
      <c r="D52" s="49"/>
      <c r="E52" s="9"/>
      <c r="F52" s="291"/>
      <c r="G52" s="310"/>
      <c r="H52" s="311"/>
      <c r="I52" s="311"/>
      <c r="J52" s="312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69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236" t="s">
        <v>90</v>
      </c>
      <c r="B54" s="276"/>
      <c r="C54" s="277"/>
      <c r="D54" s="280">
        <f>SUM(D34:D53)</f>
        <v>0</v>
      </c>
      <c r="E54" s="9"/>
      <c r="F54" s="24"/>
      <c r="G54" s="9"/>
      <c r="H54" s="9"/>
      <c r="I54" s="9"/>
      <c r="J54" s="37"/>
    </row>
    <row r="55" spans="1:18" x14ac:dyDescent="0.25">
      <c r="A55" s="238"/>
      <c r="B55" s="278"/>
      <c r="C55" s="279"/>
      <c r="D55" s="281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136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282" t="s">
        <v>91</v>
      </c>
      <c r="B58" s="283"/>
      <c r="C58" s="283"/>
      <c r="D58" s="284"/>
      <c r="E58" s="9"/>
      <c r="F58" s="282" t="s">
        <v>92</v>
      </c>
      <c r="G58" s="283"/>
      <c r="H58" s="283"/>
      <c r="I58" s="283"/>
      <c r="J58" s="284"/>
    </row>
    <row r="59" spans="1:18" x14ac:dyDescent="0.25">
      <c r="A59" s="285"/>
      <c r="B59" s="286"/>
      <c r="C59" s="286"/>
      <c r="D59" s="287"/>
      <c r="E59" s="9"/>
      <c r="F59" s="285"/>
      <c r="G59" s="286"/>
      <c r="H59" s="286"/>
      <c r="I59" s="286"/>
      <c r="J59" s="287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D5D13-1D78-484F-944D-6C23F7FA0B7C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s="8" t="s">
        <v>0</v>
      </c>
      <c r="B1" s="8"/>
      <c r="C1" s="8"/>
      <c r="D1" s="8"/>
      <c r="N1" s="174" t="s">
        <v>1</v>
      </c>
      <c r="O1" s="174"/>
      <c r="P1" s="100" t="s">
        <v>2</v>
      </c>
      <c r="Q1" s="100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75" t="s">
        <v>7</v>
      </c>
      <c r="B4" s="176"/>
      <c r="C4" s="176"/>
      <c r="D4" s="177"/>
      <c r="E4" s="9"/>
      <c r="F4" s="178" t="s">
        <v>8</v>
      </c>
      <c r="G4" s="180">
        <v>3</v>
      </c>
      <c r="H4" s="182" t="s">
        <v>9</v>
      </c>
      <c r="I4" s="184">
        <v>45779</v>
      </c>
      <c r="J4" s="185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88" t="s">
        <v>7</v>
      </c>
      <c r="B5" s="18" t="s">
        <v>11</v>
      </c>
      <c r="C5" s="12" t="s">
        <v>12</v>
      </c>
      <c r="D5" s="28" t="s">
        <v>13</v>
      </c>
      <c r="E5" s="9"/>
      <c r="F5" s="179"/>
      <c r="G5" s="181"/>
      <c r="H5" s="183"/>
      <c r="I5" s="186"/>
      <c r="J5" s="187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89"/>
      <c r="B6" s="19" t="s">
        <v>15</v>
      </c>
      <c r="C6" s="53">
        <v>113</v>
      </c>
      <c r="D6" s="16">
        <f t="shared" ref="D6:D28" si="1">C6*L6</f>
        <v>83281</v>
      </c>
      <c r="E6" s="9"/>
      <c r="F6" s="191" t="s">
        <v>16</v>
      </c>
      <c r="G6" s="193" t="s">
        <v>111</v>
      </c>
      <c r="H6" s="194"/>
      <c r="I6" s="194"/>
      <c r="J6" s="195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89"/>
      <c r="B7" s="19" t="s">
        <v>18</v>
      </c>
      <c r="C7" s="53">
        <v>9</v>
      </c>
      <c r="D7" s="16">
        <f t="shared" si="1"/>
        <v>6525</v>
      </c>
      <c r="E7" s="9"/>
      <c r="F7" s="192"/>
      <c r="G7" s="196"/>
      <c r="H7" s="197"/>
      <c r="I7" s="197"/>
      <c r="J7" s="198"/>
      <c r="K7" s="10"/>
      <c r="L7" s="6">
        <f>R41</f>
        <v>725</v>
      </c>
      <c r="P7" s="4"/>
      <c r="Q7" s="4"/>
      <c r="R7" s="5"/>
    </row>
    <row r="8" spans="1:19" ht="14.45" customHeight="1" x14ac:dyDescent="0.25">
      <c r="A8" s="189"/>
      <c r="B8" s="19" t="s">
        <v>20</v>
      </c>
      <c r="C8" s="53"/>
      <c r="D8" s="16">
        <f t="shared" si="1"/>
        <v>0</v>
      </c>
      <c r="E8" s="9"/>
      <c r="F8" s="199" t="s">
        <v>21</v>
      </c>
      <c r="G8" s="201" t="s">
        <v>122</v>
      </c>
      <c r="H8" s="202"/>
      <c r="I8" s="202"/>
      <c r="J8" s="203"/>
      <c r="K8" s="10"/>
      <c r="L8" s="6">
        <f>R40</f>
        <v>1033</v>
      </c>
      <c r="P8" s="4"/>
      <c r="Q8" s="4"/>
      <c r="R8" s="5"/>
    </row>
    <row r="9" spans="1:19" ht="14.45" customHeight="1" x14ac:dyDescent="0.25">
      <c r="A9" s="189"/>
      <c r="B9" s="19" t="s">
        <v>23</v>
      </c>
      <c r="C9" s="53">
        <v>57</v>
      </c>
      <c r="D9" s="16">
        <f t="shared" si="1"/>
        <v>40299</v>
      </c>
      <c r="E9" s="9"/>
      <c r="F9" s="192"/>
      <c r="G9" s="204"/>
      <c r="H9" s="205"/>
      <c r="I9" s="205"/>
      <c r="J9" s="206"/>
      <c r="K9" s="10"/>
      <c r="L9" s="6">
        <f>R38</f>
        <v>707</v>
      </c>
      <c r="P9" s="4"/>
      <c r="Q9" s="4"/>
      <c r="R9" s="5"/>
    </row>
    <row r="10" spans="1:19" ht="14.45" customHeight="1" x14ac:dyDescent="0.25">
      <c r="A10" s="189"/>
      <c r="B10" s="11" t="s">
        <v>25</v>
      </c>
      <c r="C10" s="53">
        <v>1</v>
      </c>
      <c r="D10" s="16">
        <f t="shared" si="1"/>
        <v>972</v>
      </c>
      <c r="E10" s="9"/>
      <c r="F10" s="191" t="s">
        <v>26</v>
      </c>
      <c r="G10" s="207" t="s">
        <v>123</v>
      </c>
      <c r="H10" s="208"/>
      <c r="I10" s="208"/>
      <c r="J10" s="209"/>
      <c r="K10" s="10"/>
      <c r="L10" s="6">
        <f>R36</f>
        <v>972</v>
      </c>
      <c r="P10" s="4"/>
      <c r="Q10" s="4"/>
      <c r="R10" s="5"/>
    </row>
    <row r="11" spans="1:19" ht="15.75" x14ac:dyDescent="0.25">
      <c r="A11" s="189"/>
      <c r="B11" s="20" t="s">
        <v>28</v>
      </c>
      <c r="C11" s="53"/>
      <c r="D11" s="16">
        <f t="shared" si="1"/>
        <v>0</v>
      </c>
      <c r="E11" s="9"/>
      <c r="F11" s="192"/>
      <c r="G11" s="204"/>
      <c r="H11" s="205"/>
      <c r="I11" s="205"/>
      <c r="J11" s="206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89"/>
      <c r="B12" s="20" t="s">
        <v>30</v>
      </c>
      <c r="C12" s="53"/>
      <c r="D12" s="52">
        <f t="shared" si="1"/>
        <v>0</v>
      </c>
      <c r="E12" s="9"/>
      <c r="F12" s="210" t="s">
        <v>33</v>
      </c>
      <c r="G12" s="211"/>
      <c r="H12" s="211"/>
      <c r="I12" s="211"/>
      <c r="J12" s="212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89"/>
      <c r="B13" s="20" t="s">
        <v>32</v>
      </c>
      <c r="C13" s="53">
        <v>6</v>
      </c>
      <c r="D13" s="52">
        <f t="shared" si="1"/>
        <v>1842</v>
      </c>
      <c r="E13" s="9"/>
      <c r="F13" s="213" t="s">
        <v>36</v>
      </c>
      <c r="G13" s="214"/>
      <c r="H13" s="215">
        <f>D29</f>
        <v>134500</v>
      </c>
      <c r="I13" s="216"/>
      <c r="J13" s="217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89"/>
      <c r="B14" s="17" t="s">
        <v>35</v>
      </c>
      <c r="C14" s="53">
        <v>1</v>
      </c>
      <c r="D14" s="34">
        <f t="shared" si="1"/>
        <v>11</v>
      </c>
      <c r="E14" s="9"/>
      <c r="F14" s="218" t="s">
        <v>39</v>
      </c>
      <c r="G14" s="219"/>
      <c r="H14" s="220">
        <f>D54</f>
        <v>32305.5</v>
      </c>
      <c r="I14" s="221"/>
      <c r="J14" s="222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89"/>
      <c r="B15" s="17" t="s">
        <v>38</v>
      </c>
      <c r="C15" s="53"/>
      <c r="D15" s="34">
        <f t="shared" si="1"/>
        <v>0</v>
      </c>
      <c r="E15" s="9"/>
      <c r="F15" s="223" t="s">
        <v>40</v>
      </c>
      <c r="G15" s="214"/>
      <c r="H15" s="224">
        <f>H13-H14</f>
        <v>102194.5</v>
      </c>
      <c r="I15" s="225"/>
      <c r="J15" s="226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89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227"/>
      <c r="I16" s="227"/>
      <c r="J16" s="22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89"/>
      <c r="B17" s="11" t="s">
        <v>114</v>
      </c>
      <c r="C17" s="53"/>
      <c r="D17" s="52">
        <f t="shared" si="1"/>
        <v>0</v>
      </c>
      <c r="E17" s="9"/>
      <c r="F17" s="62"/>
      <c r="G17" s="74" t="s">
        <v>45</v>
      </c>
      <c r="H17" s="200"/>
      <c r="I17" s="200"/>
      <c r="J17" s="200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89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200"/>
      <c r="I18" s="200"/>
      <c r="J18" s="200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89"/>
      <c r="B19" s="17" t="s">
        <v>118</v>
      </c>
      <c r="C19" s="53"/>
      <c r="D19" s="52">
        <f t="shared" si="1"/>
        <v>0</v>
      </c>
      <c r="E19" s="9"/>
      <c r="F19" s="62"/>
      <c r="G19" s="76" t="s">
        <v>50</v>
      </c>
      <c r="H19" s="313"/>
      <c r="I19" s="313"/>
      <c r="J19" s="313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89"/>
      <c r="B20" s="50" t="s">
        <v>108</v>
      </c>
      <c r="C20" s="53"/>
      <c r="D20" s="16">
        <f t="shared" si="1"/>
        <v>0</v>
      </c>
      <c r="E20" s="9"/>
      <c r="F20" s="63"/>
      <c r="G20" s="78" t="s">
        <v>124</v>
      </c>
      <c r="H20" s="227">
        <f>626*2</f>
        <v>1252</v>
      </c>
      <c r="I20" s="227"/>
      <c r="J20" s="227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89"/>
      <c r="B21" s="17" t="s">
        <v>130</v>
      </c>
      <c r="C21" s="53"/>
      <c r="D21" s="52">
        <f t="shared" si="1"/>
        <v>0</v>
      </c>
      <c r="E21" s="9"/>
      <c r="F21" s="77" t="s">
        <v>99</v>
      </c>
      <c r="G21" s="92" t="s">
        <v>98</v>
      </c>
      <c r="H21" s="246" t="s">
        <v>13</v>
      </c>
      <c r="I21" s="247"/>
      <c r="J21" s="248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89"/>
      <c r="B22" s="50" t="s">
        <v>104</v>
      </c>
      <c r="C22" s="53"/>
      <c r="D22" s="52">
        <f t="shared" si="1"/>
        <v>0</v>
      </c>
      <c r="E22" s="9"/>
      <c r="F22" s="85"/>
      <c r="G22" s="81"/>
      <c r="H22" s="249"/>
      <c r="I22" s="249"/>
      <c r="J22" s="249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89"/>
      <c r="B23" s="17" t="s">
        <v>107</v>
      </c>
      <c r="C23" s="53"/>
      <c r="D23" s="52">
        <f t="shared" si="1"/>
        <v>0</v>
      </c>
      <c r="E23" s="9"/>
      <c r="F23" s="86"/>
      <c r="G23" s="87"/>
      <c r="H23" s="299"/>
      <c r="I23" s="255"/>
      <c r="J23" s="255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89"/>
      <c r="B24" s="17" t="s">
        <v>101</v>
      </c>
      <c r="C24" s="53"/>
      <c r="D24" s="52">
        <f t="shared" si="1"/>
        <v>0</v>
      </c>
      <c r="E24" s="9"/>
      <c r="F24" s="42"/>
      <c r="G24" s="41"/>
      <c r="H24" s="299"/>
      <c r="I24" s="255"/>
      <c r="J24" s="255"/>
      <c r="L24" s="51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89"/>
      <c r="B25" s="17" t="s">
        <v>117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52" t="s">
        <v>13</v>
      </c>
      <c r="I25" s="253"/>
      <c r="J25" s="254"/>
      <c r="L25" s="51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89"/>
      <c r="B26" s="17" t="s">
        <v>105</v>
      </c>
      <c r="C26" s="53"/>
      <c r="D26" s="52">
        <f t="shared" si="1"/>
        <v>0</v>
      </c>
      <c r="E26" s="9"/>
      <c r="F26" s="72"/>
      <c r="G26" s="65"/>
      <c r="H26" s="300"/>
      <c r="I26" s="301"/>
      <c r="J26" s="302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89"/>
      <c r="B27" s="17" t="s">
        <v>109</v>
      </c>
      <c r="C27" s="53"/>
      <c r="D27" s="48">
        <f t="shared" si="1"/>
        <v>0</v>
      </c>
      <c r="E27" s="9"/>
      <c r="F27" s="88"/>
      <c r="G27" s="89"/>
      <c r="H27" s="303"/>
      <c r="I27" s="304"/>
      <c r="J27" s="305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90"/>
      <c r="B28" s="50" t="s">
        <v>97</v>
      </c>
      <c r="C28" s="53">
        <v>2</v>
      </c>
      <c r="D28" s="52">
        <f t="shared" si="1"/>
        <v>1570</v>
      </c>
      <c r="E28" s="9"/>
      <c r="F28" s="60"/>
      <c r="G28" s="68"/>
      <c r="H28" s="258"/>
      <c r="I28" s="259"/>
      <c r="J28" s="260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28" t="s">
        <v>36</v>
      </c>
      <c r="B29" s="229"/>
      <c r="C29" s="230"/>
      <c r="D29" s="234">
        <f>SUM(D6:D28)</f>
        <v>134500</v>
      </c>
      <c r="E29" s="9"/>
      <c r="F29" s="236" t="s">
        <v>55</v>
      </c>
      <c r="G29" s="237"/>
      <c r="H29" s="240">
        <f>H15-H16-H17-H18-H19-H20-H22-H23-H24+H26+H27</f>
        <v>100942.5</v>
      </c>
      <c r="I29" s="241"/>
      <c r="J29" s="242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231"/>
      <c r="B30" s="232"/>
      <c r="C30" s="233"/>
      <c r="D30" s="235"/>
      <c r="E30" s="9"/>
      <c r="F30" s="238"/>
      <c r="G30" s="239"/>
      <c r="H30" s="243"/>
      <c r="I30" s="244"/>
      <c r="J30" s="245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5" t="s">
        <v>58</v>
      </c>
      <c r="B32" s="176"/>
      <c r="C32" s="176"/>
      <c r="D32" s="177"/>
      <c r="E32" s="11"/>
      <c r="F32" s="261" t="s">
        <v>59</v>
      </c>
      <c r="G32" s="262"/>
      <c r="H32" s="262"/>
      <c r="I32" s="262"/>
      <c r="J32" s="263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01" t="s">
        <v>63</v>
      </c>
      <c r="H33" s="261" t="s">
        <v>13</v>
      </c>
      <c r="I33" s="262"/>
      <c r="J33" s="263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88" t="s">
        <v>65</v>
      </c>
      <c r="B34" s="29" t="s">
        <v>66</v>
      </c>
      <c r="C34" s="56">
        <v>2</v>
      </c>
      <c r="D34" s="33">
        <f>C34*120</f>
        <v>240</v>
      </c>
      <c r="E34" s="9"/>
      <c r="F34" s="15">
        <v>1000</v>
      </c>
      <c r="G34" s="82">
        <v>101</v>
      </c>
      <c r="H34" s="264">
        <f>F34*G34</f>
        <v>101000</v>
      </c>
      <c r="I34" s="265"/>
      <c r="J34" s="266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89"/>
      <c r="B35" s="30" t="s">
        <v>68</v>
      </c>
      <c r="C35" s="57">
        <v>1</v>
      </c>
      <c r="D35" s="33">
        <f>C35*84</f>
        <v>84</v>
      </c>
      <c r="E35" s="9"/>
      <c r="F35" s="64">
        <v>500</v>
      </c>
      <c r="G35" s="45"/>
      <c r="H35" s="264">
        <f>F35*G35</f>
        <v>0</v>
      </c>
      <c r="I35" s="265"/>
      <c r="J35" s="266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90"/>
      <c r="B36" s="29" t="s">
        <v>70</v>
      </c>
      <c r="C36" s="53">
        <v>13</v>
      </c>
      <c r="D36" s="15">
        <f>C36*1.5</f>
        <v>19.5</v>
      </c>
      <c r="E36" s="9"/>
      <c r="F36" s="15">
        <v>200</v>
      </c>
      <c r="G36" s="41"/>
      <c r="H36" s="264">
        <f t="shared" ref="H36:H39" si="2">F36*G36</f>
        <v>0</v>
      </c>
      <c r="I36" s="265"/>
      <c r="J36" s="266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88" t="s">
        <v>72</v>
      </c>
      <c r="B37" s="31" t="s">
        <v>66</v>
      </c>
      <c r="C37" s="58">
        <v>265</v>
      </c>
      <c r="D37" s="15">
        <f>C37*111</f>
        <v>29415</v>
      </c>
      <c r="E37" s="9"/>
      <c r="F37" s="15">
        <v>100</v>
      </c>
      <c r="G37" s="43">
        <v>1</v>
      </c>
      <c r="H37" s="264">
        <f t="shared" si="2"/>
        <v>100</v>
      </c>
      <c r="I37" s="265"/>
      <c r="J37" s="266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89"/>
      <c r="B38" s="32" t="s">
        <v>68</v>
      </c>
      <c r="C38" s="59">
        <v>8</v>
      </c>
      <c r="D38" s="15">
        <f>C38*84</f>
        <v>672</v>
      </c>
      <c r="E38" s="9"/>
      <c r="F38" s="33">
        <v>50</v>
      </c>
      <c r="G38" s="43">
        <v>1</v>
      </c>
      <c r="H38" s="264">
        <f t="shared" si="2"/>
        <v>50</v>
      </c>
      <c r="I38" s="265"/>
      <c r="J38" s="266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90"/>
      <c r="B39" s="32" t="s">
        <v>70</v>
      </c>
      <c r="C39" s="57">
        <v>2</v>
      </c>
      <c r="D39" s="34">
        <f>C39*4.5</f>
        <v>9</v>
      </c>
      <c r="E39" s="9"/>
      <c r="F39" s="15">
        <v>20</v>
      </c>
      <c r="G39" s="41"/>
      <c r="H39" s="264">
        <f t="shared" si="2"/>
        <v>0</v>
      </c>
      <c r="I39" s="265"/>
      <c r="J39" s="266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88" t="s">
        <v>76</v>
      </c>
      <c r="B40" s="30" t="s">
        <v>66</v>
      </c>
      <c r="C40" s="70">
        <v>3</v>
      </c>
      <c r="D40" s="15">
        <f>C40*111</f>
        <v>333</v>
      </c>
      <c r="E40" s="9"/>
      <c r="F40" s="15">
        <v>10</v>
      </c>
      <c r="G40" s="46"/>
      <c r="H40" s="264"/>
      <c r="I40" s="265"/>
      <c r="J40" s="266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89"/>
      <c r="B41" s="30" t="s">
        <v>68</v>
      </c>
      <c r="C41" s="53">
        <v>3</v>
      </c>
      <c r="D41" s="15">
        <f>C41*84</f>
        <v>252</v>
      </c>
      <c r="E41" s="9"/>
      <c r="F41" s="15">
        <v>5</v>
      </c>
      <c r="G41" s="46"/>
      <c r="H41" s="264"/>
      <c r="I41" s="265"/>
      <c r="J41" s="266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90"/>
      <c r="B42" s="30" t="s">
        <v>70</v>
      </c>
      <c r="C42" s="71">
        <v>4</v>
      </c>
      <c r="D42" s="15">
        <f>C42*2.25</f>
        <v>9</v>
      </c>
      <c r="E42" s="9"/>
      <c r="F42" s="43" t="s">
        <v>79</v>
      </c>
      <c r="G42" s="264">
        <v>99</v>
      </c>
      <c r="H42" s="265"/>
      <c r="I42" s="265"/>
      <c r="J42" s="266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67" t="s">
        <v>81</v>
      </c>
      <c r="C43" s="71"/>
      <c r="D43" s="15"/>
      <c r="E43" s="9"/>
      <c r="F43" s="65" t="s">
        <v>82</v>
      </c>
      <c r="G43" s="98" t="s">
        <v>83</v>
      </c>
      <c r="H43" s="270" t="s">
        <v>13</v>
      </c>
      <c r="I43" s="271"/>
      <c r="J43" s="272"/>
      <c r="K43" s="24"/>
      <c r="P43" s="4"/>
      <c r="Q43" s="4"/>
      <c r="R43" s="5"/>
    </row>
    <row r="44" spans="1:18" ht="15.75" x14ac:dyDescent="0.25">
      <c r="A44" s="268"/>
      <c r="B44" s="30" t="s">
        <v>66</v>
      </c>
      <c r="C44" s="53">
        <v>4</v>
      </c>
      <c r="D44" s="15">
        <f>C44*120</f>
        <v>480</v>
      </c>
      <c r="E44" s="9"/>
      <c r="F44" s="41"/>
      <c r="G44" s="84"/>
      <c r="H44" s="255"/>
      <c r="I44" s="255"/>
      <c r="J44" s="255"/>
      <c r="K44" s="24"/>
      <c r="P44" s="4"/>
      <c r="Q44" s="4"/>
      <c r="R44" s="5"/>
    </row>
    <row r="45" spans="1:18" ht="15.75" x14ac:dyDescent="0.25">
      <c r="A45" s="268"/>
      <c r="B45" s="30" t="s">
        <v>68</v>
      </c>
      <c r="C45" s="90">
        <v>2</v>
      </c>
      <c r="D45" s="15">
        <f>C45*84</f>
        <v>168</v>
      </c>
      <c r="E45" s="9"/>
      <c r="F45" s="41"/>
      <c r="G45" s="84"/>
      <c r="H45" s="255"/>
      <c r="I45" s="255"/>
      <c r="J45" s="255"/>
      <c r="K45" s="24"/>
      <c r="P45" s="4"/>
      <c r="Q45" s="4"/>
      <c r="R45" s="5"/>
    </row>
    <row r="46" spans="1:18" ht="15.75" x14ac:dyDescent="0.25">
      <c r="A46" s="268"/>
      <c r="B46" s="54" t="s">
        <v>70</v>
      </c>
      <c r="C46" s="91">
        <v>18</v>
      </c>
      <c r="D46" s="15">
        <f>C46*1.5</f>
        <v>27</v>
      </c>
      <c r="E46" s="9"/>
      <c r="F46" s="41"/>
      <c r="G46" s="69"/>
      <c r="H46" s="306"/>
      <c r="I46" s="306"/>
      <c r="J46" s="306"/>
      <c r="K46" s="24"/>
      <c r="P46" s="4"/>
      <c r="Q46" s="4"/>
      <c r="R46" s="5"/>
    </row>
    <row r="47" spans="1:18" ht="15.75" x14ac:dyDescent="0.25">
      <c r="A47" s="269"/>
      <c r="B47" s="30"/>
      <c r="C47" s="71"/>
      <c r="D47" s="15"/>
      <c r="E47" s="9"/>
      <c r="F47" s="65"/>
      <c r="G47" s="65"/>
      <c r="H47" s="273"/>
      <c r="I47" s="274"/>
      <c r="J47" s="275"/>
      <c r="K47" s="24"/>
      <c r="P47" s="4"/>
      <c r="Q47" s="4"/>
      <c r="R47" s="5"/>
    </row>
    <row r="48" spans="1:18" ht="15" customHeight="1" x14ac:dyDescent="0.25">
      <c r="A48" s="267" t="s">
        <v>32</v>
      </c>
      <c r="B48" s="30" t="s">
        <v>66</v>
      </c>
      <c r="C48" s="53">
        <v>7</v>
      </c>
      <c r="D48" s="15">
        <f>C48*78</f>
        <v>546</v>
      </c>
      <c r="E48" s="9"/>
      <c r="F48" s="65"/>
      <c r="G48" s="65"/>
      <c r="H48" s="273"/>
      <c r="I48" s="274"/>
      <c r="J48" s="275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68"/>
      <c r="B49" s="32" t="s">
        <v>68</v>
      </c>
      <c r="C49" s="90"/>
      <c r="D49" s="15">
        <f>C49*42</f>
        <v>0</v>
      </c>
      <c r="E49" s="9"/>
      <c r="F49" s="288" t="s">
        <v>86</v>
      </c>
      <c r="G49" s="240">
        <f>H34+H35+H36+H37+H38+H39+H40+H41+G42+H44+H45+H46</f>
        <v>101249</v>
      </c>
      <c r="H49" s="241"/>
      <c r="I49" s="241"/>
      <c r="J49" s="242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68"/>
      <c r="B50" s="35" t="s">
        <v>70</v>
      </c>
      <c r="C50" s="71">
        <v>34</v>
      </c>
      <c r="D50" s="15">
        <f>C50*1.5</f>
        <v>51</v>
      </c>
      <c r="E50" s="9"/>
      <c r="F50" s="289"/>
      <c r="G50" s="243"/>
      <c r="H50" s="244"/>
      <c r="I50" s="244"/>
      <c r="J50" s="245"/>
      <c r="K50" s="9"/>
      <c r="P50" s="4"/>
      <c r="Q50" s="4"/>
      <c r="R50" s="5"/>
    </row>
    <row r="51" spans="1:18" ht="15" customHeight="1" x14ac:dyDescent="0.25">
      <c r="A51" s="268"/>
      <c r="B51" s="30"/>
      <c r="C51" s="53"/>
      <c r="D51" s="34"/>
      <c r="E51" s="9"/>
      <c r="F51" s="290" t="s">
        <v>147</v>
      </c>
      <c r="G51" s="307">
        <f>G49-H29</f>
        <v>306.5</v>
      </c>
      <c r="H51" s="308"/>
      <c r="I51" s="308"/>
      <c r="J51" s="309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68"/>
      <c r="B52" s="32"/>
      <c r="C52" s="36"/>
      <c r="D52" s="49"/>
      <c r="E52" s="9"/>
      <c r="F52" s="291"/>
      <c r="G52" s="310"/>
      <c r="H52" s="311"/>
      <c r="I52" s="311"/>
      <c r="J52" s="312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69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236" t="s">
        <v>90</v>
      </c>
      <c r="B54" s="276"/>
      <c r="C54" s="277"/>
      <c r="D54" s="280">
        <f>SUM(D34:D53)</f>
        <v>32305.5</v>
      </c>
      <c r="E54" s="9"/>
      <c r="F54" s="24"/>
      <c r="G54" s="9"/>
      <c r="H54" s="9"/>
      <c r="I54" s="9"/>
      <c r="J54" s="37"/>
    </row>
    <row r="55" spans="1:18" x14ac:dyDescent="0.25">
      <c r="A55" s="238"/>
      <c r="B55" s="278"/>
      <c r="C55" s="279"/>
      <c r="D55" s="281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119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282" t="s">
        <v>91</v>
      </c>
      <c r="B58" s="283"/>
      <c r="C58" s="283"/>
      <c r="D58" s="284"/>
      <c r="E58" s="9"/>
      <c r="F58" s="282" t="s">
        <v>92</v>
      </c>
      <c r="G58" s="283"/>
      <c r="H58" s="283"/>
      <c r="I58" s="283"/>
      <c r="J58" s="284"/>
    </row>
    <row r="59" spans="1:18" x14ac:dyDescent="0.25">
      <c r="A59" s="285"/>
      <c r="B59" s="286"/>
      <c r="C59" s="286"/>
      <c r="D59" s="287"/>
      <c r="E59" s="9"/>
      <c r="F59" s="285"/>
      <c r="G59" s="286"/>
      <c r="H59" s="286"/>
      <c r="I59" s="286"/>
      <c r="J59" s="287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F4CE0-A156-4A7B-BB9D-877DB641BF9B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s="8" t="s">
        <v>0</v>
      </c>
      <c r="B1" s="8"/>
      <c r="C1" s="8"/>
      <c r="D1" s="8"/>
      <c r="N1" s="174" t="s">
        <v>1</v>
      </c>
      <c r="O1" s="174"/>
      <c r="P1" s="170" t="s">
        <v>2</v>
      </c>
      <c r="Q1" s="170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75" t="s">
        <v>7</v>
      </c>
      <c r="B4" s="176"/>
      <c r="C4" s="176"/>
      <c r="D4" s="177"/>
      <c r="E4" s="9"/>
      <c r="F4" s="178" t="s">
        <v>8</v>
      </c>
      <c r="G4" s="180">
        <v>3</v>
      </c>
      <c r="H4" s="182" t="s">
        <v>9</v>
      </c>
      <c r="I4" s="184">
        <v>45803</v>
      </c>
      <c r="J4" s="185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88" t="s">
        <v>7</v>
      </c>
      <c r="B5" s="18" t="s">
        <v>11</v>
      </c>
      <c r="C5" s="12" t="s">
        <v>12</v>
      </c>
      <c r="D5" s="28" t="s">
        <v>13</v>
      </c>
      <c r="E5" s="9"/>
      <c r="F5" s="179"/>
      <c r="G5" s="181"/>
      <c r="H5" s="183"/>
      <c r="I5" s="186"/>
      <c r="J5" s="187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89"/>
      <c r="B6" s="19" t="s">
        <v>15</v>
      </c>
      <c r="C6" s="53"/>
      <c r="D6" s="16">
        <f t="shared" ref="D6:D28" si="1">C6*L6</f>
        <v>0</v>
      </c>
      <c r="E6" s="9"/>
      <c r="F6" s="191" t="s">
        <v>16</v>
      </c>
      <c r="G6" s="193" t="s">
        <v>111</v>
      </c>
      <c r="H6" s="194"/>
      <c r="I6" s="194"/>
      <c r="J6" s="195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89"/>
      <c r="B7" s="19" t="s">
        <v>18</v>
      </c>
      <c r="C7" s="53"/>
      <c r="D7" s="16">
        <f t="shared" si="1"/>
        <v>0</v>
      </c>
      <c r="E7" s="9"/>
      <c r="F7" s="192"/>
      <c r="G7" s="196"/>
      <c r="H7" s="197"/>
      <c r="I7" s="197"/>
      <c r="J7" s="198"/>
      <c r="K7" s="10"/>
      <c r="L7" s="6">
        <f>R41</f>
        <v>725</v>
      </c>
      <c r="P7" s="4"/>
      <c r="Q7" s="4"/>
      <c r="R7" s="5"/>
    </row>
    <row r="8" spans="1:19" ht="14.45" customHeight="1" x14ac:dyDescent="0.25">
      <c r="A8" s="189"/>
      <c r="B8" s="19" t="s">
        <v>20</v>
      </c>
      <c r="C8" s="53"/>
      <c r="D8" s="16">
        <f t="shared" si="1"/>
        <v>0</v>
      </c>
      <c r="E8" s="9"/>
      <c r="F8" s="199" t="s">
        <v>21</v>
      </c>
      <c r="G8" s="201" t="s">
        <v>122</v>
      </c>
      <c r="H8" s="202"/>
      <c r="I8" s="202"/>
      <c r="J8" s="203"/>
      <c r="K8" s="10"/>
      <c r="L8" s="6">
        <f>R40</f>
        <v>1033</v>
      </c>
      <c r="P8" s="4"/>
      <c r="Q8" s="4"/>
      <c r="R8" s="5"/>
    </row>
    <row r="9" spans="1:19" ht="14.45" customHeight="1" x14ac:dyDescent="0.25">
      <c r="A9" s="189"/>
      <c r="B9" s="19" t="s">
        <v>23</v>
      </c>
      <c r="C9" s="53"/>
      <c r="D9" s="16">
        <f t="shared" si="1"/>
        <v>0</v>
      </c>
      <c r="E9" s="9"/>
      <c r="F9" s="192"/>
      <c r="G9" s="204"/>
      <c r="H9" s="205"/>
      <c r="I9" s="205"/>
      <c r="J9" s="206"/>
      <c r="K9" s="10"/>
      <c r="L9" s="6">
        <f>R38</f>
        <v>707</v>
      </c>
      <c r="P9" s="4"/>
      <c r="Q9" s="4"/>
      <c r="R9" s="5"/>
    </row>
    <row r="10" spans="1:19" ht="14.45" customHeight="1" x14ac:dyDescent="0.25">
      <c r="A10" s="189"/>
      <c r="B10" s="11" t="s">
        <v>25</v>
      </c>
      <c r="C10" s="53"/>
      <c r="D10" s="16">
        <f t="shared" si="1"/>
        <v>0</v>
      </c>
      <c r="E10" s="9"/>
      <c r="F10" s="191" t="s">
        <v>26</v>
      </c>
      <c r="G10" s="207" t="s">
        <v>123</v>
      </c>
      <c r="H10" s="208"/>
      <c r="I10" s="208"/>
      <c r="J10" s="209"/>
      <c r="K10" s="10"/>
      <c r="L10" s="6">
        <f>R36</f>
        <v>972</v>
      </c>
      <c r="P10" s="4"/>
      <c r="Q10" s="4"/>
      <c r="R10" s="5"/>
    </row>
    <row r="11" spans="1:19" ht="15.75" x14ac:dyDescent="0.25">
      <c r="A11" s="189"/>
      <c r="B11" s="20" t="s">
        <v>28</v>
      </c>
      <c r="C11" s="53"/>
      <c r="D11" s="16">
        <f t="shared" si="1"/>
        <v>0</v>
      </c>
      <c r="E11" s="9"/>
      <c r="F11" s="192"/>
      <c r="G11" s="204"/>
      <c r="H11" s="205"/>
      <c r="I11" s="205"/>
      <c r="J11" s="206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89"/>
      <c r="B12" s="20" t="s">
        <v>30</v>
      </c>
      <c r="C12" s="53"/>
      <c r="D12" s="52">
        <f t="shared" si="1"/>
        <v>0</v>
      </c>
      <c r="E12" s="9"/>
      <c r="F12" s="210" t="s">
        <v>33</v>
      </c>
      <c r="G12" s="211"/>
      <c r="H12" s="211"/>
      <c r="I12" s="211"/>
      <c r="J12" s="212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89"/>
      <c r="B13" s="20" t="s">
        <v>32</v>
      </c>
      <c r="C13" s="53"/>
      <c r="D13" s="52">
        <f t="shared" si="1"/>
        <v>0</v>
      </c>
      <c r="E13" s="9"/>
      <c r="F13" s="213" t="s">
        <v>36</v>
      </c>
      <c r="G13" s="214"/>
      <c r="H13" s="215">
        <f>D29</f>
        <v>0</v>
      </c>
      <c r="I13" s="216"/>
      <c r="J13" s="217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89"/>
      <c r="B14" s="17" t="s">
        <v>35</v>
      </c>
      <c r="C14" s="53"/>
      <c r="D14" s="34">
        <f t="shared" si="1"/>
        <v>0</v>
      </c>
      <c r="E14" s="9"/>
      <c r="F14" s="218" t="s">
        <v>39</v>
      </c>
      <c r="G14" s="219"/>
      <c r="H14" s="220">
        <f>D54</f>
        <v>0</v>
      </c>
      <c r="I14" s="221"/>
      <c r="J14" s="222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89"/>
      <c r="B15" s="17" t="s">
        <v>38</v>
      </c>
      <c r="C15" s="53"/>
      <c r="D15" s="34">
        <f t="shared" si="1"/>
        <v>0</v>
      </c>
      <c r="E15" s="9"/>
      <c r="F15" s="223" t="s">
        <v>40</v>
      </c>
      <c r="G15" s="214"/>
      <c r="H15" s="224">
        <f>H13-H14</f>
        <v>0</v>
      </c>
      <c r="I15" s="225"/>
      <c r="J15" s="226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89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227"/>
      <c r="I16" s="227"/>
      <c r="J16" s="22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89"/>
      <c r="B17" s="11" t="s">
        <v>114</v>
      </c>
      <c r="C17" s="53"/>
      <c r="D17" s="52">
        <f t="shared" si="1"/>
        <v>0</v>
      </c>
      <c r="E17" s="9"/>
      <c r="F17" s="62"/>
      <c r="G17" s="74" t="s">
        <v>45</v>
      </c>
      <c r="H17" s="200"/>
      <c r="I17" s="200"/>
      <c r="J17" s="200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89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200"/>
      <c r="I18" s="200"/>
      <c r="J18" s="200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89"/>
      <c r="B19" s="17" t="s">
        <v>118</v>
      </c>
      <c r="C19" s="53"/>
      <c r="D19" s="52">
        <f t="shared" si="1"/>
        <v>0</v>
      </c>
      <c r="E19" s="9"/>
      <c r="F19" s="62"/>
      <c r="G19" s="76" t="s">
        <v>50</v>
      </c>
      <c r="H19" s="313"/>
      <c r="I19" s="313"/>
      <c r="J19" s="313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89"/>
      <c r="B20" s="50" t="s">
        <v>108</v>
      </c>
      <c r="C20" s="53"/>
      <c r="D20" s="16">
        <f t="shared" si="1"/>
        <v>0</v>
      </c>
      <c r="E20" s="9"/>
      <c r="F20" s="63"/>
      <c r="G20" s="78" t="s">
        <v>124</v>
      </c>
      <c r="H20" s="227"/>
      <c r="I20" s="227"/>
      <c r="J20" s="227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89"/>
      <c r="B21" s="17" t="s">
        <v>130</v>
      </c>
      <c r="C21" s="53"/>
      <c r="D21" s="52">
        <f t="shared" si="1"/>
        <v>0</v>
      </c>
      <c r="E21" s="9"/>
      <c r="F21" s="77" t="s">
        <v>99</v>
      </c>
      <c r="G21" s="92" t="s">
        <v>98</v>
      </c>
      <c r="H21" s="246" t="s">
        <v>13</v>
      </c>
      <c r="I21" s="247"/>
      <c r="J21" s="248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89"/>
      <c r="B22" s="50" t="s">
        <v>104</v>
      </c>
      <c r="C22" s="53"/>
      <c r="D22" s="52">
        <f t="shared" si="1"/>
        <v>0</v>
      </c>
      <c r="E22" s="9"/>
      <c r="F22" s="85"/>
      <c r="G22" s="81"/>
      <c r="H22" s="249"/>
      <c r="I22" s="249"/>
      <c r="J22" s="249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89"/>
      <c r="B23" s="17" t="s">
        <v>107</v>
      </c>
      <c r="C23" s="53"/>
      <c r="D23" s="52">
        <f t="shared" si="1"/>
        <v>0</v>
      </c>
      <c r="E23" s="9"/>
      <c r="F23" s="86"/>
      <c r="G23" s="87"/>
      <c r="H23" s="299"/>
      <c r="I23" s="255"/>
      <c r="J23" s="255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89"/>
      <c r="B24" s="17" t="s">
        <v>101</v>
      </c>
      <c r="C24" s="53"/>
      <c r="D24" s="52">
        <f t="shared" si="1"/>
        <v>0</v>
      </c>
      <c r="E24" s="9"/>
      <c r="F24" s="42"/>
      <c r="G24" s="41"/>
      <c r="H24" s="299"/>
      <c r="I24" s="255"/>
      <c r="J24" s="255"/>
      <c r="L24" s="51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89"/>
      <c r="B25" s="17" t="s">
        <v>117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52" t="s">
        <v>13</v>
      </c>
      <c r="I25" s="253"/>
      <c r="J25" s="254"/>
      <c r="L25" s="51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89"/>
      <c r="B26" s="17" t="s">
        <v>105</v>
      </c>
      <c r="C26" s="53"/>
      <c r="D26" s="52">
        <f t="shared" si="1"/>
        <v>0</v>
      </c>
      <c r="E26" s="9"/>
      <c r="F26" s="72"/>
      <c r="G26" s="65"/>
      <c r="H26" s="300"/>
      <c r="I26" s="301"/>
      <c r="J26" s="302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89"/>
      <c r="B27" s="17" t="s">
        <v>109</v>
      </c>
      <c r="C27" s="53"/>
      <c r="D27" s="48">
        <f t="shared" si="1"/>
        <v>0</v>
      </c>
      <c r="E27" s="9"/>
      <c r="F27" s="88"/>
      <c r="G27" s="89"/>
      <c r="H27" s="303"/>
      <c r="I27" s="304"/>
      <c r="J27" s="305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90"/>
      <c r="B28" s="50" t="s">
        <v>97</v>
      </c>
      <c r="C28" s="53"/>
      <c r="D28" s="52">
        <f t="shared" si="1"/>
        <v>0</v>
      </c>
      <c r="E28" s="9"/>
      <c r="F28" s="60"/>
      <c r="G28" s="68"/>
      <c r="H28" s="258"/>
      <c r="I28" s="259"/>
      <c r="J28" s="260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28" t="s">
        <v>36</v>
      </c>
      <c r="B29" s="229"/>
      <c r="C29" s="230"/>
      <c r="D29" s="234">
        <f>SUM(D6:D28)</f>
        <v>0</v>
      </c>
      <c r="E29" s="9"/>
      <c r="F29" s="236" t="s">
        <v>55</v>
      </c>
      <c r="G29" s="237"/>
      <c r="H29" s="240">
        <f>H15-H16-H17-H18-H19-H20-H22-H23-H24+H26+H27</f>
        <v>0</v>
      </c>
      <c r="I29" s="241"/>
      <c r="J29" s="242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231"/>
      <c r="B30" s="232"/>
      <c r="C30" s="233"/>
      <c r="D30" s="235"/>
      <c r="E30" s="9"/>
      <c r="F30" s="238"/>
      <c r="G30" s="239"/>
      <c r="H30" s="243"/>
      <c r="I30" s="244"/>
      <c r="J30" s="245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5" t="s">
        <v>58</v>
      </c>
      <c r="B32" s="176"/>
      <c r="C32" s="176"/>
      <c r="D32" s="177"/>
      <c r="E32" s="11"/>
      <c r="F32" s="261" t="s">
        <v>59</v>
      </c>
      <c r="G32" s="262"/>
      <c r="H32" s="262"/>
      <c r="I32" s="262"/>
      <c r="J32" s="263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71" t="s">
        <v>63</v>
      </c>
      <c r="H33" s="261" t="s">
        <v>13</v>
      </c>
      <c r="I33" s="262"/>
      <c r="J33" s="263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88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82"/>
      <c r="H34" s="264">
        <f>F34*G34</f>
        <v>0</v>
      </c>
      <c r="I34" s="265"/>
      <c r="J34" s="266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89"/>
      <c r="B35" s="30" t="s">
        <v>68</v>
      </c>
      <c r="C35" s="57"/>
      <c r="D35" s="33">
        <f>C35*84</f>
        <v>0</v>
      </c>
      <c r="E35" s="9"/>
      <c r="F35" s="64">
        <v>500</v>
      </c>
      <c r="G35" s="45"/>
      <c r="H35" s="264">
        <f>F35*G35</f>
        <v>0</v>
      </c>
      <c r="I35" s="265"/>
      <c r="J35" s="266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90"/>
      <c r="B36" s="29" t="s">
        <v>70</v>
      </c>
      <c r="C36" s="53"/>
      <c r="D36" s="15">
        <f>C36*1.5</f>
        <v>0</v>
      </c>
      <c r="E36" s="9"/>
      <c r="F36" s="15">
        <v>200</v>
      </c>
      <c r="G36" s="41"/>
      <c r="H36" s="264">
        <f t="shared" ref="H36:H39" si="2">F36*G36</f>
        <v>0</v>
      </c>
      <c r="I36" s="265"/>
      <c r="J36" s="266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88" t="s">
        <v>72</v>
      </c>
      <c r="B37" s="31" t="s">
        <v>66</v>
      </c>
      <c r="C37" s="58"/>
      <c r="D37" s="15">
        <f>C37*111</f>
        <v>0</v>
      </c>
      <c r="E37" s="9"/>
      <c r="F37" s="15">
        <v>100</v>
      </c>
      <c r="G37" s="43"/>
      <c r="H37" s="264">
        <f t="shared" si="2"/>
        <v>0</v>
      </c>
      <c r="I37" s="265"/>
      <c r="J37" s="266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89"/>
      <c r="B38" s="32" t="s">
        <v>68</v>
      </c>
      <c r="C38" s="59"/>
      <c r="D38" s="15">
        <f>C38*84</f>
        <v>0</v>
      </c>
      <c r="E38" s="9"/>
      <c r="F38" s="33">
        <v>50</v>
      </c>
      <c r="G38" s="43"/>
      <c r="H38" s="264">
        <f t="shared" si="2"/>
        <v>0</v>
      </c>
      <c r="I38" s="265"/>
      <c r="J38" s="266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90"/>
      <c r="B39" s="32" t="s">
        <v>70</v>
      </c>
      <c r="C39" s="57"/>
      <c r="D39" s="34">
        <f>C39*4.5</f>
        <v>0</v>
      </c>
      <c r="E39" s="9"/>
      <c r="F39" s="15">
        <v>20</v>
      </c>
      <c r="G39" s="41"/>
      <c r="H39" s="264">
        <f t="shared" si="2"/>
        <v>0</v>
      </c>
      <c r="I39" s="265"/>
      <c r="J39" s="266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88" t="s">
        <v>76</v>
      </c>
      <c r="B40" s="30" t="s">
        <v>66</v>
      </c>
      <c r="C40" s="70"/>
      <c r="D40" s="15">
        <f>C40*111</f>
        <v>0</v>
      </c>
      <c r="E40" s="9"/>
      <c r="F40" s="15">
        <v>10</v>
      </c>
      <c r="G40" s="46"/>
      <c r="H40" s="264"/>
      <c r="I40" s="265"/>
      <c r="J40" s="266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89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264"/>
      <c r="I41" s="265"/>
      <c r="J41" s="266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90"/>
      <c r="B42" s="30" t="s">
        <v>70</v>
      </c>
      <c r="C42" s="71"/>
      <c r="D42" s="15">
        <f>C42*2.25</f>
        <v>0</v>
      </c>
      <c r="E42" s="9"/>
      <c r="F42" s="43" t="s">
        <v>79</v>
      </c>
      <c r="G42" s="264"/>
      <c r="H42" s="265"/>
      <c r="I42" s="265"/>
      <c r="J42" s="266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67" t="s">
        <v>81</v>
      </c>
      <c r="C43" s="71"/>
      <c r="D43" s="15"/>
      <c r="E43" s="9"/>
      <c r="F43" s="65" t="s">
        <v>82</v>
      </c>
      <c r="G43" s="173" t="s">
        <v>83</v>
      </c>
      <c r="H43" s="270" t="s">
        <v>13</v>
      </c>
      <c r="I43" s="271"/>
      <c r="J43" s="272"/>
      <c r="K43" s="24"/>
      <c r="P43" s="4"/>
      <c r="Q43" s="4"/>
      <c r="R43" s="5"/>
    </row>
    <row r="44" spans="1:18" ht="15.75" x14ac:dyDescent="0.25">
      <c r="A44" s="268"/>
      <c r="B44" s="30" t="s">
        <v>66</v>
      </c>
      <c r="C44" s="53"/>
      <c r="D44" s="15">
        <f>C44*120</f>
        <v>0</v>
      </c>
      <c r="E44" s="9"/>
      <c r="F44" s="41"/>
      <c r="G44" s="84"/>
      <c r="H44" s="255"/>
      <c r="I44" s="255"/>
      <c r="J44" s="255"/>
      <c r="K44" s="24"/>
      <c r="P44" s="4"/>
      <c r="Q44" s="4"/>
      <c r="R44" s="5"/>
    </row>
    <row r="45" spans="1:18" ht="15.75" x14ac:dyDescent="0.25">
      <c r="A45" s="268"/>
      <c r="B45" s="30" t="s">
        <v>68</v>
      </c>
      <c r="C45" s="90"/>
      <c r="D45" s="15">
        <f>C45*84</f>
        <v>0</v>
      </c>
      <c r="E45" s="9"/>
      <c r="F45" s="41"/>
      <c r="G45" s="84"/>
      <c r="H45" s="255"/>
      <c r="I45" s="255"/>
      <c r="J45" s="255"/>
      <c r="K45" s="24"/>
      <c r="P45" s="4"/>
      <c r="Q45" s="4"/>
      <c r="R45" s="5"/>
    </row>
    <row r="46" spans="1:18" ht="15.75" x14ac:dyDescent="0.25">
      <c r="A46" s="268"/>
      <c r="B46" s="54" t="s">
        <v>70</v>
      </c>
      <c r="C46" s="91"/>
      <c r="D46" s="15">
        <f>C46*1.5</f>
        <v>0</v>
      </c>
      <c r="E46" s="9"/>
      <c r="F46" s="41"/>
      <c r="G46" s="69"/>
      <c r="H46" s="306"/>
      <c r="I46" s="306"/>
      <c r="J46" s="306"/>
      <c r="K46" s="24"/>
      <c r="P46" s="4"/>
      <c r="Q46" s="4"/>
      <c r="R46" s="5"/>
    </row>
    <row r="47" spans="1:18" ht="15.75" x14ac:dyDescent="0.25">
      <c r="A47" s="269"/>
      <c r="B47" s="30"/>
      <c r="C47" s="71"/>
      <c r="D47" s="15"/>
      <c r="E47" s="9"/>
      <c r="F47" s="65"/>
      <c r="G47" s="65"/>
      <c r="H47" s="273"/>
      <c r="I47" s="274"/>
      <c r="J47" s="275"/>
      <c r="K47" s="24"/>
      <c r="P47" s="4"/>
      <c r="Q47" s="4"/>
      <c r="R47" s="5"/>
    </row>
    <row r="48" spans="1:18" ht="15" customHeight="1" x14ac:dyDescent="0.25">
      <c r="A48" s="267" t="s">
        <v>32</v>
      </c>
      <c r="B48" s="30" t="s">
        <v>66</v>
      </c>
      <c r="C48" s="53"/>
      <c r="D48" s="15">
        <f>C48*78</f>
        <v>0</v>
      </c>
      <c r="E48" s="9"/>
      <c r="F48" s="65"/>
      <c r="G48" s="65"/>
      <c r="H48" s="273"/>
      <c r="I48" s="274"/>
      <c r="J48" s="275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68"/>
      <c r="B49" s="32" t="s">
        <v>68</v>
      </c>
      <c r="C49" s="90"/>
      <c r="D49" s="15">
        <f>C49*42</f>
        <v>0</v>
      </c>
      <c r="E49" s="9"/>
      <c r="F49" s="288" t="s">
        <v>86</v>
      </c>
      <c r="G49" s="240">
        <f>H34+H35+H36+H37+H38+H39+H40+H41+G42+H44+H45+H46</f>
        <v>0</v>
      </c>
      <c r="H49" s="241"/>
      <c r="I49" s="241"/>
      <c r="J49" s="242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68"/>
      <c r="B50" s="35" t="s">
        <v>70</v>
      </c>
      <c r="C50" s="71"/>
      <c r="D50" s="15">
        <f>C50*1.5</f>
        <v>0</v>
      </c>
      <c r="E50" s="9"/>
      <c r="F50" s="289"/>
      <c r="G50" s="243"/>
      <c r="H50" s="244"/>
      <c r="I50" s="244"/>
      <c r="J50" s="245"/>
      <c r="K50" s="9"/>
      <c r="P50" s="4"/>
      <c r="Q50" s="4"/>
      <c r="R50" s="5"/>
    </row>
    <row r="51" spans="1:18" ht="15" customHeight="1" x14ac:dyDescent="0.25">
      <c r="A51" s="268"/>
      <c r="B51" s="30"/>
      <c r="C51" s="53"/>
      <c r="D51" s="34"/>
      <c r="E51" s="9"/>
      <c r="F51" s="290" t="s">
        <v>135</v>
      </c>
      <c r="G51" s="314">
        <f>G49-H29</f>
        <v>0</v>
      </c>
      <c r="H51" s="315"/>
      <c r="I51" s="315"/>
      <c r="J51" s="316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68"/>
      <c r="B52" s="32"/>
      <c r="C52" s="36"/>
      <c r="D52" s="49"/>
      <c r="E52" s="9"/>
      <c r="F52" s="291"/>
      <c r="G52" s="317"/>
      <c r="H52" s="318"/>
      <c r="I52" s="318"/>
      <c r="J52" s="319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69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236" t="s">
        <v>90</v>
      </c>
      <c r="B54" s="276"/>
      <c r="C54" s="277"/>
      <c r="D54" s="280">
        <f>SUM(D34:D53)</f>
        <v>0</v>
      </c>
      <c r="E54" s="9"/>
      <c r="F54" s="24"/>
      <c r="G54" s="9"/>
      <c r="H54" s="9"/>
      <c r="I54" s="9"/>
      <c r="J54" s="37"/>
    </row>
    <row r="55" spans="1:18" x14ac:dyDescent="0.25">
      <c r="A55" s="238"/>
      <c r="B55" s="278"/>
      <c r="C55" s="279"/>
      <c r="D55" s="281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119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282" t="s">
        <v>91</v>
      </c>
      <c r="B58" s="283"/>
      <c r="C58" s="283"/>
      <c r="D58" s="284"/>
      <c r="E58" s="9"/>
      <c r="F58" s="282" t="s">
        <v>92</v>
      </c>
      <c r="G58" s="283"/>
      <c r="H58" s="283"/>
      <c r="I58" s="283"/>
      <c r="J58" s="284"/>
    </row>
    <row r="59" spans="1:18" x14ac:dyDescent="0.25">
      <c r="A59" s="285"/>
      <c r="B59" s="286"/>
      <c r="C59" s="286"/>
      <c r="D59" s="287"/>
      <c r="E59" s="9"/>
      <c r="F59" s="285"/>
      <c r="G59" s="286"/>
      <c r="H59" s="286"/>
      <c r="I59" s="286"/>
      <c r="J59" s="287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CCB56-6D20-4EA1-AA7F-378791F4CFD5}">
  <dimension ref="A1"/>
  <sheetViews>
    <sheetView workbookViewId="0">
      <selection activeCell="I4" sqref="I4:J5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91</vt:i4>
      </vt:variant>
      <vt:variant>
        <vt:lpstr>Named Ranges</vt:lpstr>
      </vt:variant>
      <vt:variant>
        <vt:i4>67</vt:i4>
      </vt:variant>
    </vt:vector>
  </HeadingPairs>
  <TitlesOfParts>
    <vt:vector size="158" baseType="lpstr">
      <vt:lpstr>(May 2025)</vt:lpstr>
      <vt:lpstr>(1)</vt:lpstr>
      <vt:lpstr>1,05 R1</vt:lpstr>
      <vt:lpstr>1,05 R2</vt:lpstr>
      <vt:lpstr>1,05 R3</vt:lpstr>
      <vt:lpstr>(2)</vt:lpstr>
      <vt:lpstr>2,05 R1</vt:lpstr>
      <vt:lpstr>2,05 R2</vt:lpstr>
      <vt:lpstr>2,05 R3</vt:lpstr>
      <vt:lpstr>(3)</vt:lpstr>
      <vt:lpstr>3,05 R1</vt:lpstr>
      <vt:lpstr>3,05 R2</vt:lpstr>
      <vt:lpstr>3,05 R3</vt:lpstr>
      <vt:lpstr>(5)</vt:lpstr>
      <vt:lpstr>5,05 R1</vt:lpstr>
      <vt:lpstr>5,05 R2</vt:lpstr>
      <vt:lpstr>5,05 R3</vt:lpstr>
      <vt:lpstr>(6)</vt:lpstr>
      <vt:lpstr>6,05 R1</vt:lpstr>
      <vt:lpstr>6,05 R2</vt:lpstr>
      <vt:lpstr>6,05 R3</vt:lpstr>
      <vt:lpstr>(7)</vt:lpstr>
      <vt:lpstr>7,05 R1</vt:lpstr>
      <vt:lpstr>7,05 R2</vt:lpstr>
      <vt:lpstr>7,05 R3</vt:lpstr>
      <vt:lpstr>(8)</vt:lpstr>
      <vt:lpstr>8,05 R1</vt:lpstr>
      <vt:lpstr>8,05 R2</vt:lpstr>
      <vt:lpstr>8,05 R3</vt:lpstr>
      <vt:lpstr>(9)</vt:lpstr>
      <vt:lpstr>9,05 R1</vt:lpstr>
      <vt:lpstr>9,05 R2</vt:lpstr>
      <vt:lpstr>9,05 R3</vt:lpstr>
      <vt:lpstr>(10)</vt:lpstr>
      <vt:lpstr>10,05 R1</vt:lpstr>
      <vt:lpstr>10,05 R2</vt:lpstr>
      <vt:lpstr>10,05 R3</vt:lpstr>
      <vt:lpstr>(13)</vt:lpstr>
      <vt:lpstr>13,05 R1</vt:lpstr>
      <vt:lpstr>13,05 R2</vt:lpstr>
      <vt:lpstr>13,05 R3</vt:lpstr>
      <vt:lpstr>(14)</vt:lpstr>
      <vt:lpstr>14,05 R1</vt:lpstr>
      <vt:lpstr>14,05 R2</vt:lpstr>
      <vt:lpstr>14,05 R3 a</vt:lpstr>
      <vt:lpstr>14,05 R3 b</vt:lpstr>
      <vt:lpstr>(15)</vt:lpstr>
      <vt:lpstr>15,05 R1</vt:lpstr>
      <vt:lpstr>15,05 R2</vt:lpstr>
      <vt:lpstr>15,05 R3</vt:lpstr>
      <vt:lpstr>(16)</vt:lpstr>
      <vt:lpstr>16,05 R1</vt:lpstr>
      <vt:lpstr>16,05 R2</vt:lpstr>
      <vt:lpstr>16,05 R3</vt:lpstr>
      <vt:lpstr>(17)</vt:lpstr>
      <vt:lpstr>17,05 R1</vt:lpstr>
      <vt:lpstr>17,05 R2</vt:lpstr>
      <vt:lpstr>17,05 R3</vt:lpstr>
      <vt:lpstr>(18)</vt:lpstr>
      <vt:lpstr>18,05 R1</vt:lpstr>
      <vt:lpstr>18,05 R2</vt:lpstr>
      <vt:lpstr>18,05 R3</vt:lpstr>
      <vt:lpstr>(19)</vt:lpstr>
      <vt:lpstr>19,05 R1</vt:lpstr>
      <vt:lpstr>19,05 R2</vt:lpstr>
      <vt:lpstr>19,05 R3</vt:lpstr>
      <vt:lpstr>(20)</vt:lpstr>
      <vt:lpstr>20,05 R1</vt:lpstr>
      <vt:lpstr>20,05 R2</vt:lpstr>
      <vt:lpstr>20,05 R3</vt:lpstr>
      <vt:lpstr>(21)</vt:lpstr>
      <vt:lpstr>21,05 R1</vt:lpstr>
      <vt:lpstr>21,05 R2</vt:lpstr>
      <vt:lpstr>21,05 R3</vt:lpstr>
      <vt:lpstr>(22)</vt:lpstr>
      <vt:lpstr>22,05 R1</vt:lpstr>
      <vt:lpstr>22,05 R2</vt:lpstr>
      <vt:lpstr>22,05 R3</vt:lpstr>
      <vt:lpstr>(23)</vt:lpstr>
      <vt:lpstr>23,05 R1</vt:lpstr>
      <vt:lpstr>23,05 R2</vt:lpstr>
      <vt:lpstr>23,05 R3</vt:lpstr>
      <vt:lpstr>(24)</vt:lpstr>
      <vt:lpstr>24,05 R1</vt:lpstr>
      <vt:lpstr>24,05 R2</vt:lpstr>
      <vt:lpstr>24,05 R3</vt:lpstr>
      <vt:lpstr>(26)</vt:lpstr>
      <vt:lpstr>26,05 R1</vt:lpstr>
      <vt:lpstr>26,05 R2</vt:lpstr>
      <vt:lpstr>26,05 R3</vt:lpstr>
      <vt:lpstr>(27)</vt:lpstr>
      <vt:lpstr>'1,05 R1'!Print_Area</vt:lpstr>
      <vt:lpstr>'1,05 R2'!Print_Area</vt:lpstr>
      <vt:lpstr>'1,05 R3'!Print_Area</vt:lpstr>
      <vt:lpstr>'10,05 R1'!Print_Area</vt:lpstr>
      <vt:lpstr>'10,05 R2'!Print_Area</vt:lpstr>
      <vt:lpstr>'10,05 R3'!Print_Area</vt:lpstr>
      <vt:lpstr>'13,05 R1'!Print_Area</vt:lpstr>
      <vt:lpstr>'13,05 R2'!Print_Area</vt:lpstr>
      <vt:lpstr>'13,05 R3'!Print_Area</vt:lpstr>
      <vt:lpstr>'14,05 R1'!Print_Area</vt:lpstr>
      <vt:lpstr>'14,05 R2'!Print_Area</vt:lpstr>
      <vt:lpstr>'14,05 R3 a'!Print_Area</vt:lpstr>
      <vt:lpstr>'14,05 R3 b'!Print_Area</vt:lpstr>
      <vt:lpstr>'15,05 R1'!Print_Area</vt:lpstr>
      <vt:lpstr>'15,05 R2'!Print_Area</vt:lpstr>
      <vt:lpstr>'15,05 R3'!Print_Area</vt:lpstr>
      <vt:lpstr>'16,05 R1'!Print_Area</vt:lpstr>
      <vt:lpstr>'16,05 R2'!Print_Area</vt:lpstr>
      <vt:lpstr>'16,05 R3'!Print_Area</vt:lpstr>
      <vt:lpstr>'17,05 R1'!Print_Area</vt:lpstr>
      <vt:lpstr>'17,05 R2'!Print_Area</vt:lpstr>
      <vt:lpstr>'17,05 R3'!Print_Area</vt:lpstr>
      <vt:lpstr>'18,05 R1'!Print_Area</vt:lpstr>
      <vt:lpstr>'18,05 R2'!Print_Area</vt:lpstr>
      <vt:lpstr>'18,05 R3'!Print_Area</vt:lpstr>
      <vt:lpstr>'19,05 R1'!Print_Area</vt:lpstr>
      <vt:lpstr>'19,05 R2'!Print_Area</vt:lpstr>
      <vt:lpstr>'19,05 R3'!Print_Area</vt:lpstr>
      <vt:lpstr>'2,05 R1'!Print_Area</vt:lpstr>
      <vt:lpstr>'2,05 R2'!Print_Area</vt:lpstr>
      <vt:lpstr>'2,05 R3'!Print_Area</vt:lpstr>
      <vt:lpstr>'20,05 R1'!Print_Area</vt:lpstr>
      <vt:lpstr>'20,05 R2'!Print_Area</vt:lpstr>
      <vt:lpstr>'20,05 R3'!Print_Area</vt:lpstr>
      <vt:lpstr>'21,05 R1'!Print_Area</vt:lpstr>
      <vt:lpstr>'21,05 R2'!Print_Area</vt:lpstr>
      <vt:lpstr>'21,05 R3'!Print_Area</vt:lpstr>
      <vt:lpstr>'22,05 R1'!Print_Area</vt:lpstr>
      <vt:lpstr>'22,05 R2'!Print_Area</vt:lpstr>
      <vt:lpstr>'22,05 R3'!Print_Area</vt:lpstr>
      <vt:lpstr>'23,05 R1'!Print_Area</vt:lpstr>
      <vt:lpstr>'23,05 R2'!Print_Area</vt:lpstr>
      <vt:lpstr>'23,05 R3'!Print_Area</vt:lpstr>
      <vt:lpstr>'24,05 R1'!Print_Area</vt:lpstr>
      <vt:lpstr>'24,05 R2'!Print_Area</vt:lpstr>
      <vt:lpstr>'24,05 R3'!Print_Area</vt:lpstr>
      <vt:lpstr>'26,05 R1'!Print_Area</vt:lpstr>
      <vt:lpstr>'26,05 R2'!Print_Area</vt:lpstr>
      <vt:lpstr>'26,05 R3'!Print_Area</vt:lpstr>
      <vt:lpstr>'3,05 R1'!Print_Area</vt:lpstr>
      <vt:lpstr>'3,05 R2'!Print_Area</vt:lpstr>
      <vt:lpstr>'3,05 R3'!Print_Area</vt:lpstr>
      <vt:lpstr>'5,05 R1'!Print_Area</vt:lpstr>
      <vt:lpstr>'5,05 R2'!Print_Area</vt:lpstr>
      <vt:lpstr>'5,05 R3'!Print_Area</vt:lpstr>
      <vt:lpstr>'6,05 R1'!Print_Area</vt:lpstr>
      <vt:lpstr>'6,05 R2'!Print_Area</vt:lpstr>
      <vt:lpstr>'6,05 R3'!Print_Area</vt:lpstr>
      <vt:lpstr>'7,05 R1'!Print_Area</vt:lpstr>
      <vt:lpstr>'7,05 R2'!Print_Area</vt:lpstr>
      <vt:lpstr>'7,05 R3'!Print_Area</vt:lpstr>
      <vt:lpstr>'8,05 R1'!Print_Area</vt:lpstr>
      <vt:lpstr>'8,05 R2'!Print_Area</vt:lpstr>
      <vt:lpstr>'8,05 R3'!Print_Area</vt:lpstr>
      <vt:lpstr>'9,05 R1'!Print_Area</vt:lpstr>
      <vt:lpstr>'9,05 R2'!Print_Area</vt:lpstr>
      <vt:lpstr>'9,05 R3'!Print_Area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2025-05-26T02:56:26Z</cp:lastPrinted>
  <dcterms:created xsi:type="dcterms:W3CDTF">2024-09-01T23:36:50Z</dcterms:created>
  <dcterms:modified xsi:type="dcterms:W3CDTF">2025-05-26T03:03:03Z</dcterms:modified>
</cp:coreProperties>
</file>